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727937E0-57FD-4C24-9174-8F4043C72B4C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71" i="27" l="1"/>
  <c r="K1072" i="27"/>
  <c r="K1073" i="27"/>
  <c r="K1074" i="27"/>
  <c r="D1075" i="27"/>
  <c r="D1074" i="27"/>
  <c r="D1073" i="27"/>
  <c r="D1072" i="27"/>
  <c r="A1072" i="27"/>
  <c r="A1073" i="27"/>
  <c r="A1074" i="27"/>
  <c r="A1075" i="27" s="1"/>
  <c r="C1072" i="27"/>
  <c r="C1073" i="27"/>
  <c r="C1074" i="27"/>
  <c r="C1075" i="27"/>
  <c r="H1072" i="27"/>
  <c r="H1073" i="27"/>
  <c r="H1074" i="27"/>
  <c r="H1075" i="27"/>
  <c r="R1072" i="27"/>
  <c r="T1072" i="27" s="1"/>
  <c r="R1073" i="27"/>
  <c r="T1073" i="27" s="1"/>
  <c r="R1074" i="27"/>
  <c r="R1075" i="27"/>
  <c r="S1072" i="27"/>
  <c r="S1073" i="27"/>
  <c r="S1074" i="27"/>
  <c r="S1075" i="27"/>
  <c r="T1074" i="27"/>
  <c r="U1074" i="27" s="1"/>
  <c r="AL1074" i="27" s="1"/>
  <c r="T1075" i="27"/>
  <c r="U1075" i="27" s="1"/>
  <c r="AL1075" i="27" s="1"/>
  <c r="AD1072" i="27"/>
  <c r="AD1073" i="27"/>
  <c r="AD1074" i="27"/>
  <c r="AD1075" i="27"/>
  <c r="AE1072" i="27"/>
  <c r="AE1073" i="27"/>
  <c r="AE1074" i="27"/>
  <c r="AE1075" i="27"/>
  <c r="AF1072" i="27"/>
  <c r="AF1073" i="27"/>
  <c r="AF1074" i="27"/>
  <c r="AF1075" i="27"/>
  <c r="AG1072" i="27"/>
  <c r="AG1073" i="27"/>
  <c r="AG1074" i="27"/>
  <c r="AG1075" i="27"/>
  <c r="U1072" i="27" l="1"/>
  <c r="AL1072" i="27" s="1"/>
  <c r="U1073" i="27"/>
  <c r="AL1073" i="27" s="1"/>
  <c r="V1075" i="27"/>
  <c r="AJ1075" i="27" s="1"/>
  <c r="K1070" i="27" l="1"/>
  <c r="K1069" i="27"/>
  <c r="K1068" i="27"/>
  <c r="K1067" i="27"/>
  <c r="D1071" i="27"/>
  <c r="D1070" i="27"/>
  <c r="D1069" i="27"/>
  <c r="D1068" i="27"/>
  <c r="D1067" i="27"/>
  <c r="A1067" i="27"/>
  <c r="A1068" i="27" s="1"/>
  <c r="A1069" i="27" s="1"/>
  <c r="A1070" i="27" s="1"/>
  <c r="A1071" i="27" s="1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R1069" i="27"/>
  <c r="R1070" i="27"/>
  <c r="T1070" i="27" s="1"/>
  <c r="R1071" i="27"/>
  <c r="T1071" i="27" s="1"/>
  <c r="S1067" i="27"/>
  <c r="S1068" i="27"/>
  <c r="S1069" i="27"/>
  <c r="S1070" i="27"/>
  <c r="S1071" i="27"/>
  <c r="T1069" i="27"/>
  <c r="U1069" i="27" s="1"/>
  <c r="AL1069" i="27" s="1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A1061" i="27"/>
  <c r="A1062" i="27" s="1"/>
  <c r="A1063" i="27" s="1"/>
  <c r="A1064" i="27" s="1"/>
  <c r="A1065" i="27" s="1"/>
  <c r="A1066" i="27" s="1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R1064" i="27"/>
  <c r="T1064" i="27" s="1"/>
  <c r="U1064" i="27" s="1"/>
  <c r="AL1064" i="27" s="1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T1063" i="27" l="1"/>
  <c r="T1068" i="27"/>
  <c r="U1068" i="27" s="1"/>
  <c r="AL1068" i="27" s="1"/>
  <c r="T1066" i="27"/>
  <c r="U1066" i="27" s="1"/>
  <c r="AL1066" i="27" s="1"/>
  <c r="U1067" i="27"/>
  <c r="AL1067" i="27" s="1"/>
  <c r="U1071" i="27"/>
  <c r="AL1071" i="27" s="1"/>
  <c r="U1070" i="27"/>
  <c r="AL1070" i="27" s="1"/>
  <c r="T1062" i="27"/>
  <c r="U1062" i="27" s="1"/>
  <c r="AL1062" i="27" s="1"/>
  <c r="T1061" i="27"/>
  <c r="U1061" i="27" s="1"/>
  <c r="AL1061" i="27" s="1"/>
  <c r="T1065" i="27"/>
  <c r="U1063" i="27"/>
  <c r="AL1063" i="27" s="1"/>
  <c r="U1065" i="27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 s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S1050" i="27"/>
  <c r="S1051" i="27"/>
  <c r="S1052" i="27"/>
  <c r="S1053" i="27"/>
  <c r="T1053" i="27"/>
  <c r="U1053" i="27" s="1"/>
  <c r="AL1053" i="27" s="1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T1047" i="27" s="1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6" i="27" l="1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B120" i="31"/>
  <c r="B121" i="31" s="1"/>
  <c r="B122" i="31" s="1"/>
  <c r="B123" i="31" s="1"/>
  <c r="B124" i="31" s="1"/>
  <c r="B125" i="31" s="1"/>
  <c r="B126" i="31" s="1"/>
  <c r="B105" i="3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T1022" i="27"/>
  <c r="T1021" i="27"/>
  <c r="U1024" i="27"/>
  <c r="AL1024" i="27" s="1"/>
  <c r="U1022" i="27"/>
  <c r="AL1022" i="27" s="1"/>
  <c r="U1023" i="27"/>
  <c r="AL1023" i="27" s="1"/>
  <c r="U1021" i="27"/>
  <c r="AL1021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R1020" i="27"/>
  <c r="S1018" i="27"/>
  <c r="S1019" i="27"/>
  <c r="S1020" i="27"/>
  <c r="T1019" i="27"/>
  <c r="U1019" i="27" s="1"/>
  <c r="AL1019" i="27" s="1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T1013" i="27"/>
  <c r="T1014" i="27"/>
  <c r="U1020" i="27"/>
  <c r="AL1020" i="27" s="1"/>
  <c r="U1016" i="27"/>
  <c r="AL1016" i="27" s="1"/>
  <c r="U1014" i="27"/>
  <c r="AL1014" i="27" s="1"/>
  <c r="U1013" i="27"/>
  <c r="AL1013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T1006" i="27"/>
  <c r="U1006" i="27" s="1"/>
  <c r="AL1006" i="27" s="1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6" i="20"/>
  <c r="GI127" i="20"/>
  <c r="GI128" i="20"/>
  <c r="GI129" i="20"/>
  <c r="GH115" i="20"/>
  <c r="GH126" i="20"/>
  <c r="GH127" i="20"/>
  <c r="GH128" i="20"/>
  <c r="GH129" i="20"/>
  <c r="GF115" i="20"/>
  <c r="GF126" i="20"/>
  <c r="GF127" i="20"/>
  <c r="GF128" i="20"/>
  <c r="GF129" i="20"/>
  <c r="GE115" i="20"/>
  <c r="GE126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6" i="20"/>
  <c r="GC127" i="20"/>
  <c r="GC128" i="20"/>
  <c r="GC129" i="20"/>
  <c r="GB115" i="20"/>
  <c r="GB116" i="20"/>
  <c r="GB125" i="20"/>
  <c r="GB126" i="20"/>
  <c r="GB127" i="20"/>
  <c r="GB128" i="20"/>
  <c r="GB129" i="20"/>
  <c r="GA115" i="20"/>
  <c r="GA126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GB122" i="20" s="1"/>
  <c r="FX123" i="20"/>
  <c r="FX124" i="20"/>
  <c r="GB124" i="20" s="1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GA124" i="20" s="1"/>
  <c r="GC124" i="20" s="1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FR122" i="20"/>
  <c r="FR123" i="20"/>
  <c r="GA123" i="20" s="1"/>
  <c r="FR124" i="20"/>
  <c r="FR125" i="20"/>
  <c r="GA125" i="20" s="1"/>
  <c r="GC125" i="20" s="1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GE125" i="20" s="1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FL123" i="20"/>
  <c r="FL124" i="20"/>
  <c r="FL125" i="20"/>
  <c r="GF125" i="20" s="1"/>
  <c r="FL126" i="20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FJ122" i="20"/>
  <c r="GH122" i="20" s="1"/>
  <c r="FJ123" i="20"/>
  <c r="GH123" i="20" s="1"/>
  <c r="FJ124" i="20"/>
  <c r="GH124" i="20" s="1"/>
  <c r="GI124" i="20" s="1"/>
  <c r="FJ125" i="20"/>
  <c r="GH125" i="20" s="1"/>
  <c r="FJ126" i="20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I125" i="20" l="1"/>
  <c r="GF124" i="20"/>
  <c r="GE124" i="20"/>
  <c r="GF123" i="20"/>
  <c r="GB123" i="20"/>
  <c r="GC123" i="20"/>
  <c r="GI123" i="20" s="1"/>
  <c r="GA122" i="20"/>
  <c r="GC122" i="20" s="1"/>
  <c r="GF122" i="20"/>
  <c r="GE122" i="20"/>
  <c r="GI122" i="20"/>
  <c r="GA121" i="20"/>
  <c r="GB121" i="20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E123" i="20" l="1"/>
  <c r="GC121" i="20"/>
  <c r="GE120" i="20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R995" i="27"/>
  <c r="T995" i="27" s="1"/>
  <c r="U995" i="27" s="1"/>
  <c r="AL995" i="27" s="1"/>
  <c r="S993" i="27"/>
  <c r="S994" i="27"/>
  <c r="S995" i="27"/>
  <c r="T994" i="27"/>
  <c r="U994" i="27" s="1"/>
  <c r="AL994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I121" i="20" l="1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T951" i="27"/>
  <c r="U951" i="27" s="1"/>
  <c r="AL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H113" i="31" s="1"/>
  <c r="G114" i="31"/>
  <c r="G115" i="31"/>
  <c r="H115" i="31" s="1"/>
  <c r="G116" i="31"/>
  <c r="H116" i="31" s="1"/>
  <c r="G117" i="31"/>
  <c r="H117" i="31" s="1"/>
  <c r="G118" i="31"/>
  <c r="H118" i="31" s="1"/>
  <c r="G119" i="31"/>
  <c r="H119" i="31" s="1"/>
  <c r="G120" i="31"/>
  <c r="H120" i="31" s="1"/>
  <c r="G121" i="31"/>
  <c r="H121" i="31" s="1"/>
  <c r="G122" i="31"/>
  <c r="H122" i="31" s="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4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BM67" i="36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BV153" i="36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BY161" i="36"/>
  <c r="DB133" i="35"/>
  <c r="CZ133" i="36" s="1"/>
  <c r="DB87" i="35"/>
  <c r="CW87" i="36" s="1"/>
  <c r="CR162" i="36"/>
  <c r="AR153" i="36"/>
  <c r="DC162" i="35"/>
  <c r="BJ162" i="36" s="1"/>
  <c r="AE132" i="36"/>
  <c r="DB84" i="35"/>
  <c r="CR84" i="36" s="1"/>
  <c r="DA83" i="35"/>
  <c r="AB83" i="36" s="1"/>
  <c r="BY153" i="36"/>
  <c r="DA98" i="35"/>
  <c r="Q98" i="36" s="1"/>
  <c r="BL153" i="36"/>
  <c r="AJ115" i="36"/>
  <c r="DA67" i="35"/>
  <c r="O67" i="36" s="1"/>
  <c r="CO162" i="36"/>
  <c r="DA97" i="35"/>
  <c r="M97" i="36" s="1"/>
  <c r="DA135" i="35"/>
  <c r="AA135" i="36" s="1"/>
  <c r="DC159" i="35"/>
  <c r="AX159" i="36" s="1"/>
  <c r="BU87" i="36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I97" i="36" s="1"/>
  <c r="DB68" i="35"/>
  <c r="CY68" i="36" s="1"/>
  <c r="DA152" i="35"/>
  <c r="W152" i="36" s="1"/>
  <c r="AV156" i="36"/>
  <c r="CG153" i="36"/>
  <c r="DA157" i="35"/>
  <c r="I157" i="36" s="1"/>
  <c r="DA111" i="35"/>
  <c r="I111" i="36" s="1"/>
  <c r="Z132" i="36"/>
  <c r="H153" i="36"/>
  <c r="M148" i="36"/>
  <c r="BO67" i="36"/>
  <c r="DC78" i="35"/>
  <c r="AY78" i="36" s="1"/>
  <c r="CR132" i="36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AW153" i="36"/>
  <c r="BI149" i="36"/>
  <c r="DA142" i="35"/>
  <c r="Y142" i="36" s="1"/>
  <c r="BP153" i="36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BU153" i="36"/>
  <c r="CW162" i="36"/>
  <c r="CE153" i="36"/>
  <c r="BG91" i="36"/>
  <c r="BL91" i="36"/>
  <c r="CG156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CG115" i="36" l="1"/>
  <c r="BK91" i="36"/>
  <c r="AY153" i="36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K166" i="36" l="1"/>
  <c r="CJ166" i="36"/>
  <c r="CI166" i="36"/>
  <c r="CL165" i="36"/>
  <c r="CI165" i="36"/>
  <c r="CJ165" i="36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I167" i="36" l="1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14" i="9" l="1"/>
  <c r="E14" i="9" s="1"/>
  <c r="D11" i="9"/>
  <c r="E11" i="9" s="1"/>
  <c r="F10" i="7"/>
  <c r="H10" i="7" s="1"/>
  <c r="F4" i="7"/>
  <c r="F4" i="8"/>
  <c r="D10" i="7"/>
  <c r="N10" i="7" s="1"/>
  <c r="D4" i="8"/>
  <c r="D16" i="9" s="1"/>
  <c r="DC172" i="35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D26" i="9" l="1"/>
  <c r="E26" i="9" s="1"/>
  <c r="D17" i="9"/>
  <c r="E17" i="9" s="1"/>
  <c r="D20" i="9"/>
  <c r="E20" i="9" s="1"/>
  <c r="L10" i="7"/>
  <c r="L4" i="8"/>
  <c r="D22" i="9" s="1"/>
  <c r="E22" i="9" s="1"/>
  <c r="D13" i="9"/>
  <c r="H4" i="8"/>
  <c r="D28" i="9" s="1"/>
  <c r="H4" i="7"/>
  <c r="D27" i="9" s="1"/>
  <c r="D12" i="9"/>
  <c r="D23" i="9"/>
  <c r="E23" i="9" s="1"/>
  <c r="J10" i="7"/>
  <c r="J4" i="8"/>
  <c r="D25" i="9" s="1"/>
  <c r="E25" i="9" s="1"/>
  <c r="CJ172" i="36"/>
  <c r="CI172" i="36"/>
  <c r="CL172" i="36"/>
  <c r="CK171" i="36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G11" i="9" s="1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V175" i="36"/>
  <c r="DB28" i="35"/>
  <c r="CQ28" i="36" s="1"/>
  <c r="DB44" i="35"/>
  <c r="CS44" i="36" s="1"/>
  <c r="DB181" i="35"/>
  <c r="CS181" i="36" s="1"/>
  <c r="M175" i="36"/>
  <c r="DC174" i="35"/>
  <c r="BD174" i="36" s="1"/>
  <c r="P175" i="36"/>
  <c r="DB52" i="35"/>
  <c r="CZ52" i="36" s="1"/>
  <c r="DA19" i="35"/>
  <c r="AF19" i="36" s="1"/>
  <c r="H175" i="36"/>
  <c r="F175" i="36"/>
  <c r="DB25" i="35"/>
  <c r="CQ25" i="36" s="1"/>
  <c r="DB22" i="35"/>
  <c r="CM22" i="36" s="1"/>
  <c r="DB43" i="35"/>
  <c r="CT43" i="36" s="1"/>
  <c r="G175" i="36"/>
  <c r="BJ44" i="36"/>
  <c r="DC23" i="35"/>
  <c r="BP23" i="36" s="1"/>
  <c r="D175" i="36"/>
  <c r="DA173" i="35"/>
  <c r="M173" i="36" s="1"/>
  <c r="DB177" i="35"/>
  <c r="CV177" i="36" s="1"/>
  <c r="DC37" i="35"/>
  <c r="BS37" i="36" s="1"/>
  <c r="N177" i="36"/>
  <c r="J175" i="36"/>
  <c r="DB180" i="35"/>
  <c r="CT180" i="36" s="1"/>
  <c r="CC44" i="36"/>
  <c r="DC25" i="35"/>
  <c r="AW25" i="36" s="1"/>
  <c r="DC38" i="35"/>
  <c r="BX38" i="36" s="1"/>
  <c r="DC14" i="35"/>
  <c r="CD14" i="36" s="1"/>
  <c r="DC22" i="35"/>
  <c r="BX22" i="36" s="1"/>
  <c r="DC36" i="35"/>
  <c r="BM36" i="36" s="1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CP32" i="36"/>
  <c r="DB34" i="35"/>
  <c r="CO34" i="36" s="1"/>
  <c r="DC26" i="35"/>
  <c r="BZ26" i="36" s="1"/>
  <c r="DA46" i="35"/>
  <c r="D46" i="36" s="1"/>
  <c r="BN11" i="36"/>
  <c r="AQ44" i="36"/>
  <c r="AB175" i="36"/>
  <c r="DA8" i="35"/>
  <c r="V8" i="36" s="1"/>
  <c r="BM34" i="36"/>
  <c r="BF44" i="36"/>
  <c r="BH44" i="36"/>
  <c r="DC24" i="35"/>
  <c r="CC24" i="36" s="1"/>
  <c r="DC46" i="35"/>
  <c r="BE46" i="36" s="1"/>
  <c r="DA179" i="35"/>
  <c r="AA179" i="36" s="1"/>
  <c r="DA4" i="35"/>
  <c r="G4" i="36" s="1"/>
  <c r="CB11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BR44" i="36"/>
  <c r="CW13" i="36"/>
  <c r="AY44" i="36"/>
  <c r="AO11" i="36"/>
  <c r="DC5" i="35"/>
  <c r="CC5" i="36" s="1"/>
  <c r="AL11" i="36"/>
  <c r="BX44" i="36"/>
  <c r="DA10" i="35"/>
  <c r="U10" i="36" s="1"/>
  <c r="AW16" i="36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CH44" i="36"/>
  <c r="DC28" i="35"/>
  <c r="AZ28" i="36" s="1"/>
  <c r="DB51" i="35"/>
  <c r="CP51" i="36" s="1"/>
  <c r="DB48" i="35"/>
  <c r="CY48" i="36" s="1"/>
  <c r="BY44" i="36"/>
  <c r="AN11" i="36"/>
  <c r="DA37" i="35"/>
  <c r="V37" i="36" s="1"/>
  <c r="DC39" i="35"/>
  <c r="BX39" i="36" s="1"/>
  <c r="BM11" i="36"/>
  <c r="CW32" i="36"/>
  <c r="DC42" i="35"/>
  <c r="CA42" i="36" s="1"/>
  <c r="BV44" i="36"/>
  <c r="DA30" i="35"/>
  <c r="T30" i="36" s="1"/>
  <c r="BR11" i="36"/>
  <c r="CZ4" i="36"/>
  <c r="X175" i="36"/>
  <c r="DB7" i="35"/>
  <c r="CN7" i="36" s="1"/>
  <c r="DA181" i="35"/>
  <c r="K181" i="36" s="1"/>
  <c r="DC179" i="35"/>
  <c r="CK179" i="36" s="1"/>
  <c r="CS13" i="36"/>
  <c r="BI34" i="36"/>
  <c r="AN44" i="36"/>
  <c r="DA50" i="35"/>
  <c r="Y50" i="36" s="1"/>
  <c r="DB42" i="35"/>
  <c r="CM42" i="36" s="1"/>
  <c r="BS11" i="36"/>
  <c r="CT4" i="36"/>
  <c r="Z175" i="36"/>
  <c r="BN44" i="36"/>
  <c r="BD27" i="36"/>
  <c r="CY28" i="36"/>
  <c r="BY34" i="36"/>
  <c r="AX44" i="36"/>
  <c r="BP44" i="36"/>
  <c r="DB20" i="35"/>
  <c r="CO20" i="36" s="1"/>
  <c r="AX27" i="36"/>
  <c r="I175" i="36"/>
  <c r="DA38" i="35"/>
  <c r="Y38" i="36" s="1"/>
  <c r="DC17" i="35"/>
  <c r="BY17" i="36" s="1"/>
  <c r="AT34" i="36"/>
  <c r="DB49" i="35"/>
  <c r="CN49" i="36" s="1"/>
  <c r="AZ34" i="36"/>
  <c r="DB46" i="35"/>
  <c r="CT46" i="36" s="1"/>
  <c r="CE27" i="36"/>
  <c r="R175" i="36"/>
  <c r="AO27" i="36"/>
  <c r="DB29" i="35"/>
  <c r="CP29" i="36" s="1"/>
  <c r="CP13" i="36"/>
  <c r="CN28" i="36"/>
  <c r="BK44" i="36"/>
  <c r="BK11" i="36"/>
  <c r="BB44" i="36"/>
  <c r="DA20" i="35"/>
  <c r="Q20" i="36" s="1"/>
  <c r="BO11" i="36"/>
  <c r="DB10" i="35"/>
  <c r="CM10" i="36" s="1"/>
  <c r="BD11" i="36"/>
  <c r="BX34" i="36"/>
  <c r="AM44" i="36"/>
  <c r="DC10" i="35"/>
  <c r="BA10" i="36" s="1"/>
  <c r="AK34" i="36"/>
  <c r="AJ8" i="36"/>
  <c r="DA13" i="35"/>
  <c r="AB13" i="36" s="1"/>
  <c r="BZ16" i="36"/>
  <c r="DA11" i="35"/>
  <c r="T11" i="36" s="1"/>
  <c r="H19" i="36"/>
  <c r="DB11" i="35"/>
  <c r="CW11" i="36" s="1"/>
  <c r="CU4" i="36"/>
  <c r="CO13" i="36"/>
  <c r="DA34" i="35"/>
  <c r="C34" i="36" s="1"/>
  <c r="DA23" i="35"/>
  <c r="L23" i="36" s="1"/>
  <c r="DA42" i="35"/>
  <c r="G42" i="36" s="1"/>
  <c r="DB15" i="35"/>
  <c r="CM15" i="36" s="1"/>
  <c r="CG44" i="36"/>
  <c r="DA41" i="35"/>
  <c r="AC41" i="36" s="1"/>
  <c r="W175" i="36"/>
  <c r="AA175" i="36"/>
  <c r="CC11" i="36"/>
  <c r="AU27" i="36"/>
  <c r="DB179" i="35"/>
  <c r="CR179" i="36" s="1"/>
  <c r="AP11" i="36"/>
  <c r="DC35" i="35"/>
  <c r="BW35" i="36" s="1"/>
  <c r="CV4" i="36"/>
  <c r="DA15" i="35"/>
  <c r="L15" i="36" s="1"/>
  <c r="CE44" i="36"/>
  <c r="CX28" i="36"/>
  <c r="DC15" i="35"/>
  <c r="CI15" i="36" s="1"/>
  <c r="DC6" i="35"/>
  <c r="BU6" i="36" s="1"/>
  <c r="BS44" i="36"/>
  <c r="BT11" i="36"/>
  <c r="CX13" i="36"/>
  <c r="N19" i="36"/>
  <c r="CQ32" i="36"/>
  <c r="CD11" i="36"/>
  <c r="AT11" i="36"/>
  <c r="AJ44" i="36"/>
  <c r="DC49" i="35"/>
  <c r="BI49" i="36" s="1"/>
  <c r="DB40" i="35"/>
  <c r="CR40" i="36" s="1"/>
  <c r="AZ27" i="36"/>
  <c r="D19" i="36"/>
  <c r="DA16" i="35"/>
  <c r="T16" i="36" s="1"/>
  <c r="BC44" i="36"/>
  <c r="DC19" i="35"/>
  <c r="CC19" i="36" s="1"/>
  <c r="K9" i="36"/>
  <c r="DB17" i="35"/>
  <c r="CU17" i="36" s="1"/>
  <c r="BA27" i="36"/>
  <c r="CR32" i="36"/>
  <c r="DA33" i="35"/>
  <c r="M33" i="36" s="1"/>
  <c r="DC30" i="35"/>
  <c r="AL30" i="36" s="1"/>
  <c r="CC16" i="36"/>
  <c r="BH27" i="36"/>
  <c r="AG175" i="36"/>
  <c r="BT16" i="36"/>
  <c r="CO32" i="36"/>
  <c r="CF44" i="36"/>
  <c r="BZ11" i="36"/>
  <c r="CV13" i="36"/>
  <c r="AV34" i="36"/>
  <c r="DC52" i="35"/>
  <c r="BI52" i="36" s="1"/>
  <c r="DA48" i="35"/>
  <c r="O48" i="36" s="1"/>
  <c r="Z9" i="36"/>
  <c r="DA36" i="35"/>
  <c r="I36" i="36" s="1"/>
  <c r="BO16" i="36"/>
  <c r="BX11" i="36"/>
  <c r="DA25" i="35"/>
  <c r="C25" i="36" s="1"/>
  <c r="BE44" i="36"/>
  <c r="DA17" i="35"/>
  <c r="J17" i="36" s="1"/>
  <c r="AT44" i="36"/>
  <c r="CR4" i="36"/>
  <c r="BA44" i="36"/>
  <c r="DB36" i="35"/>
  <c r="CX36" i="36" s="1"/>
  <c r="E175" i="36"/>
  <c r="CE34" i="36"/>
  <c r="DA6" i="35"/>
  <c r="O6" i="36" s="1"/>
  <c r="J19" i="36"/>
  <c r="BG11" i="36"/>
  <c r="DB50" i="35"/>
  <c r="CS50" i="36" s="1"/>
  <c r="DB6" i="35"/>
  <c r="CT6" i="36" s="1"/>
  <c r="J9" i="36"/>
  <c r="CF27" i="36"/>
  <c r="DC29" i="35"/>
  <c r="AK29" i="36" s="1"/>
  <c r="BS27" i="36"/>
  <c r="CX4" i="36"/>
  <c r="DA174" i="35"/>
  <c r="G174" i="36" s="1"/>
  <c r="CV28" i="36"/>
  <c r="DC18" i="35"/>
  <c r="AY18" i="36" s="1"/>
  <c r="U175" i="36"/>
  <c r="DC21" i="35"/>
  <c r="AS21" i="36" s="1"/>
  <c r="BE11" i="36"/>
  <c r="DB9" i="35"/>
  <c r="CW9" i="36" s="1"/>
  <c r="CW4" i="36"/>
  <c r="DC4" i="35"/>
  <c r="BT4" i="36" s="1"/>
  <c r="AC175" i="36"/>
  <c r="AE19" i="36"/>
  <c r="DB16" i="35"/>
  <c r="CM16" i="36" s="1"/>
  <c r="X9" i="36"/>
  <c r="BN34" i="36"/>
  <c r="CS4" i="36"/>
  <c r="BG16" i="36"/>
  <c r="BC27" i="36"/>
  <c r="DA47" i="35"/>
  <c r="Q47" i="36" s="1"/>
  <c r="N175" i="36"/>
  <c r="DB175" i="35"/>
  <c r="CN175" i="36" s="1"/>
  <c r="AE177" i="36"/>
  <c r="AQ27" i="36"/>
  <c r="DB30" i="35"/>
  <c r="CR30" i="36" s="1"/>
  <c r="BD44" i="36"/>
  <c r="DA31" i="35"/>
  <c r="H31" i="36" s="1"/>
  <c r="AG19" i="36"/>
  <c r="BO44" i="36"/>
  <c r="DA21" i="35"/>
  <c r="AG21" i="36" s="1"/>
  <c r="BU44" i="36"/>
  <c r="AT27" i="36"/>
  <c r="DB38" i="35"/>
  <c r="CO38" i="36" s="1"/>
  <c r="AW27" i="36"/>
  <c r="BU13" i="35"/>
  <c r="BD175" i="35"/>
  <c r="DC175" i="35" s="1"/>
  <c r="CL175" i="36" s="1"/>
  <c r="AV50" i="35"/>
  <c r="DC50" i="35" s="1"/>
  <c r="CI50" i="36" s="1"/>
  <c r="AW44" i="36"/>
  <c r="DB176" i="35"/>
  <c r="CU176" i="36" s="1"/>
  <c r="CZ32" i="36"/>
  <c r="AD175" i="36"/>
  <c r="AM11" i="36"/>
  <c r="DB12" i="35"/>
  <c r="CP12" i="36" s="1"/>
  <c r="CD27" i="36"/>
  <c r="S9" i="36"/>
  <c r="Q175" i="36"/>
  <c r="AH177" i="36"/>
  <c r="DA180" i="35"/>
  <c r="U180" i="36" s="1"/>
  <c r="AZ44" i="36"/>
  <c r="BK27" i="36"/>
  <c r="AF175" i="36"/>
  <c r="DA45" i="35"/>
  <c r="W45" i="36" s="1"/>
  <c r="AJ11" i="36"/>
  <c r="S175" i="36"/>
  <c r="BI11" i="36"/>
  <c r="AW11" i="36"/>
  <c r="BG34" i="36"/>
  <c r="AQ11" i="36"/>
  <c r="AU11" i="36"/>
  <c r="CR13" i="36"/>
  <c r="DB35" i="35"/>
  <c r="CQ35" i="36" s="1"/>
  <c r="DA7" i="35"/>
  <c r="S7" i="36" s="1"/>
  <c r="BU16" i="36"/>
  <c r="BQ44" i="36"/>
  <c r="DC9" i="35"/>
  <c r="BY9" i="36" s="1"/>
  <c r="AW34" i="36"/>
  <c r="DC31" i="35"/>
  <c r="BJ31" i="36" s="1"/>
  <c r="AV11" i="36"/>
  <c r="DB19" i="35"/>
  <c r="CT19" i="36" s="1"/>
  <c r="AE175" i="36"/>
  <c r="AK27" i="36"/>
  <c r="BP27" i="36"/>
  <c r="CV32" i="36"/>
  <c r="CY4" i="36"/>
  <c r="DB5" i="35"/>
  <c r="CZ5" i="36" s="1"/>
  <c r="CD34" i="36"/>
  <c r="CQ27" i="36"/>
  <c r="DA176" i="35"/>
  <c r="D176" i="36" s="1"/>
  <c r="DA18" i="35"/>
  <c r="O18" i="36" s="1"/>
  <c r="AS27" i="36"/>
  <c r="U19" i="36"/>
  <c r="DB33" i="35"/>
  <c r="CZ33" i="36" s="1"/>
  <c r="DA32" i="35"/>
  <c r="AA32" i="36" s="1"/>
  <c r="BU42" i="36"/>
  <c r="R9" i="36"/>
  <c r="DA39" i="35"/>
  <c r="T39" i="36" s="1"/>
  <c r="DB14" i="35"/>
  <c r="CT14" i="36" s="1"/>
  <c r="BU11" i="36"/>
  <c r="BN27" i="36"/>
  <c r="BT44" i="36"/>
  <c r="BW34" i="36"/>
  <c r="DC181" i="35"/>
  <c r="BC181" i="36" s="1"/>
  <c r="CY13" i="36"/>
  <c r="CB44" i="36"/>
  <c r="BO27" i="36"/>
  <c r="AN34" i="36"/>
  <c r="BQ27" i="36"/>
  <c r="AH9" i="36"/>
  <c r="BT34" i="36"/>
  <c r="CF11" i="36"/>
  <c r="AQ33" i="36"/>
  <c r="AM27" i="36"/>
  <c r="K177" i="36"/>
  <c r="AH175" i="36"/>
  <c r="CO28" i="36"/>
  <c r="O9" i="36"/>
  <c r="AL44" i="36"/>
  <c r="DB39" i="35"/>
  <c r="CM39" i="36" s="1"/>
  <c r="CE11" i="36"/>
  <c r="W9" i="36"/>
  <c r="DB178" i="35"/>
  <c r="CS178" i="36" s="1"/>
  <c r="DB173" i="35"/>
  <c r="CU173" i="36" s="1"/>
  <c r="DC177" i="35"/>
  <c r="CI177" i="36" s="1"/>
  <c r="BV27" i="36"/>
  <c r="DB174" i="35"/>
  <c r="CZ174" i="36" s="1"/>
  <c r="DC43" i="35"/>
  <c r="AV43" i="36" s="1"/>
  <c r="BM42" i="36"/>
  <c r="P19" i="36"/>
  <c r="CQ4" i="36"/>
  <c r="BL34" i="36"/>
  <c r="DC173" i="35"/>
  <c r="AY173" i="36" s="1"/>
  <c r="BG44" i="36"/>
  <c r="BR34" i="36"/>
  <c r="AP34" i="36"/>
  <c r="R19" i="36"/>
  <c r="CN4" i="36"/>
  <c r="BE34" i="36"/>
  <c r="K175" i="36"/>
  <c r="AS34" i="36"/>
  <c r="AC9" i="36"/>
  <c r="BB11" i="36"/>
  <c r="AV42" i="36"/>
  <c r="DA40" i="35"/>
  <c r="C40" i="36" s="1"/>
  <c r="BV34" i="36"/>
  <c r="BL44" i="36"/>
  <c r="CA11" i="36"/>
  <c r="CR28" i="36"/>
  <c r="L9" i="36"/>
  <c r="W19" i="36"/>
  <c r="CB34" i="36"/>
  <c r="DB47" i="35"/>
  <c r="CU47" i="36" s="1"/>
  <c r="DC41" i="35"/>
  <c r="BG41" i="36" s="1"/>
  <c r="AR44" i="36"/>
  <c r="DC48" i="35"/>
  <c r="BT48" i="36" s="1"/>
  <c r="O175" i="36"/>
  <c r="CN32" i="36"/>
  <c r="DC32" i="35"/>
  <c r="CC32" i="36" s="1"/>
  <c r="BW8" i="36"/>
  <c r="DC47" i="35"/>
  <c r="CF47" i="36" s="1"/>
  <c r="F9" i="36"/>
  <c r="AB19" i="36"/>
  <c r="BV11" i="36"/>
  <c r="I19" i="36"/>
  <c r="CN13" i="36"/>
  <c r="DC176" i="35"/>
  <c r="AV176" i="36" s="1"/>
  <c r="DB18" i="35"/>
  <c r="CM18" i="36" s="1"/>
  <c r="DB41" i="35"/>
  <c r="CX41" i="36" s="1"/>
  <c r="CC27" i="36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AP33" i="36" l="1"/>
  <c r="AT33" i="36"/>
  <c r="AN42" i="36"/>
  <c r="CH42" i="36"/>
  <c r="BL33" i="36"/>
  <c r="BR33" i="36"/>
  <c r="AZ33" i="36"/>
  <c r="BA11" i="36"/>
  <c r="BR27" i="36"/>
  <c r="AP27" i="36"/>
  <c r="BJ27" i="36"/>
  <c r="BX27" i="36"/>
  <c r="CU13" i="36"/>
  <c r="CL8" i="36"/>
  <c r="CI8" i="36"/>
  <c r="CL39" i="36"/>
  <c r="CJ37" i="36"/>
  <c r="CI4" i="36"/>
  <c r="CK48" i="36"/>
  <c r="CL7" i="36"/>
  <c r="CL35" i="36"/>
  <c r="CK37" i="36"/>
  <c r="CI52" i="36"/>
  <c r="CI35" i="36"/>
  <c r="CJ41" i="36"/>
  <c r="CJ9" i="36"/>
  <c r="CL49" i="36"/>
  <c r="CI45" i="36"/>
  <c r="CJ179" i="36"/>
  <c r="CK23" i="36"/>
  <c r="CJ30" i="36"/>
  <c r="CJ11" i="36"/>
  <c r="CJ27" i="36"/>
  <c r="CI175" i="36"/>
  <c r="CI23" i="36"/>
  <c r="CI30" i="36"/>
  <c r="CJ15" i="36"/>
  <c r="CL19" i="36"/>
  <c r="CK24" i="36"/>
  <c r="CL6" i="36"/>
  <c r="CJ39" i="36"/>
  <c r="CJ47" i="36"/>
  <c r="CK41" i="36"/>
  <c r="CJ175" i="36"/>
  <c r="CK31" i="36"/>
  <c r="CK44" i="36"/>
  <c r="CL22" i="36"/>
  <c r="CJ43" i="36"/>
  <c r="CL5" i="36"/>
  <c r="CL24" i="36"/>
  <c r="CI49" i="36"/>
  <c r="CL15" i="36"/>
  <c r="CJ20" i="36"/>
  <c r="CJ12" i="36"/>
  <c r="CK22" i="36"/>
  <c r="CI174" i="36"/>
  <c r="CI47" i="36"/>
  <c r="CJ26" i="36"/>
  <c r="CI12" i="36"/>
  <c r="CI34" i="36"/>
  <c r="CI51" i="36"/>
  <c r="CJ7" i="36"/>
  <c r="CJ177" i="36"/>
  <c r="CI17" i="36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CI13" i="36" l="1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 l="1"/>
  <c r="U367" i="38"/>
  <c r="U130" i="38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V1045" i="27" s="1"/>
  <c r="AJ1045" i="27" s="1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1072" i="27" s="1"/>
  <c r="AJ1072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R473" i="22"/>
  <c r="R354" i="22"/>
  <c r="R521" i="22"/>
  <c r="R818" i="22"/>
  <c r="V1074" i="27" s="1"/>
  <c r="AJ1074" i="27" s="1"/>
  <c r="R836" i="22"/>
  <c r="R806" i="22"/>
  <c r="R630" i="22"/>
  <c r="V292" i="27" s="1"/>
  <c r="AJ292" i="27" s="1"/>
  <c r="R756" i="22"/>
  <c r="R604" i="22"/>
  <c r="R123" i="22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069" i="27" l="1"/>
  <c r="AJ1069" i="27" s="1"/>
  <c r="V1073" i="27"/>
  <c r="AJ1073" i="27" s="1"/>
  <c r="V1064" i="27"/>
  <c r="AJ1064" i="27" s="1"/>
  <c r="V1067" i="27"/>
  <c r="AJ1067" i="27" s="1"/>
  <c r="V1071" i="27"/>
  <c r="AJ1071" i="27" s="1"/>
  <c r="V1060" i="27"/>
  <c r="AJ1060" i="27" s="1"/>
  <c r="V1070" i="27"/>
  <c r="AJ1070" i="27" s="1"/>
  <c r="V1068" i="27"/>
  <c r="AJ1068" i="27" s="1"/>
  <c r="V1066" i="27"/>
  <c r="AJ1066" i="27" s="1"/>
  <c r="V1062" i="27"/>
  <c r="AJ1062" i="27" s="1"/>
  <c r="V1065" i="27"/>
  <c r="AJ1065" i="27" s="1"/>
  <c r="V1063" i="27"/>
  <c r="AJ1063" i="27" s="1"/>
  <c r="V1061" i="27"/>
  <c r="AJ1061" i="27" s="1"/>
  <c r="V1052" i="27"/>
  <c r="AJ1052" i="27" s="1"/>
  <c r="V1059" i="27"/>
  <c r="AJ1059" i="27" s="1"/>
  <c r="V1057" i="27"/>
  <c r="AJ1057" i="27" s="1"/>
  <c r="V1058" i="27"/>
  <c r="AJ1058" i="27" s="1"/>
  <c r="V138" i="27"/>
  <c r="AJ138" i="27" s="1"/>
  <c r="V1056" i="27"/>
  <c r="AJ1056" i="27" s="1"/>
  <c r="V54" i="27"/>
  <c r="AJ54" i="27" s="1"/>
  <c r="V1055" i="27"/>
  <c r="AJ1055" i="27" s="1"/>
  <c r="V1043" i="27"/>
  <c r="AJ1043" i="27" s="1"/>
  <c r="V1054" i="27"/>
  <c r="AJ1054" i="27" s="1"/>
  <c r="V1042" i="27"/>
  <c r="AJ1042" i="27" s="1"/>
  <c r="V1053" i="27"/>
  <c r="AJ1053" i="27" s="1"/>
  <c r="V1050" i="27"/>
  <c r="AJ1050" i="27" s="1"/>
  <c r="V1051" i="27"/>
  <c r="AJ1051" i="27" s="1"/>
  <c r="V1040" i="27"/>
  <c r="AJ1040" i="27" s="1"/>
  <c r="V1049" i="27"/>
  <c r="AJ1049" i="27" s="1"/>
  <c r="V1048" i="27"/>
  <c r="AJ1048" i="27" s="1"/>
  <c r="V1047" i="27"/>
  <c r="AJ1047" i="27" s="1"/>
  <c r="V1044" i="27"/>
  <c r="AJ1044" i="27" s="1"/>
  <c r="V1046" i="27"/>
  <c r="AJ1046" i="27" s="1"/>
  <c r="V1034" i="27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<sst xmlns="http://schemas.openxmlformats.org/spreadsheetml/2006/main" count="17870" uniqueCount="1939">
  <si>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</si>
  <si>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</si>
  <si>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</si>
  <si>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</si>
  <si>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</si>
  <si>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</si>
  <si>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</si>
  <si>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</si>
  <si>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</si>
  <si>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</si>
  <si>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</si>
  <si>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</si>
  <si>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</si>
  <si>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</si>
  <si>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</si>
  <si>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</si>
  <si>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</si>
  <si>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</si>
  <si>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</si>
  <si>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</si>
  <si>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</si>
  <si>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</si>
  <si>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</si>
  <si>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</si>
  <si>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</si>
  <si>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</si>
  <si>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</si>
  <si>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</si>
  <si>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</si>
  <si>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</si>
  <si>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</si>
  <si>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</si>
  <si>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</si>
  <si>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</si>
  <si>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</si>
  <si>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</si>
  <si>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</si>
  <si>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</si>
  <si>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</si>
  <si>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</si>
  <si>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</si>
  <si>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</si>
  <si>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</si>
  <si>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</si>
  <si>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</si>
  <si>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</si>
  <si>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</si>
  <si>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</si>
  <si>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</si>
  <si>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</si>
  <si>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</si>
  <si>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</si>
  <si>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</si>
  <si>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</si>
  <si>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</si>
  <si>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</si>
  <si>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</si>
  <si>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</si>
  <si>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</si>
  <si>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</si>
  <si>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</si>
  <si>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</si>
  <si>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</si>
  <si>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</si>
  <si>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</si>
  <si>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</si>
  <si>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</si>
  <si>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</si>
  <si>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</si>
  <si>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</si>
  <si>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</si>
  <si>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</si>
  <si>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</si>
  <si>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</si>
  <si>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</si>
  <si>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</si>
  <si>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</si>
  <si>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</si>
  <si>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</si>
  <si>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</si>
  <si>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</si>
  <si>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</si>
  <si>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</si>
  <si>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</si>
  <si>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</si>
  <si>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</si>
  <si>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</si>
  <si>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</si>
  <si>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</si>
  <si>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</si>
  <si>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</si>
  <si>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</si>
  <si>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</si>
  <si>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</si>
  <si>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</si>
  <si>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</si>
  <si>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</si>
  <si>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</si>
  <si>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</si>
  <si>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</si>
  <si>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</si>
  <si>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</si>
  <si>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</si>
  <si>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</si>
  <si>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</si>
  <si>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</si>
  <si>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</si>
  <si>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</si>
  <si>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</si>
  <si>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</si>
  <si>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</si>
  <si>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</si>
  <si>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</si>
  <si>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</si>
  <si>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</si>
  <si>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</si>
  <si>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</si>
  <si>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</si>
  <si>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</si>
  <si>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</si>
  <si>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</si>
  <si>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</si>
  <si>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</si>
  <si>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</si>
  <si>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</si>
  <si>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</si>
  <si>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</si>
  <si>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</si>
  <si>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</si>
  <si>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</si>
  <si>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</si>
  <si>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</si>
  <si>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</si>
  <si>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</si>
  <si>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</si>
  <si>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</si>
  <si>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</si>
  <si>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</si>
  <si>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</si>
  <si>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</si>
  <si>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</si>
  <si>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</si>
  <si>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</si>
  <si>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</si>
  <si>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</si>
  <si>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</si>
  <si>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</si>
  <si>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</si>
  <si>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</si>
  <si>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</si>
  <si>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</si>
  <si>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</si>
  <si>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</si>
  <si>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</si>
  <si>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</si>
  <si>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</si>
  <si>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</si>
  <si>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</si>
  <si>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</si>
  <si>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</si>
  <si>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</si>
  <si>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</si>
  <si>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</si>
  <si>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</si>
  <si>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</si>
  <si>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</si>
  <si>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</si>
  <si>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</si>
  <si>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</si>
  <si>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</si>
  <si>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</si>
  <si>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</si>
  <si>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</si>
  <si>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</si>
  <si>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</si>
  <si>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</si>
  <si>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</si>
  <si>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</si>
  <si>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</si>
  <si>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</si>
  <si>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</si>
  <si>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</si>
  <si>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</si>
  <si>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</si>
  <si>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</si>
  <si>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</si>
  <si>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</si>
  <si>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</si>
  <si>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</si>
  <si>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</si>
  <si>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</si>
  <si>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</si>
  <si>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</si>
  <si>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</si>
  <si>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</si>
  <si>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</si>
  <si>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</si>
  <si>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</si>
  <si>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</si>
  <si>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</si>
  <si>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</si>
  <si>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</si>
  <si>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</si>
  <si>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</si>
  <si>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</si>
  <si>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</si>
  <si>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</si>
  <si>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</si>
  <si>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</si>
  <si>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</si>
  <si>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</si>
  <si>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</si>
  <si>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</si>
  <si>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</si>
  <si>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</si>
  <si>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</si>
  <si>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</si>
  <si>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</si>
  <si>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</si>
  <si>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</si>
  <si>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</si>
  <si>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</si>
  <si>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</si>
  <si>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</si>
  <si>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</si>
  <si>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</si>
  <si>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</si>
  <si>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</si>
  <si>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</si>
  <si>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</si>
  <si>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</si>
  <si>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</si>
  <si>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</si>
  <si>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</si>
  <si>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</si>
  <si>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</si>
  <si>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</si>
  <si>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</si>
  <si>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</si>
  <si>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</si>
  <si>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</si>
  <si>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</si>
  <si>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</si>
  <si>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</si>
  <si>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</si>
  <si>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</si>
  <si>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</si>
  <si>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</si>
  <si>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</si>
  <si>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</si>
  <si>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</si>
  <si>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</si>
  <si>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</si>
  <si>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</si>
  <si>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</si>
  <si>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</si>
  <si>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</si>
  <si>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</si>
  <si>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</si>
  <si>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</si>
  <si>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</si>
  <si>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</si>
  <si>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</si>
  <si>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</si>
  <si>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</si>
  <si>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</si>
  <si>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</si>
  <si>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</si>
  <si>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</si>
  <si>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</si>
  <si>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</si>
  <si>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</si>
  <si>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</si>
  <si>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</si>
  <si>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</si>
  <si>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</si>
  <si>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</si>
  <si>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</si>
  <si>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</si>
  <si>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</si>
  <si>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</si>
  <si>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</si>
  <si>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</si>
  <si>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</si>
  <si>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</si>
  <si>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</si>
  <si>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</si>
  <si>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</si>
  <si>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</si>
  <si>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</si>
  <si>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</si>
  <si>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</si>
  <si>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</si>
  <si>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</si>
  <si>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</si>
  <si>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</si>
  <si>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</si>
  <si>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</si>
  <si>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</si>
  <si>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</si>
  <si>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</si>
  <si>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</si>
  <si>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</si>
  <si>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</si>
  <si>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</si>
  <si>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</si>
  <si>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</si>
  <si>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</si>
  <si>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</si>
  <si>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</si>
  <si>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</si>
  <si>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</si>
  <si>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</si>
  <si>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</si>
  <si>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</si>
  <si>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</si>
  <si>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</si>
  <si>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</si>
  <si>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</si>
  <si>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</si>
  <si>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</si>
  <si>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</si>
  <si>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</si>
  <si>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</si>
  <si>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</si>
  <si>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</si>
  <si>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</si>
  <si>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</si>
  <si>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</si>
  <si>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</si>
  <si>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</si>
  <si>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</si>
  <si>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</si>
  <si>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</si>
  <si>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</si>
  <si>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</si>
  <si>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</si>
  <si>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</si>
  <si>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</si>
  <si>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</si>
  <si>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</si>
  <si>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</si>
  <si>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</si>
  <si>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</si>
  <si>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</si>
  <si>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</si>
  <si>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</si>
  <si>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</si>
  <si>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</si>
  <si>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</si>
  <si>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</si>
  <si>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</si>
  <si>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</si>
  <si>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</si>
  <si>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</si>
  <si>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</si>
  <si>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</si>
  <si>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</si>
  <si>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</si>
  <si>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</si>
  <si>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</si>
  <si>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</si>
  <si>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</si>
  <si>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</si>
  <si>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</si>
  <si>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</si>
  <si>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</si>
  <si>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</si>
  <si>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</si>
  <si>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</si>
  <si>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</si>
  <si>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</si>
  <si>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</si>
  <si>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</si>
  <si>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</si>
  <si>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</si>
  <si>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</si>
  <si>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</si>
  <si>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</si>
  <si>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</si>
  <si>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</si>
  <si>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</si>
  <si>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</si>
  <si>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</si>
  <si>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</si>
  <si>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</si>
  <si>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</si>
  <si>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</si>
  <si>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</si>
  <si>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</si>
  <si>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</si>
  <si>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</si>
  <si>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</si>
  <si>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</si>
  <si>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</si>
  <si>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</si>
  <si>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</si>
  <si>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</si>
  <si>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</si>
  <si>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</si>
  <si>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</si>
  <si>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</si>
  <si>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</si>
  <si>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</si>
  <si>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</si>
  <si>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</si>
  <si>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</si>
  <si>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</si>
  <si>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</si>
  <si>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</si>
  <si>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</si>
  <si>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</si>
  <si>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</si>
  <si>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</si>
  <si>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</si>
  <si>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</si>
  <si>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</si>
  <si>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</si>
  <si>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</si>
  <si>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</si>
  <si>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</si>
  <si>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</si>
  <si>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</si>
  <si>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</si>
  <si>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</si>
  <si>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</si>
  <si>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</si>
  <si>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</si>
  <si>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</si>
  <si>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</si>
  <si>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</si>
  <si>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</si>
  <si>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</si>
  <si>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</si>
  <si>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</si>
  <si>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</si>
  <si>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</si>
  <si>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</si>
  <si>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</si>
  <si>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</si>
  <si>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</si>
  <si>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</si>
  <si>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</si>
  <si>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</si>
  <si>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</si>
  <si>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</si>
  <si>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</si>
  <si>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</si>
  <si>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</si>
  <si>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</si>
  <si>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</si>
  <si>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</si>
  <si>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</si>
  <si>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</si>
  <si>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</si>
  <si>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</si>
  <si>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</si>
  <si>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</si>
  <si>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</si>
  <si>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</si>
  <si>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</si>
  <si>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</si>
  <si>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</si>
  <si>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</si>
  <si>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</si>
  <si>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</si>
  <si>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</si>
  <si>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</si>
  <si>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</si>
  <si>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</si>
  <si>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</si>
  <si>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</si>
  <si>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</si>
  <si>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</si>
  <si>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</si>
  <si>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</si>
  <si>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</si>
  <si>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</si>
  <si>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</si>
  <si>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</si>
  <si>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</si>
  <si>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</si>
  <si>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</si>
  <si>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</si>
  <si>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</si>
  <si>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</si>
  <si>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</si>
  <si>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</si>
  <si>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</si>
  <si>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</si>
  <si>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</si>
  <si>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</si>
  <si>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</si>
  <si>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</si>
  <si>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</si>
  <si>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</si>
  <si>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</si>
  <si>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</si>
  <si>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</si>
  <si>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</si>
  <si>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</si>
  <si>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</si>
  <si>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</si>
  <si>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</si>
  <si>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</si>
  <si>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</si>
  <si>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</si>
  <si>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</si>
  <si>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</si>
  <si>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</si>
  <si>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</si>
  <si>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</si>
  <si>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</si>
  <si>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</si>
  <si>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</si>
  <si>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</si>
  <si>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</si>
  <si>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</si>
  <si>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</si>
  <si>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</si>
  <si>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</si>
  <si>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</si>
  <si>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</si>
  <si>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</si>
  <si>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</si>
  <si>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</si>
  <si>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</si>
  <si>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</si>
  <si>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</si>
  <si>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</si>
  <si>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</si>
  <si>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</si>
  <si>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</si>
  <si>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</si>
  <si>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</si>
  <si>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</si>
  <si>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</si>
  <si>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</si>
  <si>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</si>
  <si>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</si>
  <si>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</si>
  <si>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</si>
  <si>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</si>
  <si>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</si>
  <si>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</si>
  <si>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</si>
  <si>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</si>
  <si>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</si>
  <si>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</si>
  <si>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</si>
  <si>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</si>
  <si>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</si>
  <si>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</si>
  <si>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</si>
  <si>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</si>
  <si>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</si>
  <si>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</si>
  <si>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</si>
  <si>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</si>
  <si>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</si>
  <si>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</si>
  <si>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</si>
  <si>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</si>
  <si>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</si>
  <si>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</si>
  <si>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</si>
  <si>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</si>
  <si>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</si>
  <si>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</si>
  <si>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</si>
  <si>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</si>
  <si>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</si>
  <si>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</si>
  <si>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</si>
  <si>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</si>
  <si>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</si>
  <si>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</si>
  <si>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</si>
  <si>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</si>
  <si>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</si>
  <si>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</si>
  <si>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</si>
  <si>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</si>
  <si>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</si>
  <si>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</si>
  <si>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</si>
  <si>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</si>
  <si>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</si>
  <si>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</si>
  <si>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</si>
  <si>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</si>
  <si>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</si>
  <si>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</si>
  <si>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</si>
  <si>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</si>
  <si>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</si>
  <si>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</si>
  <si>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</si>
  <si>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</si>
  <si>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</si>
  <si>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</si>
  <si>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</si>
  <si>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</si>
  <si>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</si>
  <si>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</si>
  <si>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</si>
  <si>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</si>
  <si>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</si>
  <si>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</si>
  <si>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</si>
  <si>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</si>
  <si>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</si>
  <si>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</si>
  <si>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</si>
  <si>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</si>
  <si>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</si>
  <si>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</si>
  <si>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</si>
  <si>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</si>
  <si>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</si>
  <si>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</si>
  <si>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</si>
  <si>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</si>
  <si>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</si>
  <si>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</si>
  <si>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</si>
  <si>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</si>
  <si>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</si>
  <si>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</si>
  <si>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</si>
  <si>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</si>
  <si>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</si>
  <si>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</si>
  <si>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</si>
  <si>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</si>
  <si>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</si>
  <si>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</si>
  <si>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</si>
  <si>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</si>
  <si>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</si>
  <si>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</si>
  <si>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</si>
  <si>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</si>
  <si>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</si>
  <si>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</si>
  <si>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</si>
  <si>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</si>
  <si>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</si>
  <si>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</si>
  <si>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</si>
  <si>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</si>
  <si>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</si>
  <si>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</si>
  <si>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</si>
  <si>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</si>
  <si>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</si>
  <si>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</si>
  <si>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</si>
  <si>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</si>
  <si>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</si>
  <si>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</si>
  <si>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</si>
  <si>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</si>
  <si>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</si>
  <si>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</si>
  <si>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</si>
  <si>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</si>
  <si>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</si>
  <si>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</si>
  <si>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</si>
  <si>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</si>
  <si>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</si>
  <si>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</si>
  <si>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</si>
  <si>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</si>
  <si>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</si>
  <si>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</si>
  <si>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</si>
  <si>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</si>
  <si>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</si>
  <si>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</si>
  <si>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</si>
  <si>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</si>
  <si>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</si>
  <si>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</si>
  <si>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</si>
  <si>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</si>
  <si>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</si>
  <si>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</si>
  <si>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</si>
  <si>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</si>
  <si>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</si>
  <si>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</si>
  <si>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</si>
  <si>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</si>
  <si>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</si>
  <si>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</si>
  <si>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</si>
  <si>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</si>
  <si>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</si>
  <si>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</si>
  <si>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</si>
  <si>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</si>
  <si>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</si>
  <si>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</si>
  <si>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</si>
  <si>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</si>
  <si>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</si>
  <si>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</si>
  <si>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</si>
  <si>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</si>
  <si>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</si>
  <si>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</si>
  <si>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</si>
  <si>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</si>
  <si>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</si>
  <si>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</si>
  <si>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</si>
  <si>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</si>
  <si>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</si>
  <si>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</si>
  <si>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</si>
  <si>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</si>
  <si>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</si>
  <si>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</si>
  <si>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</si>
  <si>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</si>
  <si>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</si>
  <si>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</si>
  <si>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</si>
  <si>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</si>
  <si>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</si>
  <si>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</si>
  <si>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</si>
  <si>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</si>
  <si>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</si>
  <si>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</si>
  <si>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</si>
  <si>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</si>
  <si>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</si>
  <si>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</si>
  <si>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</si>
  <si>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</si>
  <si>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</si>
  <si>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</si>
  <si>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</si>
  <si>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</si>
  <si>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</si>
  <si>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</si>
  <si>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</si>
  <si>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</si>
  <si>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</si>
  <si>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</si>
  <si>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</si>
  <si>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</si>
  <si>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</si>
  <si>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</si>
  <si>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</si>
  <si>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</si>
  <si>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</si>
  <si>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</si>
  <si>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</si>
  <si>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</si>
  <si>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</si>
  <si>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</si>
  <si>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</si>
  <si>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</si>
  <si>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</si>
  <si>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</si>
  <si>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</si>
  <si>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</si>
  <si>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</si>
  <si>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</si>
  <si>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</si>
  <si>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</si>
  <si>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</si>
  <si>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</si>
  <si>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</si>
  <si>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</si>
  <si>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</si>
  <si>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</si>
  <si>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</si>
  <si>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</si>
  <si>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</si>
  <si>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</si>
  <si>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</si>
  <si>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</si>
  <si>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</si>
  <si>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</si>
  <si>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</si>
  <si>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</si>
  <si>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</si>
  <si>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</si>
  <si>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</si>
  <si>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</si>
  <si>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</si>
  <si>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</si>
  <si>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</si>
  <si>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</si>
  <si>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</si>
  <si>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</si>
  <si>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</si>
  <si>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</si>
  <si>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</si>
  <si>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</si>
  <si>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</si>
  <si>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</si>
  <si>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</si>
  <si>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</si>
  <si>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</si>
  <si>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</si>
  <si>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</si>
  <si>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</si>
  <si>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</si>
  <si>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</si>
  <si>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</si>
  <si>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</si>
  <si>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</si>
  <si>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</si>
  <si>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</si>
  <si>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</si>
  <si>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</si>
  <si>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</si>
  <si>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</si>
  <si>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</si>
  <si>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</si>
  <si>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</si>
  <si>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</si>
  <si>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</si>
  <si>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</si>
  <si>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</si>
  <si>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</si>
  <si>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</si>
  <si>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</si>
  <si>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</si>
  <si>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</si>
  <si>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</si>
  <si>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</si>
  <si>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</si>
  <si>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</si>
  <si>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</si>
  <si>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</si>
  <si>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</si>
  <si>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</si>
  <si>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</si>
  <si>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</si>
  <si>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</si>
  <si>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</si>
  <si>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</si>
  <si>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</si>
  <si>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</si>
  <si>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</si>
  <si>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</si>
  <si>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</si>
  <si>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</si>
  <si>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</si>
  <si>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</si>
  <si>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</si>
  <si>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</si>
  <si>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</si>
  <si>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</si>
  <si>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</si>
  <si>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</si>
  <si>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</si>
  <si>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</si>
  <si>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</si>
  <si>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</si>
  <si>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</si>
  <si>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</si>
  <si>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</si>
  <si>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</si>
  <si>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</si>
  <si>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</si>
  <si>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</si>
  <si>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</si>
  <si>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</si>
  <si>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</si>
  <si>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</si>
  <si>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</si>
  <si>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</si>
  <si>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</si>
  <si>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</si>
  <si>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</si>
  <si>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</si>
  <si>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</si>
  <si>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</si>
  <si>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</si>
  <si>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</si>
  <si>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</si>
  <si>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</si>
  <si>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</si>
  <si>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</si>
  <si>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</si>
  <si>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</si>
  <si>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</si>
  <si>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</si>
  <si>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</si>
  <si>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</si>
  <si>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</si>
  <si>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</si>
  <si>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</si>
  <si>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</si>
  <si>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</si>
  <si>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</si>
  <si>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</si>
  <si>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</si>
  <si>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</si>
  <si>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</si>
  <si>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</si>
  <si>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</si>
  <si>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</si>
  <si>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</si>
  <si>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</si>
  <si>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</si>
  <si>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</si>
  <si>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</si>
  <si>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</si>
  <si>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</si>
  <si>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</si>
  <si>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</si>
  <si>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</si>
  <si>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</si>
  <si>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</si>
  <si>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</si>
  <si>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</si>
  <si>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</si>
  <si>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</si>
  <si>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</si>
  <si>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</si>
  <si>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</si>
  <si>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</si>
  <si>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</si>
  <si>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</si>
  <si>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</si>
  <si>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</si>
  <si>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</si>
  <si>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</si>
  <si>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</si>
  <si>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</si>
  <si>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</si>
  <si>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</si>
  <si>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</si>
  <si>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</si>
  <si>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</si>
  <si>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</si>
  <si>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</si>
  <si>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</si>
  <si>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</si>
  <si>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</si>
  <si>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</si>
  <si>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</si>
  <si>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</si>
  <si>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</si>
  <si>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</si>
  <si>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</si>
  <si>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</si>
  <si>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</si>
  <si>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</si>
  <si>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</si>
  <si>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</si>
  <si>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</si>
  <si>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</si>
  <si>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</si>
  <si>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</si>
  <si>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</si>
  <si>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</si>
  <si>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</si>
  <si>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</si>
  <si>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</si>
  <si>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</si>
  <si>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</si>
  <si>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</si>
  <si>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</si>
  <si>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</si>
  <si>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</si>
  <si>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</si>
  <si>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</si>
  <si>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</si>
  <si>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</si>
  <si>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</si>
  <si>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</si>
  <si>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</si>
  <si>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</si>
  <si>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</si>
  <si>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</si>
  <si>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</si>
  <si>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</si>
  <si>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</si>
  <si>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</si>
  <si>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</si>
  <si>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</si>
  <si>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</si>
  <si>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</si>
  <si>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</si>
  <si>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</si>
  <si>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</si>
  <si>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</si>
  <si>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</si>
  <si>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</si>
  <si>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</si>
  <si>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</si>
  <si>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</si>
  <si>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</si>
  <si>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</si>
  <si>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</si>
  <si>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</si>
  <si>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</si>
  <si>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</si>
  <si>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</si>
  <si>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</si>
  <si>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</si>
  <si>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</si>
  <si>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</si>
  <si>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</si>
  <si>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</si>
  <si>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</si>
  <si>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</si>
  <si>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</si>
  <si>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</si>
  <si>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</si>
  <si>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</si>
  <si>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</si>
  <si>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</si>
  <si>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</si>
  <si>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</si>
  <si>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</si>
  <si>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</si>
  <si>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</si>
  <si>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</si>
  <si>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</si>
  <si>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</si>
  <si>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</si>
  <si>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</si>
  <si>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</si>
  <si>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</si>
  <si>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</si>
  <si>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</si>
  <si>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</si>
  <si>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</si>
  <si>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</si>
  <si>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</si>
  <si>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</si>
  <si>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</si>
  <si>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</si>
  <si>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</si>
  <si>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</si>
  <si>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</si>
  <si>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</si>
  <si>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</si>
  <si>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</si>
  <si>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</si>
  <si>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</si>
  <si>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</si>
  <si>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</si>
  <si>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</si>
  <si>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</si>
  <si>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</si>
  <si>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</si>
  <si>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</si>
  <si>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</si>
  <si>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</si>
  <si>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</si>
  <si>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</si>
  <si>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</si>
  <si>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</si>
  <si>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</si>
  <si>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</si>
  <si>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</si>
  <si>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</si>
  <si>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</si>
  <si>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</si>
  <si>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</si>
  <si>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</si>
  <si>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</si>
  <si>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</si>
  <si>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</si>
  <si>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</si>
  <si>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</si>
  <si>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</si>
  <si>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</si>
  <si>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</si>
  <si>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</si>
  <si>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</si>
  <si>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</si>
  <si>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</si>
  <si>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</si>
  <si>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</si>
  <si>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</si>
  <si>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</si>
  <si>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</si>
  <si>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</si>
  <si>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</si>
  <si>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</si>
  <si>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</si>
  <si>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</si>
  <si>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</si>
  <si>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</si>
  <si>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</si>
  <si>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</si>
  <si>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</si>
  <si>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</si>
  <si>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</si>
  <si>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</si>
  <si>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</si>
  <si>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</si>
  <si>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</si>
  <si>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</si>
  <si>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</si>
  <si>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</si>
  <si>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</si>
  <si>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</si>
  <si>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</si>
  <si>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</si>
  <si>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</si>
  <si>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</si>
  <si>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</si>
  <si>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</si>
  <si>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</si>
  <si>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</si>
  <si>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</si>
  <si>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</si>
  <si>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</si>
  <si>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</si>
  <si>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</si>
  <si>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</si>
  <si>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</si>
  <si>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</si>
  <si>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</si>
  <si>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</si>
  <si>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</si>
  <si>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</si>
  <si>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</si>
  <si>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</si>
  <si>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</si>
  <si>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</si>
  <si>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</si>
  <si>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</si>
  <si>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</si>
  <si>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</si>
  <si>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</si>
  <si>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</si>
  <si>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</si>
  <si>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</si>
  <si>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</si>
  <si>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</si>
  <si>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</si>
  <si>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</si>
  <si>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</si>
  <si>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</si>
  <si>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</si>
  <si>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</si>
  <si>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</si>
  <si>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</si>
  <si>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</si>
  <si>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</si>
  <si>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</si>
  <si>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</si>
  <si>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</si>
  <si>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</si>
  <si>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</si>
  <si>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</si>
  <si>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</si>
  <si>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</si>
  <si>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</si>
  <si>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</si>
  <si>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</si>
  <si>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</si>
  <si>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</si>
  <si>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</si>
  <si>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</si>
  <si>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</si>
  <si>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</si>
  <si>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</si>
  <si>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</si>
  <si>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</si>
  <si>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</si>
  <si>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</si>
  <si>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</si>
  <si>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</si>
  <si>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</si>
  <si>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</si>
  <si>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</si>
  <si>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</si>
  <si>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</si>
  <si>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</si>
  <si>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</si>
  <si>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</si>
  <si>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</si>
  <si>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</si>
  <si>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</si>
  <si>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</si>
  <si>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</si>
  <si>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</si>
  <si>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</si>
  <si>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</si>
  <si>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</si>
  <si>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</si>
  <si>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</si>
  <si>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</si>
  <si>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</si>
  <si>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</si>
  <si>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</si>
  <si>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</si>
  <si>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</si>
  <si>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</si>
  <si>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</si>
  <si>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</si>
  <si>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</si>
  <si>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</si>
  <si>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</si>
  <si>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</si>
  <si>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</si>
  <si>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</si>
  <si>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</si>
  <si>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</si>
  <si>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</si>
  <si>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</si>
  <si>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</si>
  <si>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</si>
  <si>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</si>
  <si>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</si>
  <si>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</si>
  <si>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</si>
  <si>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</si>
  <si>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</si>
  <si>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</si>
  <si>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</si>
  <si>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</si>
  <si>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</si>
  <si>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</si>
  <si>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</si>
  <si>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</si>
  <si>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</si>
  <si>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</si>
  <si>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</si>
  <si>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</si>
  <si>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</si>
  <si>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</si>
  <si>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</si>
  <si>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</si>
  <si>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</si>
  <si>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</si>
  <si>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</si>
  <si>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</si>
  <si>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</si>
  <si>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</si>
  <si>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</si>
  <si>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</si>
  <si>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</si>
  <si>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</si>
  <si>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</si>
  <si>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</si>
  <si>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</si>
  <si>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</si>
  <si>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</si>
  <si>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</si>
  <si>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</si>
  <si>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</si>
  <si>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</si>
  <si>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</si>
  <si>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</si>
  <si>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</si>
  <si>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</si>
  <si>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</si>
  <si>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</si>
  <si>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</si>
  <si>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</si>
  <si>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</si>
  <si>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</si>
  <si>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</si>
  <si>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</si>
  <si>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</si>
  <si>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</si>
  <si>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</si>
  <si>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</si>
  <si>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</si>
  <si>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</si>
  <si>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</si>
  <si>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</si>
  <si>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</si>
  <si>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</si>
  <si>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</si>
  <si>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</si>
  <si>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</si>
  <si>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</si>
  <si>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</si>
  <si>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</si>
  <si>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</si>
  <si>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</si>
  <si>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</si>
  <si>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</si>
  <si>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</si>
  <si>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</si>
  <si>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</si>
  <si>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</si>
  <si>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</si>
  <si>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</si>
  <si>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</si>
  <si>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</si>
  <si>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</si>
  <si>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</si>
  <si>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</si>
  <si>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</si>
  <si>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</si>
  <si>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</si>
  <si>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</si>
  <si>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</si>
  <si>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</si>
  <si>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</si>
  <si>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</si>
  <si>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</si>
  <si>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</si>
  <si>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</si>
  <si>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</si>
  <si>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</si>
  <si>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</si>
  <si>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</si>
  <si>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</si>
  <si>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</si>
  <si>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</si>
  <si>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</si>
  <si>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</si>
  <si>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</si>
  <si>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</si>
  <si>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</si>
  <si>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</si>
  <si>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</si>
  <si>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</si>
  <si>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</si>
  <si>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</si>
  <si>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</si>
  <si>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</si>
  <si>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</si>
  <si>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</si>
  <si>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</si>
  <si>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</si>
  <si>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</si>
  <si>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</si>
  <si>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</si>
  <si>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</si>
  <si>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</si>
  <si>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</si>
  <si>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</si>
  <si>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</si>
  <si>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</si>
  <si>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</si>
  <si>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</si>
  <si>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</si>
  <si>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</si>
  <si>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</si>
  <si>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</si>
  <si>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</si>
  <si>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</si>
  <si>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</si>
  <si>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</si>
  <si>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</si>
  <si>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</si>
  <si>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</si>
  <si>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</si>
  <si>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</si>
  <si>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</si>
  <si>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</si>
  <si>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</si>
  <si>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</si>
  <si>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</si>
  <si>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</si>
  <si>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</si>
  <si>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</si>
  <si>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</si>
  <si>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</si>
  <si>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</si>
  <si>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</si>
  <si>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</si>
  <si>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</si>
  <si>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</si>
  <si>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</si>
  <si>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</si>
  <si>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</si>
  <si>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</si>
  <si>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</si>
  <si>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</si>
  <si>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</si>
  <si>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</si>
  <si>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</si>
  <si>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</si>
  <si>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</si>
  <si>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</si>
  <si>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</si>
  <si>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</si>
  <si>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</si>
  <si>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</si>
  <si>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</si>
  <si>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</si>
  <si>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</si>
  <si>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</si>
  <si>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</si>
  <si>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</si>
  <si>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</si>
  <si>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</si>
  <si>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</si>
  <si>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</si>
  <si>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</si>
  <si>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</si>
  <si>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</si>
  <si>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</si>
  <si>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</si>
  <si>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</si>
  <si>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</si>
  <si>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</si>
  <si>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</si>
  <si>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</si>
  <si>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</si>
  <si>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</si>
  <si>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</si>
  <si>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</si>
  <si>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</si>
  <si>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</si>
  <si>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</si>
  <si>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</si>
  <si>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</si>
  <si>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</si>
  <si>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</si>
  <si>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</si>
  <si>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</si>
  <si>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</si>
  <si>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</si>
  <si>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</si>
  <si>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</si>
  <si>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</si>
  <si>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</si>
  <si>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</si>
  <si>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</si>
  <si>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</si>
  <si>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</si>
  <si>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</si>
  <si>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</si>
  <si>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</si>
  <si>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</si>
  <si>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</si>
  <si>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</si>
  <si>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</si>
  <si>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</si>
  <si>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</si>
  <si>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</si>
  <si>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</si>
  <si>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</si>
  <si>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</si>
  <si>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</si>
  <si>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</si>
  <si>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</si>
  <si>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</si>
  <si>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</si>
  <si>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</si>
  <si>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</si>
  <si>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</si>
  <si>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</si>
  <si>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</si>
  <si>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</si>
  <si>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</si>
  <si>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</si>
  <si>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</si>
  <si>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</si>
  <si>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</si>
  <si>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</si>
  <si>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</si>
  <si>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</si>
  <si>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</si>
  <si>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</si>
  <si>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</si>
  <si>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</si>
  <si>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</si>
  <si>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</si>
  <si>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</si>
  <si>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</si>
  <si>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</si>
  <si>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</si>
  <si>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</si>
  <si>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</si>
  <si>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</si>
  <si>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</si>
  <si>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</si>
  <si>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</si>
  <si>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</si>
  <si>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</si>
  <si>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</si>
  <si>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</si>
  <si>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</si>
  <si>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</si>
  <si>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</si>
  <si>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</si>
  <si>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</si>
  <si>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</si>
  <si>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</si>
  <si>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</si>
  <si>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</si>
  <si>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</si>
  <si>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</si>
  <si>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</si>
  <si>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</si>
  <si>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</si>
  <si>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</si>
  <si>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</si>
  <si>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</si>
  <si>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</si>
  <si>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</si>
  <si>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</si>
  <si>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</si>
  <si>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</si>
  <si>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</si>
  <si>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</si>
  <si>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</si>
  <si>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</si>
  <si>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</si>
  <si>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</si>
  <si>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</si>
  <si>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</si>
  <si>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</si>
  <si>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</si>
  <si>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</si>
  <si>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</si>
  <si>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</si>
  <si>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</si>
  <si>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</si>
  <si>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</si>
  <si>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</si>
  <si>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</si>
  <si>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</si>
  <si>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</si>
  <si>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</si>
  <si>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</si>
  <si>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</si>
  <si>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</si>
  <si>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</si>
  <si>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</si>
  <si>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</si>
  <si>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</si>
  <si>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</si>
  <si>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</si>
  <si>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</si>
  <si>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</si>
  <si>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</si>
  <si>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</si>
  <si>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</si>
  <si>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</si>
  <si>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</si>
  <si>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</si>
  <si>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</si>
  <si>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</si>
  <si>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</si>
  <si>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</si>
  <si>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</si>
  <si>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</si>
  <si>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</si>
  <si>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</si>
  <si>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</si>
  <si>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</si>
  <si>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</si>
  <si>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</si>
  <si>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</si>
  <si>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</si>
  <si>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</si>
  <si>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</si>
  <si>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</si>
  <si>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</si>
  <si>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</si>
  <si>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</si>
  <si>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</si>
  <si>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</si>
  <si>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</si>
  <si>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</si>
  <si>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</si>
  <si>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</si>
  <si>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</si>
  <si>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</si>
  <si>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</si>
  <si>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</si>
  <si>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</si>
  <si>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</si>
  <si>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</si>
  <si>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</si>
  <si>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</si>
  <si>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</si>
  <si>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</si>
  <si>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</si>
  <si>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</si>
  <si>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</si>
  <si>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</si>
  <si>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</si>
  <si>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</si>
  <si>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</si>
  <si>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</si>
  <si>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</si>
  <si>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</si>
  <si>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</si>
  <si>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</si>
  <si>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</si>
  <si>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</si>
  <si>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</si>
  <si>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</si>
  <si>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</si>
  <si>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</si>
  <si>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</si>
  <si>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</si>
  <si>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</si>
  <si>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</si>
  <si>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</si>
  <si>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</si>
  <si>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</si>
  <si>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</si>
  <si>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</si>
  <si>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</si>
  <si>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</si>
  <si>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</si>
  <si>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</si>
  <si>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</si>
  <si>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</si>
  <si>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</si>
  <si>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</si>
  <si>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</si>
  <si>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</si>
  <si>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</si>
  <si>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</si>
  <si>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</si>
  <si>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</si>
  <si>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</si>
  <si>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</si>
  <si>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</si>
  <si>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</si>
  <si>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</si>
  <si>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</si>
  <si>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</si>
  <si>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</si>
  <si>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</si>
  <si>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</si>
  <si>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</si>
  <si>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</si>
  <si>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</si>
  <si>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</si>
  <si>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</si>
  <si>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</si>
  <si>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</si>
  <si>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</si>
  <si>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</si>
  <si>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</si>
  <si>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</si>
  <si>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</si>
  <si>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</si>
  <si>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</si>
  <si>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</si>
  <si>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</si>
  <si>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</si>
  <si>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</si>
  <si>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</si>
  <si>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</si>
  <si>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</si>
  <si>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</si>
  <si>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</si>
  <si>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</si>
  <si>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</si>
  <si>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</si>
  <si>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</si>
  <si>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</si>
  <si>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</si>
  <si>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</si>
  <si>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</si>
  <si>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</si>
  <si>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</si>
  <si>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</si>
  <si>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</si>
  <si>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</si>
  <si>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</si>
  <si>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</si>
  <si>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</si>
  <si>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</si>
  <si>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</si>
  <si>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</si>
  <si>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</si>
  <si>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</si>
  <si>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</si>
  <si>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</si>
  <si>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</si>
  <si>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</si>
  <si>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</si>
  <si>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</si>
  <si>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</si>
  <si>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</si>
  <si>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</si>
  <si>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</si>
  <si>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</si>
  <si>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</si>
  <si>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</si>
  <si>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</si>
  <si>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</si>
  <si>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</si>
  <si>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</si>
  <si>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</si>
  <si>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</si>
  <si>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</si>
  <si>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</si>
  <si>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</si>
  <si>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</si>
  <si>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</si>
  <si>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</si>
  <si>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</si>
  <si>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</si>
  <si>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</si>
  <si>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</si>
  <si>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</si>
  <si>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</si>
  <si>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</si>
  <si>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</si>
  <si>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</si>
  <si>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</si>
  <si>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</si>
  <si>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</si>
  <si>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</si>
  <si>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</si>
  <si>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</si>
  <si>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</si>
  <si>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</si>
  <si>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</si>
  <si>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</si>
  <si>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</si>
  <si>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</si>
  <si>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</si>
  <si>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</si>
  <si>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</si>
  <si>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</si>
  <si>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</si>
  <si>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</si>
  <si>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</si>
  <si>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</si>
  <si>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</si>
  <si>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</si>
  <si>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</si>
  <si>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</si>
  <si>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</si>
  <si>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</si>
  <si>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</si>
  <si>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</si>
  <si>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</si>
  <si>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</si>
  <si>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</si>
  <si>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</si>
  <si>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</si>
  <si>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</si>
  <si>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</si>
  <si>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</si>
  <si>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</si>
  <si>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</si>
  <si>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</si>
  <si>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</si>
  <si>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</si>
  <si>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</si>
  <si>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</si>
  <si>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</si>
  <si>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</si>
  <si>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</si>
  <si>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</si>
  <si>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</si>
  <si>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</si>
  <si>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</si>
  <si>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</si>
  <si>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</si>
  <si>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</si>
  <si>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</si>
  <si>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</si>
  <si>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</si>
  <si>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</si>
  <si>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</si>
  <si>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</si>
  <si>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</si>
  <si>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</si>
  <si>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</si>
  <si>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</si>
  <si>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</si>
  <si>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</si>
  <si>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</si>
  <si>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</si>
  <si>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</si>
  <si>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</si>
  <si>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</si>
  <si>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</si>
  <si>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</si>
  <si>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</si>
  <si>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</si>
  <si>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</si>
  <si>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</si>
  <si>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</si>
  <si>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</si>
  <si>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</si>
  <si>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</si>
  <si>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</si>
  <si>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</si>
  <si>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</si>
  <si>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</si>
  <si>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</si>
  <si>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</si>
  <si>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</si>
  <si>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</si>
  <si>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</si>
  <si>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</si>
  <si>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</si>
  <si>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</si>
  <si>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</si>
  <si>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</si>
  <si>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</si>
  <si>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</si>
  <si>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</si>
  <si>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</si>
  <si>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</si>
  <si>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</si>
  <si>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</si>
  <si>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</si>
  <si>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</si>
  <si>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</si>
  <si>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</si>
  <si>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</si>
  <si>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</si>
  <si>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</si>
  <si>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</si>
  <si>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</si>
  <si>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</si>
  <si>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</si>
  <si>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</si>
  <si>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</si>
  <si>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</si>
  <si>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</si>
  <si>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</si>
  <si>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</si>
  <si>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</si>
  <si>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</si>
  <si>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</si>
  <si>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</si>
  <si>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</si>
  <si>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</si>
  <si>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</si>
  <si>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</si>
  <si>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</si>
  <si>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</si>
  <si>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</si>
  <si>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</si>
  <si>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</si>
  <si>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</si>
  <si>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</si>
  <si>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</si>
  <si>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</si>
  <si>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</si>
  <si>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</si>
  <si>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</si>
  <si>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</si>
  <si>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</si>
  <si>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</si>
  <si>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</si>
  <si>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</si>
  <si>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</si>
  <si>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</si>
  <si>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</si>
  <si>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</si>
  <si>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</si>
  <si>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</si>
  <si>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</si>
  <si>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</si>
  <si>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</si>
  <si>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</si>
  <si>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</si>
  <si>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</si>
  <si>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</si>
  <si>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</si>
  <si>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</si>
  <si>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</si>
  <si>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</si>
  <si>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</si>
  <si>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</si>
  <si>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</si>
  <si>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</si>
  <si>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</si>
  <si>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</si>
  <si>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</si>
  <si>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</si>
  <si>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</si>
  <si>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</si>
  <si>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</si>
  <si>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</si>
  <si>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</si>
  <si>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</si>
  <si>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</si>
  <si>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</si>
  <si>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</si>
  <si>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</si>
  <si>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</si>
  <si>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</si>
  <si>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</si>
  <si>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</si>
  <si>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</si>
  <si>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</si>
  <si>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</si>
  <si>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</si>
  <si>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</si>
  <si>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</si>
  <si>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</si>
  <si>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</si>
  <si>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</si>
  <si>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</si>
  <si>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</si>
  <si>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</si>
  <si>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</si>
  <si>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</si>
  <si>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</si>
  <si>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</si>
  <si>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</si>
  <si>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</si>
  <si>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</si>
  <si>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</si>
  <si>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</si>
  <si>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</si>
  <si>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</si>
  <si>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</si>
  <si>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</si>
  <si>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</si>
  <si>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</si>
  <si>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</si>
  <si>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</si>
  <si>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</si>
  <si>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</si>
  <si>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</si>
  <si>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</si>
  <si>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</si>
  <si>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</si>
  <si>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</si>
  <si>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</si>
  <si>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</si>
  <si>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</si>
  <si>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</si>
  <si>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42 Tables &amp; along with supporting Non PV area Grass Cutting Work Completed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</si>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</sst>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42" fillId="0" borderId="0" applyFont="0" applyFill="0" applyBorder="0" applyAlignment="0" applyProtection="0"/>
    <xf numFmtId="0" fontId="42" fillId="0" borderId="0"/>
    <xf numFmtId="0" fontId="38" fillId="0" borderId="0"/>
    <xf numFmtId="0" fontId="42" fillId="0" borderId="0"/>
    <xf numFmtId="0" fontId="42" fillId="0" borderId="0"/>
    <xf numFmtId="0" fontId="42" fillId="0" borderId="0"/>
    <xf numFmtId="0" fontId="39" fillId="0" borderId="0">
      <alignment vertical="center"/>
    </xf>
    <xf numFmtId="0" fontId="28" fillId="0" borderId="0"/>
    <xf numFmtId="0" fontId="42" fillId="0" borderId="0"/>
    <xf numFmtId="9" fontId="39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0" fontId="23" fillId="0" borderId="0"/>
    <xf numFmtId="0" fontId="44" fillId="0" borderId="0">
      <alignment vertical="center"/>
    </xf>
    <xf numFmtId="9" fontId="44" fillId="0" borderId="0" applyFont="0" applyFill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46" fillId="0" borderId="0" applyNumberFormat="0" applyFill="0" applyBorder="0" applyAlignment="0" applyProtection="0"/>
    <xf numFmtId="0" fontId="47" fillId="0" borderId="44" applyNumberFormat="0" applyFill="0" applyAlignment="0" applyProtection="0"/>
    <xf numFmtId="0" fontId="48" fillId="0" borderId="45" applyNumberFormat="0" applyFill="0" applyAlignment="0" applyProtection="0"/>
    <xf numFmtId="0" fontId="49" fillId="0" borderId="46" applyNumberFormat="0" applyFill="0" applyAlignment="0" applyProtection="0"/>
    <xf numFmtId="0" fontId="49" fillId="0" borderId="0" applyNumberFormat="0" applyFill="0" applyBorder="0" applyAlignment="0" applyProtection="0"/>
    <xf numFmtId="0" fontId="50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9" borderId="0" applyNumberFormat="0" applyBorder="0" applyAlignment="0" applyProtection="0"/>
    <xf numFmtId="0" fontId="53" fillId="20" borderId="47" applyNumberFormat="0" applyAlignment="0" applyProtection="0"/>
    <xf numFmtId="0" fontId="54" fillId="21" borderId="48" applyNumberFormat="0" applyAlignment="0" applyProtection="0"/>
    <xf numFmtId="0" fontId="55" fillId="21" borderId="47" applyNumberFormat="0" applyAlignment="0" applyProtection="0"/>
    <xf numFmtId="0" fontId="56" fillId="0" borderId="49" applyNumberFormat="0" applyFill="0" applyAlignment="0" applyProtection="0"/>
    <xf numFmtId="0" fontId="32" fillId="22" borderId="50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52" applyNumberFormat="0" applyFill="0" applyAlignment="0" applyProtection="0"/>
    <xf numFmtId="0" fontId="3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0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0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0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0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0" fillId="44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6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7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9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6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4" fillId="2" borderId="0" xfId="8" applyFont="1" applyFill="1" applyAlignment="1">
      <alignment horizontal="center" vertical="center" wrapText="1"/>
    </xf>
    <xf numFmtId="167" fontId="24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4" fillId="2" borderId="0" xfId="1" applyFont="1" applyFill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0" fontId="0" fillId="0" borderId="0" xfId="2" applyNumberFormat="1" applyFont="1"/>
    <xf numFmtId="0" fontId="24" fillId="2" borderId="7" xfId="9" applyFont="1" applyFill="1" applyBorder="1" applyAlignment="1">
      <alignment horizontal="center" vertical="center" wrapText="1"/>
    </xf>
    <xf numFmtId="167" fontId="24" fillId="2" borderId="8" xfId="9" applyNumberFormat="1" applyFont="1" applyFill="1" applyBorder="1" applyAlignment="1">
      <alignment horizontal="center" vertical="center" wrapText="1"/>
    </xf>
    <xf numFmtId="0" fontId="24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4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4" fillId="2" borderId="14" xfId="8" applyFont="1" applyFill="1" applyBorder="1" applyAlignment="1">
      <alignment horizontal="center" vertical="center" wrapText="1"/>
    </xf>
    <xf numFmtId="0" fontId="24" fillId="2" borderId="15" xfId="8" applyFont="1" applyFill="1" applyBorder="1" applyAlignment="1">
      <alignment horizontal="center" vertical="center" wrapText="1"/>
    </xf>
    <xf numFmtId="167" fontId="24" fillId="2" borderId="15" xfId="8" applyNumberFormat="1" applyFont="1" applyFill="1" applyBorder="1" applyAlignment="1">
      <alignment horizontal="center" vertical="center" wrapText="1"/>
    </xf>
    <xf numFmtId="10" fontId="24" fillId="2" borderId="15" xfId="13" applyNumberFormat="1" applyFont="1" applyFill="1" applyBorder="1" applyAlignment="1">
      <alignment horizontal="center" vertical="center" wrapText="1"/>
    </xf>
    <xf numFmtId="10" fontId="24" fillId="2" borderId="16" xfId="13" applyNumberFormat="1" applyFont="1" applyFill="1" applyBorder="1" applyAlignment="1">
      <alignment horizontal="center" vertical="center" wrapText="1"/>
    </xf>
    <xf numFmtId="10" fontId="24" fillId="2" borderId="15" xfId="0" applyNumberFormat="1" applyFont="1" applyFill="1" applyBorder="1" applyAlignment="1">
      <alignment horizontal="center" vertical="center" wrapText="1"/>
    </xf>
    <xf numFmtId="43" fontId="25" fillId="0" borderId="0" xfId="1" applyFont="1" applyFill="1" applyAlignment="1">
      <alignment horizontal="center"/>
    </xf>
    <xf numFmtId="2" fontId="25" fillId="0" borderId="17" xfId="13" applyNumberFormat="1" applyFont="1" applyFill="1" applyBorder="1" applyAlignment="1">
      <alignment horizontal="center"/>
    </xf>
    <xf numFmtId="1" fontId="25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0" fillId="0" borderId="0" xfId="0" applyFont="1"/>
    <xf numFmtId="0" fontId="32" fillId="14" borderId="1" xfId="0" applyFont="1" applyFill="1" applyBorder="1" applyAlignment="1">
      <alignment vertical="center"/>
    </xf>
    <xf numFmtId="0" fontId="32" fillId="14" borderId="1" xfId="0" applyFont="1" applyFill="1" applyBorder="1" applyAlignment="1">
      <alignment horizontal="center" vertical="center" wrapText="1"/>
    </xf>
    <xf numFmtId="17" fontId="30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5" borderId="24" xfId="0" applyFont="1" applyFill="1" applyBorder="1"/>
    <xf numFmtId="170" fontId="35" fillId="8" borderId="25" xfId="6" applyNumberFormat="1" applyFont="1" applyFill="1" applyBorder="1" applyAlignment="1">
      <alignment horizontal="left" vertical="center"/>
    </xf>
    <xf numFmtId="170" fontId="35" fillId="8" borderId="25" xfId="6" applyNumberFormat="1" applyFont="1" applyFill="1" applyBorder="1" applyAlignment="1">
      <alignment vertical="center"/>
    </xf>
    <xf numFmtId="170" fontId="35" fillId="8" borderId="26" xfId="6" applyNumberFormat="1" applyFont="1" applyFill="1" applyBorder="1" applyAlignment="1">
      <alignment vertical="center"/>
    </xf>
    <xf numFmtId="167" fontId="35" fillId="8" borderId="25" xfId="6" applyNumberFormat="1" applyFont="1" applyFill="1" applyBorder="1" applyAlignment="1">
      <alignment horizontal="left" vertical="center"/>
    </xf>
    <xf numFmtId="0" fontId="34" fillId="15" borderId="27" xfId="0" applyFont="1" applyFill="1" applyBorder="1"/>
    <xf numFmtId="167" fontId="35" fillId="8" borderId="28" xfId="6" applyNumberFormat="1" applyFont="1" applyFill="1" applyBorder="1" applyAlignment="1">
      <alignment horizontal="left" vertical="center"/>
    </xf>
    <xf numFmtId="170" fontId="35" fillId="8" borderId="29" xfId="6" applyNumberFormat="1" applyFont="1" applyFill="1" applyBorder="1" applyAlignment="1">
      <alignment vertical="center"/>
    </xf>
    <xf numFmtId="170" fontId="35" fillId="8" borderId="30" xfId="6" applyNumberFormat="1" applyFont="1" applyFill="1" applyBorder="1" applyAlignment="1">
      <alignment vertical="center"/>
    </xf>
    <xf numFmtId="0" fontId="36" fillId="8" borderId="31" xfId="0" applyFont="1" applyFill="1" applyBorder="1"/>
    <xf numFmtId="167" fontId="37" fillId="8" borderId="31" xfId="6" applyNumberFormat="1" applyFont="1" applyFill="1" applyBorder="1" applyAlignment="1">
      <alignment horizontal="left" vertical="center"/>
    </xf>
    <xf numFmtId="0" fontId="34" fillId="15" borderId="32" xfId="0" applyFont="1" applyFill="1" applyBorder="1" applyAlignment="1">
      <alignment horizontal="center" vertical="center" wrapText="1"/>
    </xf>
    <xf numFmtId="0" fontId="34" fillId="15" borderId="33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36" fillId="8" borderId="36" xfId="0" applyFont="1" applyFill="1" applyBorder="1"/>
    <xf numFmtId="1" fontId="35" fillId="8" borderId="36" xfId="2" applyNumberFormat="1" applyFont="1" applyFill="1" applyBorder="1" applyAlignment="1">
      <alignment horizontal="center" vertical="center"/>
    </xf>
    <xf numFmtId="10" fontId="36" fillId="8" borderId="36" xfId="15" applyNumberFormat="1" applyFont="1" applyFill="1" applyBorder="1" applyAlignment="1">
      <alignment horizontal="center"/>
    </xf>
    <xf numFmtId="0" fontId="36" fillId="8" borderId="39" xfId="0" applyFont="1" applyFill="1" applyBorder="1"/>
    <xf numFmtId="1" fontId="35" fillId="8" borderId="39" xfId="2" applyNumberFormat="1" applyFont="1" applyFill="1" applyBorder="1" applyAlignment="1">
      <alignment horizontal="center" vertical="center"/>
    </xf>
    <xf numFmtId="1" fontId="36" fillId="8" borderId="39" xfId="2" applyNumberFormat="1" applyFont="1" applyFill="1" applyBorder="1" applyAlignment="1">
      <alignment horizontal="center"/>
    </xf>
    <xf numFmtId="10" fontId="36" fillId="8" borderId="39" xfId="15" applyNumberFormat="1" applyFont="1" applyFill="1" applyBorder="1" applyAlignment="1">
      <alignment horizontal="center"/>
    </xf>
    <xf numFmtId="0" fontId="36" fillId="8" borderId="40" xfId="0" applyFont="1" applyFill="1" applyBorder="1"/>
    <xf numFmtId="0" fontId="36" fillId="8" borderId="42" xfId="0" applyFont="1" applyFill="1" applyBorder="1"/>
    <xf numFmtId="1" fontId="35" fillId="8" borderId="42" xfId="2" applyNumberFormat="1" applyFont="1" applyFill="1" applyBorder="1" applyAlignment="1">
      <alignment horizontal="center" vertical="center"/>
    </xf>
    <xf numFmtId="1" fontId="36" fillId="8" borderId="42" xfId="2" applyNumberFormat="1" applyFont="1" applyFill="1" applyBorder="1" applyAlignment="1">
      <alignment horizontal="center"/>
    </xf>
    <xf numFmtId="10" fontId="36" fillId="8" borderId="42" xfId="15" applyNumberFormat="1" applyFont="1" applyFill="1" applyBorder="1" applyAlignment="1">
      <alignment horizontal="center"/>
    </xf>
    <xf numFmtId="165" fontId="35" fillId="8" borderId="36" xfId="2" applyNumberFormat="1" applyFont="1" applyFill="1" applyBorder="1" applyAlignment="1">
      <alignment horizontal="center" vertical="center"/>
    </xf>
    <xf numFmtId="165" fontId="36" fillId="8" borderId="36" xfId="2" applyNumberFormat="1" applyFont="1" applyFill="1" applyBorder="1" applyAlignment="1">
      <alignment horizontal="center"/>
    </xf>
    <xf numFmtId="165" fontId="35" fillId="8" borderId="39" xfId="2" applyNumberFormat="1" applyFont="1" applyFill="1" applyBorder="1" applyAlignment="1">
      <alignment horizontal="center" vertical="center"/>
    </xf>
    <xf numFmtId="165" fontId="36" fillId="8" borderId="39" xfId="2" applyNumberFormat="1" applyFont="1" applyFill="1" applyBorder="1" applyAlignment="1">
      <alignment horizontal="center"/>
    </xf>
    <xf numFmtId="165" fontId="35" fillId="8" borderId="42" xfId="2" applyNumberFormat="1" applyFont="1" applyFill="1" applyBorder="1" applyAlignment="1">
      <alignment horizontal="center" vertical="center"/>
    </xf>
    <xf numFmtId="165" fontId="36" fillId="8" borderId="42" xfId="2" applyNumberFormat="1" applyFont="1" applyFill="1" applyBorder="1" applyAlignment="1">
      <alignment horizontal="center"/>
    </xf>
    <xf numFmtId="0" fontId="60" fillId="2" borderId="10" xfId="8" applyFont="1" applyFill="1" applyBorder="1" applyAlignment="1">
      <alignment horizontal="center" vertical="center" wrapText="1"/>
    </xf>
    <xf numFmtId="167" fontId="60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1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4" fillId="2" borderId="0" xfId="8" applyFont="1" applyFill="1" applyAlignment="1">
      <alignment vertical="center" wrapText="1"/>
    </xf>
    <xf numFmtId="2" fontId="0" fillId="0" borderId="0" xfId="0" applyNumberFormat="1"/>
    <xf numFmtId="1" fontId="35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0" fillId="14" borderId="1" xfId="0" applyNumberFormat="1" applyFont="1" applyFill="1" applyBorder="1" applyAlignment="1">
      <alignment horizontal="center" vertical="center"/>
    </xf>
    <xf numFmtId="0" fontId="42" fillId="8" borderId="0" xfId="5" applyFill="1" applyAlignment="1">
      <alignment horizontal="center"/>
    </xf>
    <xf numFmtId="0" fontId="42" fillId="8" borderId="0" xfId="5" applyFill="1"/>
    <xf numFmtId="0" fontId="42" fillId="8" borderId="0" xfId="5" applyFill="1" applyAlignment="1">
      <alignment horizontal="right"/>
    </xf>
    <xf numFmtId="171" fontId="29" fillId="10" borderId="19" xfId="10" applyNumberFormat="1" applyFont="1" applyFill="1" applyBorder="1" applyAlignment="1">
      <alignment horizontal="center" vertical="center"/>
    </xf>
    <xf numFmtId="172" fontId="43" fillId="10" borderId="19" xfId="0" applyNumberFormat="1" applyFont="1" applyFill="1" applyBorder="1" applyAlignment="1">
      <alignment horizontal="center" vertical="center"/>
    </xf>
    <xf numFmtId="1" fontId="65" fillId="7" borderId="19" xfId="0" applyNumberFormat="1" applyFont="1" applyFill="1" applyBorder="1" applyAlignment="1">
      <alignment horizontal="center"/>
    </xf>
    <xf numFmtId="166" fontId="65" fillId="8" borderId="18" xfId="0" applyNumberFormat="1" applyFont="1" applyFill="1" applyBorder="1" applyAlignment="1">
      <alignment horizontal="center"/>
    </xf>
    <xf numFmtId="169" fontId="25" fillId="10" borderId="19" xfId="0" applyNumberFormat="1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170" fontId="25" fillId="8" borderId="19" xfId="0" applyNumberFormat="1" applyFont="1" applyFill="1" applyBorder="1" applyAlignment="1">
      <alignment horizontal="center"/>
    </xf>
    <xf numFmtId="1" fontId="25" fillId="0" borderId="19" xfId="13" applyNumberFormat="1" applyFont="1" applyFill="1" applyBorder="1" applyAlignment="1">
      <alignment horizontal="center"/>
    </xf>
    <xf numFmtId="1" fontId="25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5" fillId="7" borderId="15" xfId="0" applyNumberFormat="1" applyFont="1" applyFill="1" applyBorder="1" applyAlignment="1">
      <alignment horizontal="center"/>
    </xf>
    <xf numFmtId="172" fontId="29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6" fillId="8" borderId="38" xfId="0" applyFont="1" applyFill="1" applyBorder="1" applyAlignment="1">
      <alignment horizontal="center" vertical="center"/>
    </xf>
    <xf numFmtId="2" fontId="43" fillId="10" borderId="19" xfId="0" applyNumberFormat="1" applyFont="1" applyFill="1" applyBorder="1" applyAlignment="1">
      <alignment horizontal="center" vertical="center"/>
    </xf>
    <xf numFmtId="2" fontId="29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24" fillId="2" borderId="7" xfId="8" applyFont="1" applyFill="1" applyBorder="1" applyAlignment="1">
      <alignment horizontal="center" vertical="center" wrapText="1"/>
    </xf>
    <xf numFmtId="0" fontId="24" fillId="2" borderId="8" xfId="8" applyFont="1" applyFill="1" applyBorder="1" applyAlignment="1">
      <alignment horizontal="center" vertical="center" wrapText="1"/>
    </xf>
    <xf numFmtId="0" fontId="24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7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7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4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4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3" fillId="0" borderId="10" xfId="0" applyNumberFormat="1" applyFont="1" applyBorder="1" applyAlignment="1">
      <alignment horizontal="center"/>
    </xf>
    <xf numFmtId="165" fontId="63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1" fillId="0" borderId="0" xfId="4491" applyFont="1"/>
    <xf numFmtId="0" fontId="12" fillId="0" borderId="0" xfId="4491"/>
    <xf numFmtId="0" fontId="59" fillId="53" borderId="1" xfId="4491" applyFont="1" applyFill="1" applyBorder="1" applyAlignment="1">
      <alignment horizontal="center" vertical="center" wrapText="1"/>
    </xf>
    <xf numFmtId="0" fontId="59" fillId="0" borderId="0" xfId="4491" applyFont="1" applyAlignment="1">
      <alignment vertical="center"/>
    </xf>
    <xf numFmtId="171" fontId="12" fillId="8" borderId="1" xfId="4491" applyNumberFormat="1" applyFill="1" applyBorder="1" applyAlignment="1">
      <alignment horizontal="center" vertical="center"/>
    </xf>
    <xf numFmtId="0" fontId="12" fillId="8" borderId="1" xfId="4491" applyFill="1" applyBorder="1" applyAlignment="1">
      <alignment horizontal="center" vertical="center"/>
    </xf>
    <xf numFmtId="164" fontId="12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2" fillId="8" borderId="1" xfId="4491" applyNumberFormat="1" applyFill="1" applyBorder="1" applyAlignment="1">
      <alignment horizontal="center" vertical="center"/>
    </xf>
    <xf numFmtId="1" fontId="12" fillId="54" borderId="1" xfId="4491" applyNumberFormat="1" applyFill="1" applyBorder="1" applyAlignment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/>
    </xf>
    <xf numFmtId="10" fontId="25" fillId="8" borderId="1" xfId="4492" applyNumberFormat="1" applyFont="1" applyFill="1" applyBorder="1" applyAlignment="1" applyProtection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 wrapText="1"/>
    </xf>
    <xf numFmtId="173" fontId="12" fillId="0" borderId="1" xfId="4491" applyNumberFormat="1" applyBorder="1" applyAlignment="1">
      <alignment horizontal="center" vertical="center"/>
    </xf>
    <xf numFmtId="2" fontId="12" fillId="8" borderId="1" xfId="4491" applyNumberFormat="1" applyFill="1" applyBorder="1" applyAlignment="1">
      <alignment horizontal="center" vertical="center"/>
    </xf>
    <xf numFmtId="1" fontId="59" fillId="0" borderId="0" xfId="4491" applyNumberFormat="1" applyFont="1"/>
    <xf numFmtId="1" fontId="25" fillId="8" borderId="1" xfId="4491" applyNumberFormat="1" applyFont="1" applyFill="1" applyBorder="1" applyAlignment="1">
      <alignment horizontal="center"/>
    </xf>
    <xf numFmtId="0" fontId="12" fillId="0" borderId="0" xfId="4491" applyAlignment="1">
      <alignment horizontal="center" vertical="center"/>
    </xf>
    <xf numFmtId="0" fontId="59" fillId="0" borderId="4" xfId="4491" applyFont="1" applyBorder="1" applyAlignment="1">
      <alignment horizontal="left" vertical="center" wrapText="1"/>
    </xf>
    <xf numFmtId="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1" applyNumberFormat="1" applyFont="1" applyFill="1" applyBorder="1" applyAlignment="1">
      <alignment horizontal="center" vertical="center"/>
    </xf>
    <xf numFmtId="1" fontId="59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2" fillId="55" borderId="1" xfId="4491" applyNumberFormat="1" applyFill="1" applyBorder="1" applyAlignment="1">
      <alignment horizontal="center" vertical="center"/>
    </xf>
    <xf numFmtId="10" fontId="59" fillId="55" borderId="1" xfId="4492" applyNumberFormat="1" applyFont="1" applyFill="1" applyBorder="1" applyAlignment="1">
      <alignment horizontal="center" vertical="center"/>
    </xf>
    <xf numFmtId="0" fontId="59" fillId="55" borderId="1" xfId="4491" applyFont="1" applyFill="1" applyBorder="1" applyAlignment="1">
      <alignment horizontal="center" vertical="center"/>
    </xf>
    <xf numFmtId="1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2" applyNumberFormat="1" applyFont="1" applyFill="1" applyBorder="1" applyAlignment="1" applyProtection="1">
      <alignment horizontal="center" vertical="center"/>
    </xf>
    <xf numFmtId="0" fontId="59" fillId="0" borderId="0" xfId="4491" applyFont="1"/>
    <xf numFmtId="1" fontId="12" fillId="0" borderId="0" xfId="4491" applyNumberFormat="1"/>
    <xf numFmtId="9" fontId="0" fillId="0" borderId="0" xfId="4492" applyFont="1" applyProtection="1"/>
    <xf numFmtId="2" fontId="12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5" fillId="8" borderId="36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/>
    </xf>
    <xf numFmtId="2" fontId="35" fillId="8" borderId="42" xfId="2" applyNumberFormat="1" applyFont="1" applyFill="1" applyBorder="1" applyAlignment="1">
      <alignment horizontal="center" vertical="center"/>
    </xf>
    <xf numFmtId="2" fontId="36" fillId="8" borderId="42" xfId="2" applyNumberFormat="1" applyFont="1" applyFill="1" applyBorder="1" applyAlignment="1">
      <alignment horizontal="center"/>
    </xf>
    <xf numFmtId="1" fontId="65" fillId="0" borderId="19" xfId="0" applyNumberFormat="1" applyFont="1" applyBorder="1" applyAlignment="1">
      <alignment horizontal="center"/>
    </xf>
    <xf numFmtId="10" fontId="65" fillId="0" borderId="19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43" fontId="65" fillId="0" borderId="0" xfId="0" applyNumberFormat="1" applyFont="1" applyAlignment="1">
      <alignment horizontal="center"/>
    </xf>
    <xf numFmtId="1" fontId="42" fillId="8" borderId="0" xfId="5" applyNumberFormat="1" applyFill="1"/>
    <xf numFmtId="0" fontId="0" fillId="16" borderId="55" xfId="0" applyFill="1" applyBorder="1" applyAlignment="1">
      <alignment horizontal="center"/>
    </xf>
    <xf numFmtId="167" fontId="24" fillId="0" borderId="66" xfId="4493" applyNumberFormat="1" applyFont="1" applyBorder="1" applyAlignment="1">
      <alignment horizontal="center" vertical="center" wrapText="1"/>
    </xf>
    <xf numFmtId="0" fontId="24" fillId="0" borderId="66" xfId="4493" applyFont="1" applyBorder="1" applyAlignment="1">
      <alignment horizontal="center" vertical="center" wrapText="1"/>
    </xf>
    <xf numFmtId="0" fontId="32" fillId="0" borderId="66" xfId="4494" applyFont="1" applyBorder="1" applyAlignment="1">
      <alignment horizontal="center" vertical="center" wrapText="1"/>
    </xf>
    <xf numFmtId="9" fontId="32" fillId="0" borderId="66" xfId="4495" applyFont="1" applyFill="1" applyBorder="1" applyAlignment="1">
      <alignment horizontal="center" vertical="center" wrapText="1"/>
    </xf>
    <xf numFmtId="0" fontId="73" fillId="0" borderId="0" xfId="4494"/>
    <xf numFmtId="15" fontId="73" fillId="0" borderId="0" xfId="4494" applyNumberFormat="1" applyAlignment="1">
      <alignment horizontal="center" vertical="center"/>
    </xf>
    <xf numFmtId="1" fontId="73" fillId="0" borderId="0" xfId="4494" applyNumberFormat="1" applyAlignment="1">
      <alignment horizontal="center" vertical="center"/>
    </xf>
    <xf numFmtId="0" fontId="73" fillId="0" borderId="0" xfId="4494" applyAlignment="1">
      <alignment horizontal="center" vertical="center"/>
    </xf>
    <xf numFmtId="17" fontId="73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3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3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2" fillId="0" borderId="63" xfId="4494" applyFont="1" applyBorder="1" applyAlignment="1">
      <alignment horizontal="center" vertical="center" wrapText="1"/>
    </xf>
    <xf numFmtId="2" fontId="73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3" fillId="0" borderId="67" xfId="4494" applyBorder="1" applyAlignment="1">
      <alignment horizontal="center" vertical="center"/>
    </xf>
    <xf numFmtId="2" fontId="73" fillId="0" borderId="68" xfId="4494" applyNumberFormat="1" applyBorder="1" applyAlignment="1">
      <alignment horizontal="center" vertical="center"/>
    </xf>
    <xf numFmtId="164" fontId="73" fillId="0" borderId="67" xfId="4494" applyNumberFormat="1" applyBorder="1" applyAlignment="1">
      <alignment horizontal="center" vertical="center"/>
    </xf>
    <xf numFmtId="1" fontId="73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3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3" fillId="0" borderId="68" xfId="4494" applyBorder="1" applyAlignment="1">
      <alignment horizontal="center" vertical="center"/>
    </xf>
    <xf numFmtId="164" fontId="73" fillId="0" borderId="68" xfId="4494" applyNumberFormat="1" applyBorder="1" applyAlignment="1">
      <alignment horizontal="center" vertical="center"/>
    </xf>
    <xf numFmtId="1" fontId="73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 wrapText="1"/>
    </xf>
    <xf numFmtId="0" fontId="25" fillId="0" borderId="63" xfId="2" applyNumberFormat="1" applyFont="1" applyFill="1" applyBorder="1" applyAlignment="1">
      <alignment horizontal="center" vertical="center"/>
    </xf>
    <xf numFmtId="164" fontId="25" fillId="0" borderId="63" xfId="2" applyNumberFormat="1" applyFont="1" applyFill="1" applyBorder="1" applyAlignment="1">
      <alignment horizontal="center" vertical="center"/>
    </xf>
    <xf numFmtId="1" fontId="25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5" fillId="8" borderId="25" xfId="6" applyNumberFormat="1" applyFont="1" applyFill="1" applyBorder="1" applyAlignment="1" applyProtection="1">
      <alignment horizontal="left" vertical="center"/>
      <protection locked="0"/>
    </xf>
    <xf numFmtId="167" fontId="35" fillId="8" borderId="25" xfId="6" applyNumberFormat="1" applyFont="1" applyFill="1" applyBorder="1" applyAlignment="1" applyProtection="1">
      <alignment horizontal="left" vertical="center"/>
      <protection locked="0"/>
    </xf>
    <xf numFmtId="1" fontId="36" fillId="8" borderId="37" xfId="0" applyNumberFormat="1" applyFont="1" applyFill="1" applyBorder="1" applyProtection="1">
      <protection locked="0"/>
    </xf>
    <xf numFmtId="0" fontId="36" fillId="8" borderId="40" xfId="0" applyFont="1" applyFill="1" applyBorder="1" applyProtection="1">
      <protection locked="0"/>
    </xf>
    <xf numFmtId="0" fontId="36" fillId="8" borderId="43" xfId="0" applyFont="1" applyFill="1" applyBorder="1" applyProtection="1">
      <protection locked="0"/>
    </xf>
    <xf numFmtId="0" fontId="32" fillId="56" borderId="64" xfId="0" applyFont="1" applyFill="1" applyBorder="1" applyAlignment="1">
      <alignment horizontal="center" vertical="center" wrapText="1"/>
    </xf>
    <xf numFmtId="0" fontId="32" fillId="56" borderId="65" xfId="0" applyFont="1" applyFill="1" applyBorder="1" applyAlignment="1">
      <alignment horizontal="center" vertical="center" wrapText="1"/>
    </xf>
    <xf numFmtId="1" fontId="65" fillId="9" borderId="15" xfId="13" applyNumberFormat="1" applyFont="1" applyFill="1" applyBorder="1" applyAlignment="1">
      <alignment horizontal="center"/>
    </xf>
    <xf numFmtId="166" fontId="65" fillId="8" borderId="14" xfId="0" applyNumberFormat="1" applyFont="1" applyFill="1" applyBorder="1" applyAlignment="1">
      <alignment horizontal="center"/>
    </xf>
    <xf numFmtId="2" fontId="65" fillId="0" borderId="19" xfId="13" applyNumberFormat="1" applyFont="1" applyFill="1" applyBorder="1" applyAlignment="1">
      <alignment horizontal="center"/>
    </xf>
    <xf numFmtId="1" fontId="65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1" fillId="16" borderId="73" xfId="0" applyNumberFormat="1" applyFont="1" applyFill="1" applyBorder="1" applyAlignment="1">
      <alignment horizontal="center"/>
    </xf>
    <xf numFmtId="165" fontId="75" fillId="0" borderId="10" xfId="0" applyNumberFormat="1" applyFont="1" applyBorder="1" applyAlignment="1">
      <alignment horizontal="center"/>
    </xf>
    <xf numFmtId="165" fontId="75" fillId="0" borderId="11" xfId="0" applyNumberFormat="1" applyFont="1" applyBorder="1" applyAlignment="1">
      <alignment horizontal="center"/>
    </xf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0" fontId="77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0" fillId="0" borderId="0" xfId="1" applyFont="1" applyBorder="1" applyAlignment="1">
      <alignment horizontal="center"/>
    </xf>
    <xf numFmtId="0" fontId="10" fillId="5" borderId="10" xfId="0" applyFont="1" applyFill="1" applyBorder="1" applyAlignment="1">
      <alignment horizontal="left"/>
    </xf>
    <xf numFmtId="0" fontId="10" fillId="5" borderId="10" xfId="0" applyFont="1" applyFill="1" applyBorder="1"/>
    <xf numFmtId="172" fontId="78" fillId="10" borderId="19" xfId="0" applyNumberFormat="1" applyFont="1" applyFill="1" applyBorder="1" applyAlignment="1">
      <alignment horizontal="center" vertical="center"/>
    </xf>
    <xf numFmtId="166" fontId="79" fillId="8" borderId="18" xfId="0" applyNumberFormat="1" applyFont="1" applyFill="1" applyBorder="1" applyAlignment="1">
      <alignment horizontal="center"/>
    </xf>
    <xf numFmtId="166" fontId="79" fillId="8" borderId="14" xfId="0" applyNumberFormat="1" applyFont="1" applyFill="1" applyBorder="1" applyAlignment="1">
      <alignment horizontal="center"/>
    </xf>
    <xf numFmtId="1" fontId="79" fillId="0" borderId="19" xfId="13" applyNumberFormat="1" applyFont="1" applyFill="1" applyBorder="1" applyAlignment="1">
      <alignment horizontal="center"/>
    </xf>
    <xf numFmtId="2" fontId="78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0" fillId="8" borderId="1" xfId="4492" applyNumberFormat="1" applyFont="1" applyFill="1" applyBorder="1" applyAlignment="1" applyProtection="1">
      <alignment horizontal="center" vertical="center"/>
    </xf>
    <xf numFmtId="15" fontId="10" fillId="5" borderId="10" xfId="0" applyNumberFormat="1" applyFont="1" applyFill="1" applyBorder="1"/>
    <xf numFmtId="169" fontId="27" fillId="50" borderId="11" xfId="0" applyNumberFormat="1" applyFont="1" applyFill="1" applyBorder="1" applyAlignment="1">
      <alignment horizontal="center"/>
    </xf>
    <xf numFmtId="166" fontId="27" fillId="8" borderId="60" xfId="0" applyNumberFormat="1" applyFont="1" applyFill="1" applyBorder="1" applyAlignment="1">
      <alignment horizontal="center"/>
    </xf>
    <xf numFmtId="0" fontId="10" fillId="5" borderId="11" xfId="0" applyFont="1" applyFill="1" applyBorder="1" applyAlignment="1">
      <alignment horizontal="left"/>
    </xf>
    <xf numFmtId="0" fontId="10" fillId="5" borderId="0" xfId="0" applyFont="1" applyFill="1"/>
    <xf numFmtId="0" fontId="10" fillId="5" borderId="11" xfId="0" applyFont="1" applyFill="1" applyBorder="1"/>
    <xf numFmtId="43" fontId="10" fillId="49" borderId="0" xfId="1" applyFont="1" applyFill="1" applyBorder="1" applyAlignment="1">
      <alignment horizontal="center"/>
    </xf>
    <xf numFmtId="43" fontId="9" fillId="0" borderId="0" xfId="1" applyFont="1" applyBorder="1" applyAlignment="1">
      <alignment horizontal="center"/>
    </xf>
    <xf numFmtId="43" fontId="9" fillId="0" borderId="0" xfId="1" applyFont="1" applyAlignment="1">
      <alignment horizontal="center"/>
    </xf>
    <xf numFmtId="0" fontId="10" fillId="16" borderId="53" xfId="0" applyFont="1" applyFill="1" applyBorder="1" applyAlignment="1">
      <alignment horizontal="center"/>
    </xf>
    <xf numFmtId="0" fontId="10" fillId="16" borderId="56" xfId="0" applyFont="1" applyFill="1" applyBorder="1" applyAlignment="1">
      <alignment horizontal="center"/>
    </xf>
    <xf numFmtId="0" fontId="10" fillId="4" borderId="1" xfId="0" applyFont="1" applyFill="1" applyBorder="1"/>
    <xf numFmtId="0" fontId="10" fillId="0" borderId="0" xfId="0" applyFont="1"/>
    <xf numFmtId="0" fontId="59" fillId="0" borderId="74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5" fillId="5" borderId="10" xfId="0" applyFont="1" applyFill="1" applyBorder="1"/>
    <xf numFmtId="0" fontId="5" fillId="0" borderId="1" xfId="0" applyFont="1" applyBorder="1"/>
    <xf numFmtId="0" fontId="4" fillId="0" borderId="1" xfId="0" applyFont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 applyAlignment="1">
      <alignment horizontal="left"/>
    </xf>
    <xf numFmtId="0" fontId="4" fillId="5" borderId="11" xfId="0" applyFont="1" applyFill="1" applyBorder="1"/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1" fillId="10" borderId="19" xfId="0" applyNumberFormat="1" applyFont="1" applyFill="1" applyBorder="1" applyAlignment="1">
      <alignment horizontal="center" vertical="center"/>
    </xf>
    <xf numFmtId="1" fontId="82" fillId="7" borderId="19" xfId="0" applyNumberFormat="1" applyFont="1" applyFill="1" applyBorder="1" applyAlignment="1">
      <alignment horizontal="center"/>
    </xf>
    <xf numFmtId="1" fontId="82" fillId="7" borderId="15" xfId="0" applyNumberFormat="1" applyFont="1" applyFill="1" applyBorder="1" applyAlignment="1">
      <alignment horizont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1" fontId="82" fillId="0" borderId="19" xfId="13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 applyAlignment="1">
      <alignment horizontal="center"/>
    </xf>
    <xf numFmtId="0" fontId="33" fillId="15" borderId="21" xfId="0" applyFont="1" applyFill="1" applyBorder="1" applyAlignment="1">
      <alignment horizontal="center" vertical="center"/>
    </xf>
    <xf numFmtId="0" fontId="33" fillId="15" borderId="22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6" fillId="8" borderId="35" xfId="0" applyFont="1" applyFill="1" applyBorder="1" applyAlignment="1">
      <alignment horizontal="center" vertical="center"/>
    </xf>
    <xf numFmtId="0" fontId="36" fillId="8" borderId="38" xfId="0" applyFont="1" applyFill="1" applyBorder="1" applyAlignment="1">
      <alignment horizontal="center" vertical="center"/>
    </xf>
    <xf numFmtId="0" fontId="36" fillId="8" borderId="41" xfId="0" applyFont="1" applyFill="1" applyBorder="1" applyAlignment="1">
      <alignment horizontal="center" vertical="center"/>
    </xf>
    <xf numFmtId="0" fontId="70" fillId="51" borderId="62" xfId="4491" applyFont="1" applyFill="1" applyBorder="1" applyAlignment="1">
      <alignment horizontal="center" wrapText="1"/>
    </xf>
    <xf numFmtId="0" fontId="70" fillId="51" borderId="3" xfId="4491" applyFont="1" applyFill="1" applyBorder="1" applyAlignment="1">
      <alignment horizontal="center" wrapText="1"/>
    </xf>
    <xf numFmtId="0" fontId="70" fillId="51" borderId="1" xfId="4491" applyFont="1" applyFill="1" applyBorder="1" applyAlignment="1">
      <alignment horizontal="center" wrapText="1"/>
    </xf>
    <xf numFmtId="0" fontId="59" fillId="3" borderId="1" xfId="4491" applyFont="1" applyFill="1" applyBorder="1" applyAlignment="1">
      <alignment horizontal="center" vertical="center" wrapText="1"/>
    </xf>
    <xf numFmtId="0" fontId="59" fillId="52" borderId="1" xfId="4491" applyFont="1" applyFill="1" applyBorder="1" applyAlignment="1">
      <alignment horizontal="center" vertical="center" wrapText="1"/>
    </xf>
    <xf numFmtId="0" fontId="59" fillId="53" borderId="1" xfId="4491" applyFont="1" applyFill="1" applyBorder="1" applyAlignment="1">
      <alignment horizontal="center" vertical="center"/>
    </xf>
    <xf numFmtId="0" fontId="59" fillId="53" borderId="1" xfId="4491" applyFont="1" applyFill="1" applyBorder="1" applyAlignment="1">
      <alignment horizontal="center" vertical="center" wrapText="1"/>
    </xf>
    <xf numFmtId="0" fontId="59" fillId="53" borderId="5" xfId="4491" applyFont="1" applyFill="1" applyBorder="1" applyAlignment="1">
      <alignment horizontal="center" vertical="center" wrapText="1"/>
    </xf>
    <xf numFmtId="0" fontId="59" fillId="53" borderId="2" xfId="4491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5.373531249999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5248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5574"/>
    </cacheField>
    <cacheField name="IS20_Inv1_M1" numFmtId="1">
      <sharedItems containsString="0" containsBlank="1" containsNumber="1" containsInteger="1" minValue="0" maxValue="6635"/>
    </cacheField>
    <cacheField name="IS20_Inv1_M2" numFmtId="1">
      <sharedItems containsString="0" containsBlank="1" containsNumber="1" containsInteger="1" minValue="0" maxValue="2452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6329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657061889799629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699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08.11900000000003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6.681"/>
    </cacheField>
    <cacheField name="33 kV_Wind_F4_Ex" numFmtId="169">
      <sharedItems containsString="0" containsBlank="1" containsNumber="1" minValue="204.91200000000001" maxValue="388.214"/>
    </cacheField>
    <cacheField name="33 kV_Solar_F1_Ex" numFmtId="169">
      <sharedItems containsString="0" containsBlank="1" containsNumber="1" minValue="151.25700000000001" maxValue="236.10300000000001"/>
    </cacheField>
    <cacheField name="33kV_Solar_F2_Ex" numFmtId="169">
      <sharedItems containsString="0" containsBlank="1" containsNumber="1" minValue="261.38499999999999" maxValue="336.89499999999998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8.01599999999999"/>
    </cacheField>
    <cacheField name="33kV_OG1_Ex" numFmtId="169">
      <sharedItems containsString="0" containsBlank="1" containsNumber="1" containsInteger="1" minValue="172960" maxValue="226103"/>
    </cacheField>
    <cacheField name="33kV_OG2_Ex" numFmtId="169">
      <sharedItems containsString="0" containsBlank="1" containsNumber="1" containsInteger="1" minValue="237651" maxValue="320010"/>
    </cacheField>
    <cacheField name="220kV_TX1_Ex" numFmtId="169">
      <sharedItems containsString="0" containsBlank="1" containsNumber="1" minValue="101.821" maxValue="167.51499999999999"/>
    </cacheField>
    <cacheField name="220kV_Tx2_Ex" numFmtId="169">
      <sharedItems containsString="0" containsBlank="1" containsNumber="1" minValue="56.494" maxValue="158.21600000000001"/>
    </cacheField>
    <cacheField name="220kV_TL_TVM_Ex" numFmtId="169">
      <sharedItems containsString="0" containsBlank="1" containsNumber="1" minValue="254.61799999999999" maxValue="338.69200000000001"/>
    </cacheField>
    <cacheField name="220kV_C&amp;R_PQM_Ex" numFmtId="169">
      <sharedItems containsString="0" containsBlank="1" containsNumber="1" minValue="79.673000000000002" maxValue="163.839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2.83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70735.00000000058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2.51"/>
    </cacheField>
    <cacheField name="Wind Export (33 kV)" numFmtId="43">
      <sharedItems containsMixedTypes="1" containsNumber="1" minValue="0" maxValue="1095765.0000000033"/>
    </cacheField>
    <cacheField name="Wind Net Export (33 kV)" numFmtId="43">
      <sharedItems containsMixedTypes="1" containsNumber="1" minValue="0" maxValue="1087995.6578256316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m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m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m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x v="119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n v="11545"/>
    <n v="120638"/>
    <n v="58228"/>
    <n v="4431"/>
    <n v="32067"/>
    <n v="45994"/>
    <n v="14651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m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075" totalsRowShown="0">
  <autoFilter ref="A1:AN1075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29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5" t="s">
        <v>0</v>
      </c>
      <c r="B3" s="376"/>
      <c r="C3" s="376"/>
      <c r="D3" s="376"/>
      <c r="E3" s="376"/>
      <c r="F3" s="377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45864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78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438.52499999998997</v>
      </c>
      <c r="E11" s="92">
        <f>D11/C11-1</f>
        <v>-0.40167138050919637</v>
      </c>
      <c r="F11" s="283"/>
      <c r="G11" s="231">
        <f>_xlfn.XLOOKUP($B$5,'Daily KPI'!$A:$A,'Daily KPI'!AS:AS)/1000</f>
        <v>650.38811295776827</v>
      </c>
      <c r="H11" s="231">
        <f>_xlfn.XLOOKUP($B$4,'Modelling New'!$D:$D,'Modelling New'!AM:AM)/1000</f>
        <v>19787.995186772609</v>
      </c>
      <c r="I11" s="231">
        <f>_xlfn.XLOOKUP($B$4,'Modelling New'!$D:$D,'Modelling New'!AN:AN)/1000</f>
        <v>87359.559100074344</v>
      </c>
    </row>
    <row r="12" spans="1:9">
      <c r="A12" s="379"/>
      <c r="B12" s="93" t="s">
        <v>16</v>
      </c>
      <c r="C12" s="94">
        <f>MonthlyKPI!E4</f>
        <v>19055.832578596859</v>
      </c>
      <c r="D12" s="95">
        <f>MonthlyKPI!F4</f>
        <v>13554.225000000002</v>
      </c>
      <c r="E12" s="96">
        <f>D12/C12-1</f>
        <v>-0.28870990317033729</v>
      </c>
      <c r="F12" s="284"/>
    </row>
    <row r="13" spans="1:9" ht="15" thickBot="1">
      <c r="A13" s="380"/>
      <c r="B13" s="98" t="s">
        <v>17</v>
      </c>
      <c r="C13" s="99">
        <f>AnnualKPI!E4</f>
        <v>100140.47814131959</v>
      </c>
      <c r="D13" s="100">
        <f>AnnualKPI!F4</f>
        <v>73404.449999999968</v>
      </c>
      <c r="E13" s="101">
        <f>D13/C13-1</f>
        <v>-0.26698522553077264</v>
      </c>
      <c r="F13" s="285"/>
    </row>
    <row r="14" spans="1:9">
      <c r="A14" s="378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2.8892170098595003</v>
      </c>
      <c r="E14" s="92">
        <f t="shared" ref="E14:E25" si="0">(D14-C14)/(C14)</f>
        <v>-0.36568181794869326</v>
      </c>
      <c r="F14" s="283"/>
    </row>
    <row r="15" spans="1:9">
      <c r="A15" s="379"/>
      <c r="B15" s="93" t="s">
        <v>19</v>
      </c>
      <c r="C15" s="223">
        <f>MonthlyKPI!C4</f>
        <v>118.4258064516129</v>
      </c>
      <c r="D15" s="224">
        <f>MonthlyKPI!D4</f>
        <v>97.061615236231177</v>
      </c>
      <c r="E15" s="96">
        <f t="shared" si="0"/>
        <v>-0.18040148389541116</v>
      </c>
      <c r="F15" s="284"/>
    </row>
    <row r="16" spans="1:9" ht="15" thickBot="1">
      <c r="A16" s="380"/>
      <c r="B16" s="98" t="s">
        <v>20</v>
      </c>
      <c r="C16" s="225">
        <f>AnnualKPI!C4</f>
        <v>670.72580645161293</v>
      </c>
      <c r="D16" s="226">
        <f>AnnualKPI!D4</f>
        <v>586.06849347752734</v>
      </c>
      <c r="E16" s="101">
        <f t="shared" si="0"/>
        <v>-0.12621746794260685</v>
      </c>
      <c r="F16" s="285"/>
    </row>
    <row r="17" spans="1:6">
      <c r="A17" s="378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0.87983233537349026</v>
      </c>
      <c r="E17" s="92">
        <f t="shared" si="0"/>
        <v>6.2954321550007825E-2</v>
      </c>
      <c r="F17" s="283"/>
    </row>
    <row r="18" spans="1:6">
      <c r="A18" s="379"/>
      <c r="B18" s="93" t="s">
        <v>22</v>
      </c>
      <c r="C18" s="104">
        <f>MonthlyKPI!M4</f>
        <v>0.82772356020954152</v>
      </c>
      <c r="D18" s="105">
        <f>MonthlyKPI!N4</f>
        <v>0.80949263392184856</v>
      </c>
      <c r="E18" s="96">
        <f t="shared" si="0"/>
        <v>-2.2025380409707959E-2</v>
      </c>
      <c r="F18" s="284"/>
    </row>
    <row r="19" spans="1:6" ht="15" thickBot="1">
      <c r="A19" s="380"/>
      <c r="B19" s="98" t="s">
        <v>23</v>
      </c>
      <c r="C19" s="106">
        <f>AnnualKPI!M4</f>
        <v>0.82772356020954152</v>
      </c>
      <c r="D19" s="107">
        <f>AnnualKPI!N4</f>
        <v>0.78515959530766377</v>
      </c>
      <c r="E19" s="101">
        <f t="shared" si="0"/>
        <v>-5.1422922999923446E-2</v>
      </c>
      <c r="F19" s="285"/>
    </row>
    <row r="20" spans="1:6">
      <c r="A20" s="378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0.99744363655760715</v>
      </c>
      <c r="E20" s="92">
        <f>(D20-C20)/(C20)</f>
        <v>2.4559161382986471E-3</v>
      </c>
      <c r="F20" s="283"/>
    </row>
    <row r="21" spans="1:6">
      <c r="A21" s="379"/>
      <c r="B21" s="93" t="s">
        <v>25</v>
      </c>
      <c r="C21" s="104">
        <f>_xlfn.XLOOKUP($B$4,'Modelling New'!$D:$D,'Modelling New'!AE:AE)</f>
        <v>0.995</v>
      </c>
      <c r="D21" s="105">
        <f>MonthlyKPI!L4</f>
        <v>0.97407717609623967</v>
      </c>
      <c r="E21" s="96">
        <f>(D21-C21)/(C21)</f>
        <v>-2.1027963722372183E-2</v>
      </c>
      <c r="F21" s="284"/>
    </row>
    <row r="22" spans="1:6" ht="15" thickBot="1">
      <c r="A22" s="380"/>
      <c r="B22" s="98" t="s">
        <v>26</v>
      </c>
      <c r="C22" s="104">
        <f>_xlfn.XLOOKUP($B$4,'Modelling New'!$D:$D,'Modelling New'!AE:AE)</f>
        <v>0.995</v>
      </c>
      <c r="D22" s="107">
        <f>AnnualKPI!L4</f>
        <v>0.97831188625963905</v>
      </c>
      <c r="E22" s="101">
        <f t="shared" si="0"/>
        <v>-1.6771973608402959E-2</v>
      </c>
      <c r="F22" s="285"/>
    </row>
    <row r="23" spans="1:6">
      <c r="A23" s="378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79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80"/>
      <c r="B25" s="98" t="s">
        <v>29</v>
      </c>
      <c r="C25" s="104">
        <f>_xlfn.XLOOKUP($B$4,'Modelling New'!$D:$D,'Modelling New'!AF:AF)</f>
        <v>0.995</v>
      </c>
      <c r="D25" s="107">
        <f>AnnualKPI!J4</f>
        <v>0.98241767219670184</v>
      </c>
      <c r="E25" s="101">
        <f t="shared" si="0"/>
        <v>-1.2645555581204176E-2</v>
      </c>
      <c r="F25" s="285"/>
    </row>
    <row r="26" spans="1:6">
      <c r="A26" s="378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9.3991126543207737E-2</v>
      </c>
      <c r="E26" s="92">
        <f t="shared" ref="E26:E28" si="1">(D26-C26)/(C26)</f>
        <v>-0.40167138050919626</v>
      </c>
      <c r="F26" s="283"/>
    </row>
    <row r="27" spans="1:6">
      <c r="A27" s="379"/>
      <c r="B27" s="93" t="s">
        <v>31</v>
      </c>
      <c r="C27" s="104">
        <f>MonthlyKPI!G4</f>
        <v>0.15708947137310117</v>
      </c>
      <c r="D27" s="105">
        <f>MonthlyKPI!H4</f>
        <v>0.11173618530389365</v>
      </c>
      <c r="E27" s="96">
        <f t="shared" si="1"/>
        <v>-0.28870990317033735</v>
      </c>
      <c r="F27" s="284"/>
    </row>
    <row r="28" spans="1:6" ht="15" thickBot="1">
      <c r="A28" s="380"/>
      <c r="B28" s="98" t="s">
        <v>32</v>
      </c>
      <c r="C28" s="106">
        <f>AnnualKPI!G4</f>
        <v>0.18344940041481936</v>
      </c>
      <c r="D28" s="107">
        <f>AnnualKPI!H4</f>
        <v>0.13447112087158378</v>
      </c>
      <c r="E28" s="101">
        <f t="shared" si="1"/>
        <v>-0.26698522553077275</v>
      </c>
      <c r="F28" s="285"/>
    </row>
    <row r="30" spans="1:6" ht="15" thickBot="1"/>
    <row r="31" spans="1:6" ht="15.5">
      <c r="A31" s="375" t="s">
        <v>0</v>
      </c>
      <c r="B31" s="376"/>
      <c r="C31" s="376"/>
      <c r="D31" s="376"/>
      <c r="E31" s="376"/>
      <c r="F31" s="377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45864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410285.60270574928</v>
      </c>
      <c r="D39" s="94">
        <f>SUMIFS(RD[O2R4_P1],RD[Month Year],$B$32)</f>
        <v>366063</v>
      </c>
      <c r="E39" s="96">
        <f>D39/C39-1</f>
        <v>-0.1077849244870166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3042233.7739047976</v>
      </c>
      <c r="D40" s="94">
        <f>SUMIFS(RD[O2R8],RD[Month Year],$B$32)</f>
        <v>2642828</v>
      </c>
      <c r="E40" s="96">
        <f t="shared" ref="E40:E44" si="2">D40/C40-1</f>
        <v>-0.13128700934515902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2305223.472612577</v>
      </c>
      <c r="D41" s="94">
        <f>SUMIFS(RD[O2R16],RD[Month Year],$B$32)</f>
        <v>2106881</v>
      </c>
      <c r="E41" s="96">
        <f t="shared" si="2"/>
        <v>-8.6040453330882394E-2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415885.70412146562</v>
      </c>
      <c r="D42" s="94">
        <f>SUMIFS(RD[O2R4_P2],RD[Month Year],$B$32)</f>
        <v>368510</v>
      </c>
      <c r="E42" s="96">
        <f t="shared" si="2"/>
        <v>-0.11391520230671082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4658092.4081014544</v>
      </c>
      <c r="D43" s="94">
        <f>SUMIFS(RD[O2R22],RD[Month Year],$B$32)</f>
        <v>3964909</v>
      </c>
      <c r="E43" s="96">
        <f t="shared" si="2"/>
        <v>-0.14881272146852542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2236903.8037221213</v>
      </c>
      <c r="D44" s="94">
        <f>SUMIFS(RD[O2R23],RD[Month Year],$B$32)</f>
        <v>1884809</v>
      </c>
      <c r="E44" s="96">
        <f t="shared" si="2"/>
        <v>-0.15740274710796642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173355.14359695753</v>
      </c>
      <c r="D45" s="94">
        <f>SUMIFS(RD[O2R4_P3],RD[Month Year],$B$32)</f>
        <v>145388</v>
      </c>
      <c r="E45" s="96">
        <f t="shared" ref="E45:E46" si="3">D45/C45-1</f>
        <v>-0.16132860563964457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1240589.5942115323</v>
      </c>
      <c r="D46" s="94">
        <f>SUMIFS(RD[O2R13],RD[Month Year],$B$32)</f>
        <v>1059034</v>
      </c>
      <c r="E46" s="96">
        <f t="shared" si="3"/>
        <v>-0.14634621720079921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1819567.3469146306</v>
      </c>
      <c r="D47" s="94">
        <f>SUMIFS(RD[O2R22_P2],RD[Month Year],$B$32)</f>
        <v>1123076</v>
      </c>
      <c r="E47" s="96">
        <f t="shared" ref="E47" si="4">D47/C47-1</f>
        <v>-0.38277854793099242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5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5" activePane="bottomRight" state="frozen"/>
      <selection pane="topRight" activeCell="Z69" sqref="Z69"/>
      <selection pane="bottomLeft" activeCell="Z69" sqref="Z69"/>
      <selection pane="bottomRight" activeCell="A31" sqref="A31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1"/>
      <c r="B1" s="383" t="s">
        <v>43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3"/>
    </row>
    <row r="2" spans="1:29" s="184" customFormat="1" ht="19.5" customHeight="1">
      <c r="A2" s="382"/>
      <c r="B2" s="383" t="s">
        <v>44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</row>
    <row r="3" spans="1:29" ht="24" customHeight="1">
      <c r="A3" s="384" t="s">
        <v>45</v>
      </c>
      <c r="B3" s="384" t="s">
        <v>46</v>
      </c>
      <c r="C3" s="384" t="s">
        <v>47</v>
      </c>
      <c r="D3" s="384" t="s">
        <v>48</v>
      </c>
      <c r="E3" s="384" t="s">
        <v>49</v>
      </c>
      <c r="F3" s="384" t="s">
        <v>50</v>
      </c>
      <c r="G3" s="385" t="s">
        <v>51</v>
      </c>
      <c r="H3" s="385" t="s">
        <v>52</v>
      </c>
      <c r="I3" s="385" t="s">
        <v>53</v>
      </c>
      <c r="J3" s="385" t="s">
        <v>54</v>
      </c>
      <c r="K3" s="385" t="s">
        <v>55</v>
      </c>
      <c r="L3" s="385" t="s">
        <v>56</v>
      </c>
      <c r="M3" s="385" t="s">
        <v>57</v>
      </c>
      <c r="N3" s="385" t="s">
        <v>58</v>
      </c>
      <c r="O3" s="385" t="s">
        <v>59</v>
      </c>
      <c r="P3" s="385" t="s">
        <v>60</v>
      </c>
      <c r="Q3" s="385" t="s">
        <v>61</v>
      </c>
      <c r="R3" s="385" t="s">
        <v>62</v>
      </c>
      <c r="S3" s="385" t="s">
        <v>63</v>
      </c>
      <c r="T3" s="386" t="s">
        <v>64</v>
      </c>
      <c r="U3" s="386"/>
      <c r="V3" s="386"/>
      <c r="W3" s="386"/>
      <c r="X3" s="386"/>
      <c r="Y3" s="386"/>
      <c r="Z3" s="386"/>
      <c r="AA3" s="386"/>
    </row>
    <row r="4" spans="1:29" s="187" customFormat="1" ht="27.75" customHeight="1">
      <c r="A4" s="384"/>
      <c r="B4" s="384"/>
      <c r="C4" s="384"/>
      <c r="D4" s="384"/>
      <c r="E4" s="384"/>
      <c r="F4" s="384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7" t="s">
        <v>65</v>
      </c>
      <c r="U4" s="387"/>
      <c r="V4" s="388" t="s">
        <v>66</v>
      </c>
      <c r="W4" s="388" t="s">
        <v>67</v>
      </c>
      <c r="X4" s="388" t="s">
        <v>68</v>
      </c>
      <c r="Y4" s="388" t="s">
        <v>69</v>
      </c>
      <c r="Z4" s="388" t="s">
        <v>70</v>
      </c>
      <c r="AA4" s="388" t="s">
        <v>71</v>
      </c>
    </row>
    <row r="5" spans="1:29" s="187" customFormat="1" ht="14.25" customHeight="1">
      <c r="A5" s="384"/>
      <c r="B5" s="384"/>
      <c r="C5" s="384"/>
      <c r="D5" s="384"/>
      <c r="E5" s="384"/>
      <c r="F5" s="384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186" t="s">
        <v>72</v>
      </c>
      <c r="U5" s="186" t="s">
        <v>73</v>
      </c>
      <c r="V5" s="389"/>
      <c r="W5" s="389"/>
      <c r="X5" s="389"/>
      <c r="Y5" s="389"/>
      <c r="Z5" s="389"/>
      <c r="AA5" s="389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2.8343784383852695</v>
      </c>
      <c r="H28" s="192">
        <f t="shared" si="12"/>
        <v>111485.80770630729</v>
      </c>
      <c r="I28" s="190">
        <v>121275.00000000033</v>
      </c>
      <c r="J28" s="193">
        <v>225</v>
      </c>
      <c r="K28" s="192">
        <f t="shared" si="2"/>
        <v>121050.00000000033</v>
      </c>
      <c r="L28" s="192">
        <f t="shared" si="3"/>
        <v>0</v>
      </c>
      <c r="M28" s="191">
        <f t="shared" si="4"/>
        <v>0.90040317085789323</v>
      </c>
      <c r="N28" s="191">
        <f t="shared" si="5"/>
        <v>0.90040317085789323</v>
      </c>
      <c r="O28" s="191">
        <f t="shared" si="6"/>
        <v>0.10633680555555584</v>
      </c>
      <c r="P28" s="191">
        <f t="shared" si="7"/>
        <v>0.10633680555555584</v>
      </c>
      <c r="Q28" s="194">
        <f t="shared" si="8"/>
        <v>9789.1922936930496</v>
      </c>
      <c r="R28" s="195">
        <f t="shared" si="9"/>
        <v>7.2679610648351822E-2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 t="s">
        <v>74</v>
      </c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1.7402897593659969</v>
      </c>
      <c r="H29" s="192">
        <f>IFERROR(D29*(G29/C29),0)</f>
        <v>68451.55425909326</v>
      </c>
      <c r="I29" s="190">
        <v>80099.999999998778</v>
      </c>
      <c r="J29" s="193">
        <v>450</v>
      </c>
      <c r="K29" s="192">
        <f t="shared" si="2"/>
        <v>79649.999999998778</v>
      </c>
      <c r="L29" s="192">
        <f t="shared" si="3"/>
        <v>0</v>
      </c>
      <c r="M29" s="191">
        <f t="shared" si="4"/>
        <v>0.96857781960408484</v>
      </c>
      <c r="N29" s="191">
        <f t="shared" si="5"/>
        <v>0.96857781960408484</v>
      </c>
      <c r="O29" s="191">
        <f t="shared" si="6"/>
        <v>7.0233585858584788E-2</v>
      </c>
      <c r="P29" s="191">
        <f t="shared" si="7"/>
        <v>7.0233585858584788E-2</v>
      </c>
      <c r="Q29" s="194">
        <f t="shared" si="8"/>
        <v>11648.445740905518</v>
      </c>
      <c r="R29" s="195">
        <f t="shared" si="9"/>
        <v>0.14085425939454344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 t="s">
        <v>74</v>
      </c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2.9123170193853425</v>
      </c>
      <c r="H30" s="192">
        <f t="shared" si="12"/>
        <v>114551.39892609749</v>
      </c>
      <c r="I30" s="190">
        <v>124424.99999999939</v>
      </c>
      <c r="J30" s="193">
        <v>225</v>
      </c>
      <c r="K30" s="192">
        <f t="shared" si="2"/>
        <v>124199.99999999939</v>
      </c>
      <c r="L30" s="192">
        <f t="shared" si="3"/>
        <v>0</v>
      </c>
      <c r="M30" s="191">
        <f t="shared" si="4"/>
        <v>0.89906805979309834</v>
      </c>
      <c r="N30" s="191">
        <f t="shared" si="5"/>
        <v>0.89906805979309834</v>
      </c>
      <c r="O30" s="191">
        <f t="shared" si="6"/>
        <v>0.10909880050504997</v>
      </c>
      <c r="P30" s="191">
        <f t="shared" si="7"/>
        <v>0.10909880050504997</v>
      </c>
      <c r="Q30" s="194">
        <f t="shared" si="8"/>
        <v>9873.6010739018966</v>
      </c>
      <c r="R30" s="195">
        <f t="shared" si="9"/>
        <v>7.1344499583556931E-2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 t="s">
        <v>74</v>
      </c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2.7751803463143268</v>
      </c>
      <c r="H31" s="192">
        <f t="shared" si="12"/>
        <v>109157.34407568452</v>
      </c>
      <c r="I31" s="190">
        <v>117900.0000000002</v>
      </c>
      <c r="J31" s="193">
        <v>450</v>
      </c>
      <c r="K31" s="192">
        <f t="shared" si="2"/>
        <v>117450.0000000002</v>
      </c>
      <c r="L31" s="192">
        <f t="shared" si="3"/>
        <v>0</v>
      </c>
      <c r="M31" s="191">
        <f t="shared" si="4"/>
        <v>0.8940177921610275</v>
      </c>
      <c r="N31" s="191">
        <f t="shared" si="5"/>
        <v>0.8940177921610275</v>
      </c>
      <c r="O31" s="191">
        <f t="shared" si="6"/>
        <v>0.10337752525252543</v>
      </c>
      <c r="P31" s="191">
        <f t="shared" si="7"/>
        <v>0.10337752525252543</v>
      </c>
      <c r="Q31" s="194">
        <f t="shared" si="8"/>
        <v>8742.6559243156807</v>
      </c>
      <c r="R31" s="195">
        <f t="shared" si="9"/>
        <v>6.6294231951486093E-2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 t="s">
        <v>74</v>
      </c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94.653495833907357</v>
      </c>
      <c r="H37" s="207">
        <f>IFERROR(D37*(G37/C37),0)</f>
        <v>3723046.0450723958</v>
      </c>
      <c r="I37" s="205">
        <f>SUM(I6:I36)</f>
        <v>3832425.0000000005</v>
      </c>
      <c r="J37" s="205">
        <f>SUM(J6:J36)</f>
        <v>9000</v>
      </c>
      <c r="K37" s="205">
        <f>SUM(K6:K36)</f>
        <v>3823425.0000000005</v>
      </c>
      <c r="L37" s="205">
        <f>SUM(L6:L36)</f>
        <v>0</v>
      </c>
      <c r="M37" s="206">
        <f>IFERROR(I37/(B37*G37),0)</f>
        <v>0.85204115845802475</v>
      </c>
      <c r="N37" s="206">
        <f>IFERROR((I37+L37)/(B37*G37),0)</f>
        <v>0.85204115845802475</v>
      </c>
      <c r="O37" s="206">
        <f>IFERROR(AVERAGEIF(O6:O36,"&lt;&gt;0"),0)</f>
        <v>0.12924467026029526</v>
      </c>
      <c r="P37" s="206">
        <f>IFERROR(AVERAGEIF(P6:P36,"&lt;&gt;0"),0)</f>
        <v>0.12924467026029526</v>
      </c>
      <c r="Q37" s="205">
        <f>(I37+L37)-H37</f>
        <v>109378.95492760465</v>
      </c>
      <c r="R37" s="208">
        <f>N37-E37</f>
        <v>2.4317598248483452E-2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23" activePane="bottomRight" state="frozen"/>
      <selection pane="topRight" activeCell="Z69" sqref="Z69"/>
      <selection pane="bottomLeft" activeCell="Z69" sqref="Z69"/>
      <selection pane="bottomRight" activeCell="A31" sqref="A31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1"/>
      <c r="B1" s="383" t="s">
        <v>43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3"/>
    </row>
    <row r="2" spans="1:29" s="184" customFormat="1" ht="19.5" customHeight="1">
      <c r="A2" s="382"/>
      <c r="B2" s="383" t="s">
        <v>1828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</row>
    <row r="3" spans="1:29" ht="24" customHeight="1">
      <c r="A3" s="384" t="s">
        <v>45</v>
      </c>
      <c r="B3" s="384" t="s">
        <v>46</v>
      </c>
      <c r="C3" s="384" t="s">
        <v>47</v>
      </c>
      <c r="D3" s="384" t="s">
        <v>48</v>
      </c>
      <c r="E3" s="384" t="s">
        <v>49</v>
      </c>
      <c r="F3" s="384" t="s">
        <v>50</v>
      </c>
      <c r="G3" s="385" t="s">
        <v>51</v>
      </c>
      <c r="H3" s="385" t="s">
        <v>52</v>
      </c>
      <c r="I3" s="385" t="s">
        <v>53</v>
      </c>
      <c r="J3" s="385" t="s">
        <v>54</v>
      </c>
      <c r="K3" s="385" t="s">
        <v>55</v>
      </c>
      <c r="L3" s="385" t="s">
        <v>56</v>
      </c>
      <c r="M3" s="385" t="s">
        <v>57</v>
      </c>
      <c r="N3" s="385" t="s">
        <v>58</v>
      </c>
      <c r="O3" s="385" t="s">
        <v>59</v>
      </c>
      <c r="P3" s="385" t="s">
        <v>60</v>
      </c>
      <c r="Q3" s="385" t="s">
        <v>61</v>
      </c>
      <c r="R3" s="385" t="s">
        <v>62</v>
      </c>
      <c r="S3" s="385" t="s">
        <v>63</v>
      </c>
      <c r="T3" s="386" t="s">
        <v>64</v>
      </c>
      <c r="U3" s="386"/>
      <c r="V3" s="386"/>
      <c r="W3" s="386"/>
      <c r="X3" s="386"/>
      <c r="Y3" s="386"/>
      <c r="Z3" s="386"/>
      <c r="AA3" s="386"/>
    </row>
    <row r="4" spans="1:29" s="187" customFormat="1" ht="27.75" customHeight="1">
      <c r="A4" s="384"/>
      <c r="B4" s="384"/>
      <c r="C4" s="384"/>
      <c r="D4" s="384"/>
      <c r="E4" s="384"/>
      <c r="F4" s="384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7" t="s">
        <v>65</v>
      </c>
      <c r="U4" s="387"/>
      <c r="V4" s="388" t="s">
        <v>66</v>
      </c>
      <c r="W4" s="388" t="s">
        <v>67</v>
      </c>
      <c r="X4" s="388" t="s">
        <v>68</v>
      </c>
      <c r="Y4" s="388" t="s">
        <v>69</v>
      </c>
      <c r="Z4" s="388" t="s">
        <v>70</v>
      </c>
      <c r="AA4" s="388" t="s">
        <v>71</v>
      </c>
    </row>
    <row r="5" spans="1:29" s="187" customFormat="1" ht="14.25" customHeight="1">
      <c r="A5" s="384"/>
      <c r="B5" s="384"/>
      <c r="C5" s="384"/>
      <c r="D5" s="384"/>
      <c r="E5" s="384"/>
      <c r="F5" s="384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186" t="s">
        <v>72</v>
      </c>
      <c r="U5" s="186" t="s">
        <v>73</v>
      </c>
      <c r="V5" s="389"/>
      <c r="W5" s="389"/>
      <c r="X5" s="389"/>
      <c r="Y5" s="389"/>
      <c r="Z5" s="389"/>
      <c r="AA5" s="389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1932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1933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1933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1933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1933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2.8343784383852695</v>
      </c>
      <c r="H28" s="192">
        <f t="shared" si="13"/>
        <v>43543.278430746279</v>
      </c>
      <c r="I28" s="190">
        <f>SUM(Input_Raw!CN121:CZ121)</f>
        <v>43691</v>
      </c>
      <c r="J28" s="193">
        <f t="shared" si="2"/>
        <v>131.07300000000001</v>
      </c>
      <c r="K28" s="192">
        <f t="shared" si="3"/>
        <v>43559.927000000003</v>
      </c>
      <c r="L28" s="192">
        <f t="shared" si="4"/>
        <v>1002</v>
      </c>
      <c r="M28" s="191">
        <f t="shared" si="5"/>
        <v>0.8305316313431127</v>
      </c>
      <c r="N28" s="191">
        <f t="shared" si="6"/>
        <v>0.84957886520376591</v>
      </c>
      <c r="O28" s="191">
        <f t="shared" si="7"/>
        <v>9.8085039511494249E-2</v>
      </c>
      <c r="P28" s="191">
        <f t="shared" si="8"/>
        <v>0.1003345007183908</v>
      </c>
      <c r="Q28" s="194">
        <f t="shared" si="9"/>
        <v>1149.7215692537211</v>
      </c>
      <c r="R28" s="195">
        <f t="shared" si="10"/>
        <v>2.1855304994224278E-2</v>
      </c>
      <c r="S28" s="196"/>
      <c r="T28" s="197">
        <v>0.27291666666666664</v>
      </c>
      <c r="U28" s="197">
        <v>0.7729166666666667</v>
      </c>
      <c r="V28" s="192">
        <f t="shared" si="11"/>
        <v>720</v>
      </c>
      <c r="W28" s="198">
        <v>2.84</v>
      </c>
      <c r="X28" s="321">
        <f t="shared" si="12"/>
        <v>0.82772356020954163</v>
      </c>
      <c r="Y28" s="198"/>
      <c r="Z28" s="192">
        <v>1002</v>
      </c>
      <c r="AA28" s="196" t="s">
        <v>1933</v>
      </c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1.7402897593659969</v>
      </c>
      <c r="H29" s="192">
        <f>IFERROR(D29*(G29/C29),0)</f>
        <v>26735.287185369758</v>
      </c>
      <c r="I29" s="190">
        <f>SUM(Input_Raw!CN122:CZ122)</f>
        <v>29177</v>
      </c>
      <c r="J29" s="193">
        <f t="shared" si="2"/>
        <v>87.531000000000006</v>
      </c>
      <c r="K29" s="192">
        <f t="shared" si="3"/>
        <v>29089.469000000001</v>
      </c>
      <c r="L29" s="192">
        <f t="shared" si="4"/>
        <v>616</v>
      </c>
      <c r="M29" s="191">
        <f t="shared" si="5"/>
        <v>0.90331890391847247</v>
      </c>
      <c r="N29" s="191">
        <f t="shared" si="6"/>
        <v>0.92239024246643075</v>
      </c>
      <c r="O29" s="191">
        <f t="shared" si="7"/>
        <v>6.5501526580459768E-2</v>
      </c>
      <c r="P29" s="191">
        <f t="shared" si="8"/>
        <v>6.6884428879310343E-2</v>
      </c>
      <c r="Q29" s="194">
        <f t="shared" si="9"/>
        <v>3057.7128146302421</v>
      </c>
      <c r="R29" s="195">
        <f t="shared" si="10"/>
        <v>9.4666682256889123E-2</v>
      </c>
      <c r="S29" s="196"/>
      <c r="T29" s="197">
        <v>0.28125</v>
      </c>
      <c r="U29" s="197">
        <v>0.7715277777777777</v>
      </c>
      <c r="V29" s="192">
        <f t="shared" si="11"/>
        <v>705.99999999999989</v>
      </c>
      <c r="W29" s="198">
        <v>1.74</v>
      </c>
      <c r="X29" s="321">
        <f t="shared" si="12"/>
        <v>0.82772356020954163</v>
      </c>
      <c r="Y29" s="198"/>
      <c r="Z29" s="192">
        <v>616</v>
      </c>
      <c r="AA29" s="196" t="s">
        <v>1933</v>
      </c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2.9123170193853425</v>
      </c>
      <c r="H30" s="192">
        <f t="shared" si="13"/>
        <v>44740.613721977476</v>
      </c>
      <c r="I30" s="190">
        <f>SUM(Input_Raw!CN123:CZ123)</f>
        <v>47330</v>
      </c>
      <c r="J30" s="193">
        <f t="shared" si="2"/>
        <v>141.99</v>
      </c>
      <c r="K30" s="192">
        <f t="shared" si="3"/>
        <v>47188.01</v>
      </c>
      <c r="L30" s="192">
        <f t="shared" si="4"/>
        <v>1030</v>
      </c>
      <c r="M30" s="191">
        <f t="shared" si="5"/>
        <v>0.87562849155717992</v>
      </c>
      <c r="N30" s="191">
        <f t="shared" si="6"/>
        <v>0.89468400278270066</v>
      </c>
      <c r="O30" s="191">
        <f t="shared" si="7"/>
        <v>0.10625448994252873</v>
      </c>
      <c r="P30" s="191">
        <f t="shared" si="8"/>
        <v>0.10856681034482758</v>
      </c>
      <c r="Q30" s="194">
        <f t="shared" si="9"/>
        <v>3619.3862780225245</v>
      </c>
      <c r="R30" s="195">
        <f t="shared" si="10"/>
        <v>6.6960442573159029E-2</v>
      </c>
      <c r="S30" s="196"/>
      <c r="T30" s="197">
        <v>0.27777777777777779</v>
      </c>
      <c r="U30" s="197">
        <v>0.7715277777777777</v>
      </c>
      <c r="V30" s="192">
        <f t="shared" si="11"/>
        <v>710.99999999999989</v>
      </c>
      <c r="W30" s="198">
        <v>2.92</v>
      </c>
      <c r="X30" s="321">
        <f t="shared" si="12"/>
        <v>0.82772356020954163</v>
      </c>
      <c r="Y30" s="198"/>
      <c r="Z30" s="192">
        <v>1030</v>
      </c>
      <c r="AA30" s="196" t="s">
        <v>1933</v>
      </c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2.7751803463143268</v>
      </c>
      <c r="H31" s="192">
        <f t="shared" si="13"/>
        <v>42633.84482417308</v>
      </c>
      <c r="I31" s="190">
        <f>SUM(Input_Raw!CN124:CZ124)</f>
        <v>42047</v>
      </c>
      <c r="J31" s="193">
        <f t="shared" si="2"/>
        <v>126.14100000000001</v>
      </c>
      <c r="K31" s="192">
        <f t="shared" si="3"/>
        <v>41920.858999999997</v>
      </c>
      <c r="L31" s="192">
        <f t="shared" si="4"/>
        <v>982</v>
      </c>
      <c r="M31" s="191">
        <f t="shared" si="5"/>
        <v>0.81633014051778352</v>
      </c>
      <c r="N31" s="191">
        <f t="shared" si="6"/>
        <v>0.83539538174756123</v>
      </c>
      <c r="O31" s="191">
        <f t="shared" si="7"/>
        <v>9.4394306752873566E-2</v>
      </c>
      <c r="P31" s="191">
        <f t="shared" si="8"/>
        <v>9.6598868534482754E-2</v>
      </c>
      <c r="Q31" s="194">
        <f t="shared" si="9"/>
        <v>395.15517582691973</v>
      </c>
      <c r="R31" s="195">
        <f t="shared" si="10"/>
        <v>7.6718215380195964E-3</v>
      </c>
      <c r="S31" s="196"/>
      <c r="T31" s="197">
        <v>0.2673611111111111</v>
      </c>
      <c r="U31" s="197">
        <v>0.76875000000000004</v>
      </c>
      <c r="V31" s="192">
        <f t="shared" si="11"/>
        <v>722</v>
      </c>
      <c r="W31" s="198">
        <v>2.8</v>
      </c>
      <c r="X31" s="321">
        <f t="shared" si="12"/>
        <v>0.82772356020954163</v>
      </c>
      <c r="Y31" s="198"/>
      <c r="Z31" s="192">
        <v>982</v>
      </c>
      <c r="AA31" s="196" t="s">
        <v>1933</v>
      </c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SUM(Input_Raw!CN125:CZ125)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94.653495833907357</v>
      </c>
      <c r="H37" s="207">
        <f>IFERROR(D37*(G37/C37),0)</f>
        <v>1454118.9940350091</v>
      </c>
      <c r="I37" s="205">
        <f>SUM(I6:I36)</f>
        <v>1067906</v>
      </c>
      <c r="J37" s="205">
        <f>SUM(J6:J36)</f>
        <v>3203.7179999999994</v>
      </c>
      <c r="K37" s="205">
        <f>SUM(K6:K36)</f>
        <v>1064702.2820000004</v>
      </c>
      <c r="L37" s="205">
        <f>SUM(L6:L36)</f>
        <v>374826</v>
      </c>
      <c r="M37" s="206">
        <f>IFERROR(I37/(B37*G37),0)</f>
        <v>0.60788075798138475</v>
      </c>
      <c r="N37" s="206">
        <f>IFERROR((I37+L37)/(B37*G37),0)</f>
        <v>0.8212417775759282</v>
      </c>
      <c r="O37" s="206">
        <f>IFERROR(AVERAGEIF(O6:O36,"&lt;&gt;0"),0)</f>
        <v>9.2208395501768362E-2</v>
      </c>
      <c r="P37" s="206">
        <f>IFERROR(AVERAGEIF(P6:P36,"&lt;&gt;0"),0)</f>
        <v>0.12457276469938106</v>
      </c>
      <c r="Q37" s="205">
        <f>(I37+L37)-H37</f>
        <v>-11386.994035009062</v>
      </c>
      <c r="R37" s="208">
        <f>N37-E37</f>
        <v>-6.4817826336127649E-3</v>
      </c>
      <c r="S37" s="209"/>
      <c r="T37" s="209"/>
      <c r="U37" s="209"/>
      <c r="V37" s="205">
        <f>SUM(V6:V36)</f>
        <v>18634</v>
      </c>
      <c r="W37" s="204"/>
      <c r="X37" s="210"/>
      <c r="Y37" s="211"/>
      <c r="Z37" s="205">
        <f>SUM(Z6:Z36)</f>
        <v>374826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45864</v>
      </c>
      <c r="C1" s="66">
        <f>O2Summary!$B$4</f>
        <v>45839</v>
      </c>
    </row>
    <row r="2" spans="1:14" ht="21">
      <c r="A2" s="390" t="s">
        <v>80</v>
      </c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117</v>
      </c>
      <c r="C4" s="68">
        <f>_xlfn.XLOOKUP($C$1,'Modelling New'!$D:$D,'Modelling New'!$S:$S)</f>
        <v>670.72580645161293</v>
      </c>
      <c r="D4" s="69">
        <f>SUMIFS('Daily KPI'!$I:$I,'Daily KPI'!$A:$A,"&gt;="&amp;O2Summary!$B$7,'Daily KPI'!$A:$A,"&lt;="&amp;AnnualKPI!$B$1)</f>
        <v>586.06849347752734</v>
      </c>
      <c r="E4" s="68">
        <f>_xlfn.XLOOKUP($C$1,'Modelling New'!$D:$D,'Modelling New'!V:V)</f>
        <v>100140.47814131959</v>
      </c>
      <c r="F4" s="70">
        <f>SUMIFS('Daily KPI'!$AA:$AA,'Daily KPI'!$A:$A,"&gt;="&amp;O2Summary!$B$7,'Daily KPI'!$A:$A,"&lt;="&amp;AnnualKPI!$B$1)/1000</f>
        <v>73404.449999999968</v>
      </c>
      <c r="G4" s="71">
        <f>E4/_xlfn.XLOOKUP(C1,'Modelling New'!D:D,'Modelling New'!N:N)/(24*B4)</f>
        <v>0.18344940041481936</v>
      </c>
      <c r="H4" s="72">
        <f>F4/_xlfn.XLOOKUP(C1,'Modelling New'!D:D,'Modelling New'!N:N)/(24*B4)</f>
        <v>0.13447112087158378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0.98241767219670184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0.97831188625963905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0.78515959530766377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45864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90" t="s">
        <v>95</v>
      </c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26</v>
      </c>
      <c r="C4" s="68">
        <f>_xlfn.XLOOKUP($A$4,'Modelling New'!$D:$D,'Modelling New'!$R:$R)</f>
        <v>118.4258064516129</v>
      </c>
      <c r="D4" s="69">
        <f>SUMIF('Daily KPI'!$D:$D,$A$4,'Daily KPI'!$I:$I)</f>
        <v>97.061615236231177</v>
      </c>
      <c r="E4" s="67">
        <f>_xlfn.XLOOKUP($A$4,'Modelling New'!$D:$D,'Modelling New'!$U:$U)</f>
        <v>19055.832578596859</v>
      </c>
      <c r="F4" s="70">
        <f>SUMIFS('Daily KPI'!$AA:$AA,'Daily KPI'!$D:$D,"&gt;="&amp;$A$4,'Daily KPI'!$A:$A,"&lt;="&amp;MonthlyKPI!$B$1)/1000</f>
        <v>13554.225000000002</v>
      </c>
      <c r="G4" s="71">
        <f>E4/(24*B4)/_xlfn.XLOOKUP(A4,'Modelling New'!D:D,'Modelling New'!N:N)</f>
        <v>0.15708947137310117</v>
      </c>
      <c r="H4" s="72">
        <f>F4/(24*B4)/_xlfn.XLOOKUP(A4,'Modelling New'!D:D,'Modelling New'!N:N)</f>
        <v>0.11173618530389365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0.97407717609623967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0.80949263392184856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45858</v>
      </c>
      <c r="D6" s="25"/>
      <c r="F6" s="25"/>
    </row>
    <row r="7" spans="1:15" ht="29.25" customHeight="1">
      <c r="A7" s="119" t="s">
        <v>103</v>
      </c>
      <c r="B7" s="62">
        <f>B1</f>
        <v>45864</v>
      </c>
    </row>
    <row r="8" spans="1:15" ht="29.25" customHeight="1">
      <c r="A8" s="390" t="s">
        <v>95</v>
      </c>
      <c r="B8" s="391"/>
      <c r="C8" s="391"/>
      <c r="D8" s="391"/>
      <c r="E8" s="391"/>
      <c r="F8" s="391"/>
      <c r="G8" s="391"/>
      <c r="H8" s="391"/>
      <c r="I8" s="391"/>
      <c r="J8" s="391"/>
      <c r="K8" s="391"/>
      <c r="L8" s="391"/>
      <c r="M8" s="391"/>
      <c r="N8" s="391"/>
      <c r="O8" s="391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19.852551669604328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3048.9749999999908</v>
      </c>
      <c r="G10" s="71">
        <f>_xlfn.XLOOKUP($A$10,'Modelling New'!$D:$D,'Modelling New'!$Y:$Y)</f>
        <v>0.1834494004148193</v>
      </c>
      <c r="H10" s="72">
        <f>F10/(24*B10)/_xlfn.XLOOKUP(A10,'Modelling New'!D:D,'Modelling New'!N:N)</f>
        <v>9.335730820105792E-2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0.99509454596550984</v>
      </c>
      <c r="M10" s="71">
        <f>E10/C10/AVERAGEIFS('Daily KPI'!$AB:$AB,'Daily KPI'!$A:$A,"&gt;="&amp;B6,'Daily KPI'!$A:$A,"&lt;="&amp;B7)</f>
        <v>0.94277099681365317</v>
      </c>
      <c r="N10" s="72">
        <f>F10/D10/AVERAGEIFS('Daily KPI'!$AB:$AB,'Daily KPI'!$A:$A,"&gt;="&amp;B6,'Daily KPI'!$A:$A,"&lt;="&amp;B7)</f>
        <v>0.89983351389576149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6" workbookViewId="0">
      <selection activeCell="B32" sqref="B32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2147822</v>
      </c>
      <c r="C2" s="60">
        <v>15332387</v>
      </c>
      <c r="D2" s="60">
        <v>12505421</v>
      </c>
      <c r="E2" s="60">
        <v>2126951</v>
      </c>
      <c r="F2" s="60">
        <v>23085060</v>
      </c>
      <c r="G2" s="60">
        <v>11002525</v>
      </c>
      <c r="H2" s="60">
        <v>604790</v>
      </c>
      <c r="I2" s="60">
        <v>5919501</v>
      </c>
      <c r="J2" s="60">
        <v>5013171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366063</v>
      </c>
      <c r="C7" s="60">
        <v>2642828</v>
      </c>
      <c r="D7" s="60">
        <v>2106881</v>
      </c>
      <c r="E7" s="60">
        <v>368510</v>
      </c>
      <c r="F7" s="60">
        <v>3964909</v>
      </c>
      <c r="G7" s="60">
        <v>1884809</v>
      </c>
      <c r="H7" s="60">
        <v>145388</v>
      </c>
      <c r="I7" s="60">
        <v>1059034</v>
      </c>
      <c r="J7" s="60">
        <v>1123076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11387</v>
      </c>
      <c r="C33" s="60">
        <v>82463</v>
      </c>
      <c r="D33" s="60">
        <v>65542</v>
      </c>
      <c r="E33" s="60">
        <v>11545</v>
      </c>
      <c r="F33" s="60">
        <v>120638</v>
      </c>
      <c r="G33" s="60">
        <v>58228</v>
      </c>
      <c r="H33" s="60">
        <v>4431</v>
      </c>
      <c r="I33" s="60">
        <v>32067</v>
      </c>
      <c r="J33" s="60">
        <v>45994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2147822</v>
      </c>
      <c r="C39" s="60">
        <v>15332387</v>
      </c>
      <c r="D39" s="60">
        <v>12505421</v>
      </c>
      <c r="E39" s="60">
        <v>2126951</v>
      </c>
      <c r="F39" s="60">
        <v>23085060</v>
      </c>
      <c r="G39" s="60">
        <v>11002525</v>
      </c>
      <c r="H39" s="60">
        <v>604790</v>
      </c>
      <c r="I39" s="60">
        <v>5919501</v>
      </c>
      <c r="J39" s="60">
        <v>5013171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BY115" activePane="bottomRight" state="frozen"/>
      <selection pane="topRight" activeCell="Z69" sqref="Z69"/>
      <selection pane="bottomLeft" activeCell="Z69" sqref="Z69"/>
      <selection pane="bottomRight" activeCell="CF124" sqref="CF124:CG124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92" t="s">
        <v>122</v>
      </c>
      <c r="FG3" s="392"/>
      <c r="FH3" s="392"/>
      <c r="FI3" s="392"/>
      <c r="FJ3" s="392"/>
      <c r="FK3" s="392"/>
      <c r="FL3" s="392"/>
      <c r="FM3" s="392"/>
      <c r="FN3" s="392"/>
      <c r="FO3" s="392"/>
      <c r="FP3" s="392"/>
      <c r="FQ3" s="392"/>
      <c r="FR3" s="392"/>
      <c r="FS3" s="392"/>
      <c r="FT3" s="392"/>
      <c r="FU3" s="392"/>
      <c r="FV3" s="392"/>
      <c r="FW3" s="392"/>
      <c r="FX3" s="392"/>
      <c r="FY3" s="392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>
        <v>0.26944444444444443</v>
      </c>
      <c r="G120" s="364">
        <v>0.75</v>
      </c>
      <c r="H120" s="365">
        <v>5244</v>
      </c>
      <c r="I120" s="365">
        <v>5259</v>
      </c>
      <c r="J120" s="365">
        <v>5204</v>
      </c>
      <c r="K120" s="365">
        <v>4954</v>
      </c>
      <c r="L120" s="365">
        <v>5155</v>
      </c>
      <c r="M120" s="365">
        <v>5095</v>
      </c>
      <c r="N120" s="365">
        <v>5313</v>
      </c>
      <c r="O120" s="365">
        <v>5217</v>
      </c>
      <c r="P120" s="365">
        <v>5147</v>
      </c>
      <c r="Q120" s="365">
        <v>5222</v>
      </c>
      <c r="R120" s="365">
        <v>5056</v>
      </c>
      <c r="S120" s="365">
        <v>5084</v>
      </c>
      <c r="T120" s="365">
        <v>4965</v>
      </c>
      <c r="U120" s="365">
        <v>5266</v>
      </c>
      <c r="V120" s="365">
        <v>3584</v>
      </c>
      <c r="W120" s="365">
        <v>3231</v>
      </c>
      <c r="X120" s="365">
        <v>3492</v>
      </c>
      <c r="Y120" s="365">
        <v>3333</v>
      </c>
      <c r="Z120" s="365">
        <v>5255</v>
      </c>
      <c r="AA120" s="365">
        <v>5160</v>
      </c>
      <c r="AB120" s="365">
        <v>4282</v>
      </c>
      <c r="AC120" s="365">
        <v>4813</v>
      </c>
      <c r="AD120" s="365">
        <v>5253</v>
      </c>
      <c r="AE120" s="365">
        <v>5435</v>
      </c>
      <c r="AF120" s="365">
        <v>5638</v>
      </c>
      <c r="AG120" s="365">
        <v>5820</v>
      </c>
      <c r="AH120" s="365">
        <v>5187</v>
      </c>
      <c r="AI120" s="365">
        <v>5569</v>
      </c>
      <c r="AJ120" s="365">
        <v>5083</v>
      </c>
      <c r="AK120" s="365">
        <v>5050</v>
      </c>
      <c r="AL120" s="365">
        <v>4651</v>
      </c>
      <c r="AM120" s="365">
        <v>5056</v>
      </c>
      <c r="AN120" s="365">
        <v>4100</v>
      </c>
      <c r="AO120" s="365">
        <v>4069</v>
      </c>
      <c r="AP120" s="365">
        <v>3584</v>
      </c>
      <c r="AQ120" s="365">
        <v>3592</v>
      </c>
      <c r="AR120" s="365">
        <v>3784</v>
      </c>
      <c r="AS120" s="365">
        <v>3922</v>
      </c>
      <c r="AT120" s="365">
        <v>3838</v>
      </c>
      <c r="AU120" s="365">
        <v>3925</v>
      </c>
      <c r="AV120" s="365">
        <v>4180</v>
      </c>
      <c r="AW120" s="365">
        <v>3971</v>
      </c>
      <c r="AX120" s="365">
        <v>4018</v>
      </c>
      <c r="AY120" s="365">
        <v>4138</v>
      </c>
      <c r="AZ120" s="365">
        <v>4326</v>
      </c>
      <c r="BA120" s="365">
        <v>1306</v>
      </c>
      <c r="BB120" s="365">
        <v>3945</v>
      </c>
      <c r="BC120" s="365">
        <v>3983</v>
      </c>
      <c r="BD120" s="365">
        <v>3619</v>
      </c>
      <c r="BE120" s="365">
        <v>3863</v>
      </c>
      <c r="BF120" s="365">
        <v>3956</v>
      </c>
      <c r="BG120" s="365">
        <v>3890</v>
      </c>
      <c r="BH120" s="365">
        <v>4229</v>
      </c>
      <c r="BI120" s="365">
        <v>3518</v>
      </c>
      <c r="BJ120" s="365">
        <v>3794</v>
      </c>
      <c r="BK120" s="365">
        <v>3794</v>
      </c>
      <c r="BL120" s="365">
        <v>4098</v>
      </c>
      <c r="BM120" s="365">
        <v>3958</v>
      </c>
      <c r="BN120" s="365">
        <v>3549</v>
      </c>
      <c r="BO120" s="365">
        <v>3946</v>
      </c>
      <c r="BP120" s="365">
        <v>3888</v>
      </c>
      <c r="BQ120" s="365">
        <v>3845</v>
      </c>
      <c r="BR120" s="365">
        <v>3972</v>
      </c>
      <c r="BS120" s="365">
        <v>4362</v>
      </c>
      <c r="BT120" s="365">
        <v>5756</v>
      </c>
      <c r="BU120" s="365">
        <v>5407</v>
      </c>
      <c r="BV120" s="365">
        <v>5627</v>
      </c>
      <c r="BW120" s="365">
        <v>5381</v>
      </c>
      <c r="BX120" s="365">
        <v>5194</v>
      </c>
      <c r="BY120" s="365">
        <v>4731</v>
      </c>
      <c r="BZ120" s="365">
        <v>5618</v>
      </c>
      <c r="CA120" s="365">
        <v>5439</v>
      </c>
      <c r="CB120" s="365">
        <v>4027</v>
      </c>
      <c r="CC120" s="365">
        <v>3165</v>
      </c>
      <c r="CD120" s="365">
        <v>3708</v>
      </c>
      <c r="CE120" s="365">
        <v>2974</v>
      </c>
      <c r="CF120" s="365">
        <v>2208</v>
      </c>
      <c r="CG120" s="365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7">
        <f>SUM(RD[[#This Row],[IS1_Inv1_M1]:[IS1_Inv1_M2]])</f>
        <v>10503</v>
      </c>
      <c r="EE120" s="367">
        <f>SUM(RD[[#This Row],[IS2_Inv1_M1]:[IS5_Inv1_M4]])</f>
        <v>75318</v>
      </c>
      <c r="EF120" s="367">
        <f>SUM(RD[[#This Row],[IS6_Inv1_M1]:[IS6_Inv2_M2]])+SUM(RD[[#This Row],[IS8_Inv1_M1]:[IS8_Inv4_M2]])</f>
        <v>61564</v>
      </c>
      <c r="EG120" s="367">
        <f>SUM(RD[[#This Row],[IS7_Inv1_M1]:[IS7_Inv1_M2]])</f>
        <v>10688</v>
      </c>
      <c r="EH120" s="367">
        <f>SUM(RD[[#This Row],[IS9_Inv1_M1]:[IS12_Inv2_M4]])</f>
        <v>122962</v>
      </c>
      <c r="EI120" s="367">
        <f>SUM(RD[[#This Row],[IS13_Inv1_M1]:[IS14_Inv1_M4]])</f>
        <v>57027</v>
      </c>
      <c r="EJ120" s="367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7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9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>
        <v>0.27291666666666664</v>
      </c>
      <c r="G121" s="364">
        <v>0.7729166666666667</v>
      </c>
      <c r="H121" s="365">
        <v>5826</v>
      </c>
      <c r="I121" s="365">
        <v>5915</v>
      </c>
      <c r="J121" s="365">
        <v>5895</v>
      </c>
      <c r="K121" s="365">
        <v>5647</v>
      </c>
      <c r="L121" s="365">
        <v>5888</v>
      </c>
      <c r="M121" s="365">
        <v>5787</v>
      </c>
      <c r="N121" s="365">
        <v>6059</v>
      </c>
      <c r="O121" s="365">
        <v>5856</v>
      </c>
      <c r="P121" s="365">
        <v>5913</v>
      </c>
      <c r="Q121" s="365">
        <v>5948</v>
      </c>
      <c r="R121" s="365">
        <v>5760</v>
      </c>
      <c r="S121" s="365">
        <v>5744</v>
      </c>
      <c r="T121" s="365">
        <v>5662</v>
      </c>
      <c r="U121" s="365">
        <v>6028</v>
      </c>
      <c r="V121" s="365">
        <v>4121</v>
      </c>
      <c r="W121" s="365">
        <v>3724</v>
      </c>
      <c r="X121" s="365">
        <v>3999</v>
      </c>
      <c r="Y121" s="365">
        <v>3787</v>
      </c>
      <c r="Z121" s="365">
        <v>5806</v>
      </c>
      <c r="AA121" s="365">
        <v>5764</v>
      </c>
      <c r="AB121" s="365">
        <v>4817</v>
      </c>
      <c r="AC121" s="365">
        <v>5343</v>
      </c>
      <c r="AD121" s="365">
        <v>5751</v>
      </c>
      <c r="AE121" s="365">
        <v>5958</v>
      </c>
      <c r="AF121" s="365">
        <v>3421</v>
      </c>
      <c r="AG121" s="365">
        <v>3714</v>
      </c>
      <c r="AH121" s="365">
        <v>5961</v>
      </c>
      <c r="AI121" s="365">
        <v>6380</v>
      </c>
      <c r="AJ121" s="365">
        <v>5900</v>
      </c>
      <c r="AK121" s="365">
        <v>5787</v>
      </c>
      <c r="AL121" s="365">
        <v>5316</v>
      </c>
      <c r="AM121" s="365">
        <v>5750</v>
      </c>
      <c r="AN121" s="365">
        <v>4213</v>
      </c>
      <c r="AO121" s="365">
        <v>4210</v>
      </c>
      <c r="AP121" s="365">
        <v>3726</v>
      </c>
      <c r="AQ121" s="365">
        <v>3762</v>
      </c>
      <c r="AR121" s="365">
        <v>3956</v>
      </c>
      <c r="AS121" s="365">
        <v>4082</v>
      </c>
      <c r="AT121" s="365">
        <v>3970</v>
      </c>
      <c r="AU121" s="365">
        <v>4029</v>
      </c>
      <c r="AV121" s="365">
        <v>4307</v>
      </c>
      <c r="AW121" s="365">
        <v>4081</v>
      </c>
      <c r="AX121" s="365">
        <v>4100</v>
      </c>
      <c r="AY121" s="365">
        <v>4218</v>
      </c>
      <c r="AZ121" s="365">
        <v>4446</v>
      </c>
      <c r="BA121" s="365">
        <v>1351</v>
      </c>
      <c r="BB121" s="365">
        <v>4020</v>
      </c>
      <c r="BC121" s="365">
        <v>4087</v>
      </c>
      <c r="BD121" s="365">
        <v>3670</v>
      </c>
      <c r="BE121" s="365">
        <v>3899</v>
      </c>
      <c r="BF121" s="365">
        <v>3997</v>
      </c>
      <c r="BG121" s="365">
        <v>3896</v>
      </c>
      <c r="BH121" s="365">
        <v>4266</v>
      </c>
      <c r="BI121" s="365">
        <v>3539</v>
      </c>
      <c r="BJ121" s="365">
        <v>3787</v>
      </c>
      <c r="BK121" s="365">
        <v>3790</v>
      </c>
      <c r="BL121" s="365">
        <v>3928</v>
      </c>
      <c r="BM121" s="365">
        <v>3917</v>
      </c>
      <c r="BN121" s="365">
        <v>3485</v>
      </c>
      <c r="BO121" s="365">
        <v>3822</v>
      </c>
      <c r="BP121" s="365">
        <v>3729</v>
      </c>
      <c r="BQ121" s="365">
        <v>3716</v>
      </c>
      <c r="BR121" s="365">
        <v>3819</v>
      </c>
      <c r="BS121" s="365">
        <v>4159</v>
      </c>
      <c r="BT121" s="365">
        <v>5900</v>
      </c>
      <c r="BU121" s="365">
        <v>5577</v>
      </c>
      <c r="BV121" s="365">
        <v>5806</v>
      </c>
      <c r="BW121" s="365">
        <v>5609</v>
      </c>
      <c r="BX121" s="365">
        <v>5449</v>
      </c>
      <c r="BY121" s="365">
        <v>4926</v>
      </c>
      <c r="BZ121" s="365">
        <v>5722</v>
      </c>
      <c r="CA121" s="365">
        <v>5609</v>
      </c>
      <c r="CB121" s="365">
        <v>4273</v>
      </c>
      <c r="CC121" s="365">
        <v>3470</v>
      </c>
      <c r="CD121" s="365">
        <v>4041</v>
      </c>
      <c r="CE121" s="365">
        <v>3147</v>
      </c>
      <c r="CF121" s="365">
        <v>2301</v>
      </c>
      <c r="CG121" s="365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7">
        <f>SUM(RD[[#This Row],[IS1_Inv1_M1]:[IS1_Inv1_M2]])</f>
        <v>11741</v>
      </c>
      <c r="EE121" s="367">
        <f>SUM(RD[[#This Row],[IS2_Inv1_M1]:[IS5_Inv1_M4]])</f>
        <v>85818</v>
      </c>
      <c r="EF121" s="367">
        <f>SUM(RD[[#This Row],[IS6_Inv1_M1]:[IS6_Inv2_M2]])+SUM(RD[[#This Row],[IS8_Inv1_M1]:[IS8_Inv4_M2]])</f>
        <v>63959</v>
      </c>
      <c r="EG121" s="367">
        <f>SUM(RD[[#This Row],[IS7_Inv1_M1]:[IS7_Inv1_M2]])</f>
        <v>11709</v>
      </c>
      <c r="EH121" s="367">
        <f>SUM(RD[[#This Row],[IS9_Inv1_M1]:[IS12_Inv2_M4]])</f>
        <v>123977</v>
      </c>
      <c r="EI121" s="367">
        <f>SUM(RD[[#This Row],[IS13_Inv1_M1]:[IS14_Inv1_M4]])</f>
        <v>59529</v>
      </c>
      <c r="EJ121" s="367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7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369"/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>
        <v>0.28125</v>
      </c>
      <c r="G122" s="364">
        <v>0.7715277777777777</v>
      </c>
      <c r="H122" s="365">
        <v>4074</v>
      </c>
      <c r="I122" s="365">
        <v>4095</v>
      </c>
      <c r="J122" s="365">
        <v>4079</v>
      </c>
      <c r="K122" s="365">
        <v>3897</v>
      </c>
      <c r="L122" s="365">
        <v>4050</v>
      </c>
      <c r="M122" s="365">
        <v>3993</v>
      </c>
      <c r="N122" s="365">
        <v>4180</v>
      </c>
      <c r="O122" s="365">
        <v>4086</v>
      </c>
      <c r="P122" s="365">
        <v>4058</v>
      </c>
      <c r="Q122" s="365">
        <v>4106</v>
      </c>
      <c r="R122" s="365">
        <v>3954</v>
      </c>
      <c r="S122" s="365">
        <v>3975</v>
      </c>
      <c r="T122" s="365">
        <v>3882</v>
      </c>
      <c r="U122" s="365">
        <v>4125</v>
      </c>
      <c r="V122" s="365">
        <v>2771</v>
      </c>
      <c r="W122" s="365">
        <v>2504</v>
      </c>
      <c r="X122" s="365">
        <v>2691</v>
      </c>
      <c r="Y122" s="365">
        <v>2568</v>
      </c>
      <c r="Z122" s="365">
        <v>4061</v>
      </c>
      <c r="AA122" s="365">
        <v>3996</v>
      </c>
      <c r="AB122" s="365">
        <v>3328</v>
      </c>
      <c r="AC122" s="365">
        <v>3752</v>
      </c>
      <c r="AD122" s="365">
        <v>4065</v>
      </c>
      <c r="AE122" s="365">
        <v>4203</v>
      </c>
      <c r="AF122" s="365">
        <v>3869</v>
      </c>
      <c r="AG122" s="365">
        <v>3910</v>
      </c>
      <c r="AH122" s="365">
        <v>3928</v>
      </c>
      <c r="AI122" s="365">
        <v>4237</v>
      </c>
      <c r="AJ122" s="365">
        <v>3882</v>
      </c>
      <c r="AK122" s="365">
        <v>3794</v>
      </c>
      <c r="AL122" s="365">
        <v>3490</v>
      </c>
      <c r="AM122" s="365">
        <v>3792</v>
      </c>
      <c r="AN122" s="365">
        <v>2692</v>
      </c>
      <c r="AO122" s="365">
        <v>2682</v>
      </c>
      <c r="AP122" s="365">
        <v>2368</v>
      </c>
      <c r="AQ122" s="365">
        <v>2388</v>
      </c>
      <c r="AR122" s="365">
        <v>2511</v>
      </c>
      <c r="AS122" s="365">
        <v>2592</v>
      </c>
      <c r="AT122" s="365">
        <v>2524</v>
      </c>
      <c r="AU122" s="365">
        <v>2572</v>
      </c>
      <c r="AV122" s="365">
        <v>2740</v>
      </c>
      <c r="AW122" s="365">
        <v>2599</v>
      </c>
      <c r="AX122" s="365">
        <v>2620</v>
      </c>
      <c r="AY122" s="365">
        <v>2700</v>
      </c>
      <c r="AZ122" s="365">
        <v>2843</v>
      </c>
      <c r="BA122" s="365">
        <v>830</v>
      </c>
      <c r="BB122" s="365">
        <v>2562</v>
      </c>
      <c r="BC122" s="365">
        <v>2597</v>
      </c>
      <c r="BD122" s="365">
        <v>2347</v>
      </c>
      <c r="BE122" s="365">
        <v>2506</v>
      </c>
      <c r="BF122" s="365">
        <v>2507</v>
      </c>
      <c r="BG122" s="365">
        <v>2508</v>
      </c>
      <c r="BH122" s="365">
        <v>2740</v>
      </c>
      <c r="BI122" s="365">
        <v>2269</v>
      </c>
      <c r="BJ122" s="365">
        <v>2439</v>
      </c>
      <c r="BK122" s="365">
        <v>2440</v>
      </c>
      <c r="BL122" s="365">
        <v>2587</v>
      </c>
      <c r="BM122" s="365">
        <v>2539</v>
      </c>
      <c r="BN122" s="365">
        <v>2262</v>
      </c>
      <c r="BO122" s="365">
        <v>2503</v>
      </c>
      <c r="BP122" s="365">
        <v>2438</v>
      </c>
      <c r="BQ122" s="365">
        <v>2424</v>
      </c>
      <c r="BR122" s="365">
        <v>2502</v>
      </c>
      <c r="BS122" s="365">
        <v>2743</v>
      </c>
      <c r="BT122" s="365">
        <v>3820</v>
      </c>
      <c r="BU122" s="365">
        <v>3612</v>
      </c>
      <c r="BV122" s="365">
        <v>3749</v>
      </c>
      <c r="BW122" s="365">
        <v>3618</v>
      </c>
      <c r="BX122" s="365">
        <v>3517</v>
      </c>
      <c r="BY122" s="365">
        <v>3179</v>
      </c>
      <c r="BZ122" s="365">
        <v>3658</v>
      </c>
      <c r="CA122" s="365">
        <v>3638</v>
      </c>
      <c r="CB122" s="365">
        <v>2769</v>
      </c>
      <c r="CC122" s="365">
        <v>2188</v>
      </c>
      <c r="CD122" s="365">
        <v>2744</v>
      </c>
      <c r="CE122" s="365">
        <v>1979</v>
      </c>
      <c r="CF122" s="365">
        <v>1432</v>
      </c>
      <c r="CG122" s="365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7">
        <f>SUM(RD[[#This Row],[IS1_Inv1_M1]:[IS1_Inv1_M2]])</f>
        <v>8169</v>
      </c>
      <c r="EE122" s="367">
        <f>SUM(RD[[#This Row],[IS2_Inv1_M1]:[IS5_Inv1_M4]])</f>
        <v>58919</v>
      </c>
      <c r="EF122" s="367">
        <f>SUM(RD[[#This Row],[IS6_Inv1_M1]:[IS6_Inv2_M2]])+SUM(RD[[#This Row],[IS8_Inv1_M1]:[IS8_Inv4_M2]])</f>
        <v>46039</v>
      </c>
      <c r="EG122" s="367">
        <f>SUM(RD[[#This Row],[IS7_Inv1_M1]:[IS7_Inv1_M2]])</f>
        <v>8268</v>
      </c>
      <c r="EH122" s="367">
        <f>SUM(RD[[#This Row],[IS9_Inv1_M1]:[IS12_Inv2_M4]])</f>
        <v>79574</v>
      </c>
      <c r="EI122" s="367">
        <f>SUM(RD[[#This Row],[IS13_Inv1_M1]:[IS14_Inv1_M4]])</f>
        <v>38471</v>
      </c>
      <c r="EJ122" s="367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7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369"/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>
        <v>0.27777777777777779</v>
      </c>
      <c r="G123" s="364">
        <v>0.7715277777777777</v>
      </c>
      <c r="H123" s="365">
        <v>5946</v>
      </c>
      <c r="I123" s="365">
        <v>5951</v>
      </c>
      <c r="J123" s="365">
        <v>5890</v>
      </c>
      <c r="K123" s="365">
        <v>5626</v>
      </c>
      <c r="L123" s="365">
        <v>5843</v>
      </c>
      <c r="M123" s="365">
        <v>5735</v>
      </c>
      <c r="N123" s="365">
        <v>6057</v>
      </c>
      <c r="O123" s="365">
        <v>5935</v>
      </c>
      <c r="P123" s="365">
        <v>5864</v>
      </c>
      <c r="Q123" s="365">
        <v>5947</v>
      </c>
      <c r="R123" s="365">
        <v>5694</v>
      </c>
      <c r="S123" s="365">
        <v>5746</v>
      </c>
      <c r="T123" s="365">
        <v>5591</v>
      </c>
      <c r="U123" s="365">
        <v>5941</v>
      </c>
      <c r="V123" s="365">
        <v>4046</v>
      </c>
      <c r="W123" s="365">
        <v>3707</v>
      </c>
      <c r="X123" s="365">
        <v>3942</v>
      </c>
      <c r="Y123" s="365">
        <v>3771</v>
      </c>
      <c r="Z123" s="365">
        <v>5969</v>
      </c>
      <c r="AA123" s="365">
        <v>5820</v>
      </c>
      <c r="AB123" s="365">
        <v>4836</v>
      </c>
      <c r="AC123" s="365">
        <v>5347</v>
      </c>
      <c r="AD123" s="365">
        <v>6007</v>
      </c>
      <c r="AE123" s="365">
        <v>6210</v>
      </c>
      <c r="AF123" s="365">
        <v>6160</v>
      </c>
      <c r="AG123" s="365">
        <v>6209</v>
      </c>
      <c r="AH123" s="365">
        <v>5666</v>
      </c>
      <c r="AI123" s="365">
        <v>6097</v>
      </c>
      <c r="AJ123" s="365">
        <v>5623</v>
      </c>
      <c r="AK123" s="365">
        <v>5497</v>
      </c>
      <c r="AL123" s="365">
        <v>5072</v>
      </c>
      <c r="AM123" s="365">
        <v>5513</v>
      </c>
      <c r="AN123" s="365">
        <v>4332</v>
      </c>
      <c r="AO123" s="365">
        <v>4326</v>
      </c>
      <c r="AP123" s="365">
        <v>3833</v>
      </c>
      <c r="AQ123" s="365">
        <v>3879</v>
      </c>
      <c r="AR123" s="365">
        <v>4075</v>
      </c>
      <c r="AS123" s="365">
        <v>4196</v>
      </c>
      <c r="AT123" s="365">
        <v>4081</v>
      </c>
      <c r="AU123" s="365">
        <v>4134</v>
      </c>
      <c r="AV123" s="365">
        <v>4410</v>
      </c>
      <c r="AW123" s="365">
        <v>4175</v>
      </c>
      <c r="AX123" s="365">
        <v>4189</v>
      </c>
      <c r="AY123" s="365">
        <v>4114</v>
      </c>
      <c r="AZ123" s="365">
        <v>4546</v>
      </c>
      <c r="BA123" s="365">
        <v>1384</v>
      </c>
      <c r="BB123" s="365">
        <v>4099</v>
      </c>
      <c r="BC123" s="365">
        <v>4169</v>
      </c>
      <c r="BD123" s="365">
        <v>3764</v>
      </c>
      <c r="BE123" s="365">
        <v>3996</v>
      </c>
      <c r="BF123" s="365">
        <v>4015</v>
      </c>
      <c r="BG123" s="365">
        <v>3992</v>
      </c>
      <c r="BH123" s="365">
        <v>4358</v>
      </c>
      <c r="BI123" s="365">
        <v>3623</v>
      </c>
      <c r="BJ123" s="365">
        <v>3873</v>
      </c>
      <c r="BK123" s="365">
        <v>3885</v>
      </c>
      <c r="BL123" s="365">
        <v>4123</v>
      </c>
      <c r="BM123" s="365">
        <v>4020</v>
      </c>
      <c r="BN123" s="365">
        <v>3594</v>
      </c>
      <c r="BO123" s="365">
        <v>3969</v>
      </c>
      <c r="BP123" s="365">
        <v>3845</v>
      </c>
      <c r="BQ123" s="365">
        <v>3832</v>
      </c>
      <c r="BR123" s="365">
        <v>3964</v>
      </c>
      <c r="BS123" s="365">
        <v>4346</v>
      </c>
      <c r="BT123" s="365">
        <v>6049</v>
      </c>
      <c r="BU123" s="365">
        <v>5716</v>
      </c>
      <c r="BV123" s="365">
        <v>5980</v>
      </c>
      <c r="BW123" s="365">
        <v>5821</v>
      </c>
      <c r="BX123" s="365">
        <v>5683</v>
      </c>
      <c r="BY123" s="365">
        <v>5115</v>
      </c>
      <c r="BZ123" s="365">
        <v>6004</v>
      </c>
      <c r="CA123" s="365">
        <v>5823</v>
      </c>
      <c r="CB123" s="365">
        <v>4578</v>
      </c>
      <c r="CC123" s="365">
        <v>3641</v>
      </c>
      <c r="CD123" s="365">
        <v>4550</v>
      </c>
      <c r="CE123" s="365">
        <v>3315</v>
      </c>
      <c r="CF123" s="365">
        <v>2365</v>
      </c>
      <c r="CG123" s="365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7">
        <f>SUM(RD[[#This Row],[IS1_Inv1_M1]:[IS1_Inv1_M2]])</f>
        <v>11897</v>
      </c>
      <c r="EE123" s="367">
        <f>SUM(RD[[#This Row],[IS2_Inv1_M1]:[IS5_Inv1_M4]])</f>
        <v>85335</v>
      </c>
      <c r="EF123" s="367">
        <f>SUM(RD[[#This Row],[IS6_Inv1_M1]:[IS6_Inv2_M2]])+SUM(RD[[#This Row],[IS8_Inv1_M1]:[IS8_Inv4_M2]])</f>
        <v>67809</v>
      </c>
      <c r="EG123" s="367">
        <f>SUM(RD[[#This Row],[IS7_Inv1_M1]:[IS7_Inv1_M2]])</f>
        <v>12217</v>
      </c>
      <c r="EH123" s="367">
        <f>SUM(RD[[#This Row],[IS9_Inv1_M1]:[IS12_Inv2_M4]])</f>
        <v>127141</v>
      </c>
      <c r="EI123" s="367">
        <f>SUM(RD[[#This Row],[IS13_Inv1_M1]:[IS14_Inv1_M4]])</f>
        <v>62275</v>
      </c>
      <c r="EJ123" s="367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7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369"/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>
        <v>0.2673611111111111</v>
      </c>
      <c r="G124" s="364">
        <v>0.76875000000000004</v>
      </c>
      <c r="H124" s="365">
        <v>5669</v>
      </c>
      <c r="I124" s="365">
        <v>5718</v>
      </c>
      <c r="J124" s="365">
        <v>5683</v>
      </c>
      <c r="K124" s="365">
        <v>5422</v>
      </c>
      <c r="L124" s="365">
        <v>5636</v>
      </c>
      <c r="M124" s="365">
        <v>5570</v>
      </c>
      <c r="N124" s="365">
        <v>5821</v>
      </c>
      <c r="O124" s="365">
        <v>5706</v>
      </c>
      <c r="P124" s="365">
        <v>5649</v>
      </c>
      <c r="Q124" s="365">
        <v>5719</v>
      </c>
      <c r="R124" s="365">
        <v>5515</v>
      </c>
      <c r="S124" s="365">
        <v>5551</v>
      </c>
      <c r="T124" s="365">
        <v>5412</v>
      </c>
      <c r="U124" s="365">
        <v>5746</v>
      </c>
      <c r="V124" s="365">
        <v>3924</v>
      </c>
      <c r="W124" s="365">
        <v>3655</v>
      </c>
      <c r="X124" s="365">
        <v>3813</v>
      </c>
      <c r="Y124" s="365">
        <v>3641</v>
      </c>
      <c r="Z124" s="365">
        <v>5676</v>
      </c>
      <c r="AA124" s="365">
        <v>5561</v>
      </c>
      <c r="AB124" s="365">
        <v>4646</v>
      </c>
      <c r="AC124" s="365">
        <v>5095</v>
      </c>
      <c r="AD124" s="365">
        <v>5676</v>
      </c>
      <c r="AE124" s="365">
        <v>5869</v>
      </c>
      <c r="AF124" s="365">
        <v>5929</v>
      </c>
      <c r="AG124" s="365">
        <v>6109</v>
      </c>
      <c r="AH124" s="365">
        <v>5519</v>
      </c>
      <c r="AI124" s="365">
        <v>5938</v>
      </c>
      <c r="AJ124" s="365">
        <v>5481</v>
      </c>
      <c r="AK124" s="365">
        <v>5357</v>
      </c>
      <c r="AL124" s="365">
        <v>4925</v>
      </c>
      <c r="AM124" s="365">
        <v>5306</v>
      </c>
      <c r="AN124" s="365">
        <v>4099</v>
      </c>
      <c r="AO124" s="365">
        <v>4102</v>
      </c>
      <c r="AP124" s="365">
        <v>3654</v>
      </c>
      <c r="AQ124" s="365">
        <v>3709</v>
      </c>
      <c r="AR124" s="365">
        <v>3887</v>
      </c>
      <c r="AS124" s="365">
        <v>3993</v>
      </c>
      <c r="AT124" s="365">
        <v>3878</v>
      </c>
      <c r="AU124" s="365">
        <v>3918</v>
      </c>
      <c r="AV124" s="365">
        <v>4158</v>
      </c>
      <c r="AW124" s="365">
        <v>3946</v>
      </c>
      <c r="AX124" s="365">
        <v>3961</v>
      </c>
      <c r="AY124" s="365">
        <v>4074</v>
      </c>
      <c r="AZ124" s="365">
        <v>4301</v>
      </c>
      <c r="BA124" s="365">
        <v>1309</v>
      </c>
      <c r="BB124" s="365">
        <v>3882</v>
      </c>
      <c r="BC124" s="365">
        <v>3937</v>
      </c>
      <c r="BD124" s="365">
        <v>3562</v>
      </c>
      <c r="BE124" s="365">
        <v>3773</v>
      </c>
      <c r="BF124" s="365">
        <v>3860</v>
      </c>
      <c r="BG124" s="365">
        <v>3784</v>
      </c>
      <c r="BH124" s="365">
        <v>4094</v>
      </c>
      <c r="BI124" s="365">
        <v>3420</v>
      </c>
      <c r="BJ124" s="365">
        <v>3651</v>
      </c>
      <c r="BK124" s="365">
        <v>3674</v>
      </c>
      <c r="BL124" s="365">
        <v>3898</v>
      </c>
      <c r="BM124" s="365">
        <v>3800</v>
      </c>
      <c r="BN124" s="365">
        <v>3406</v>
      </c>
      <c r="BO124" s="365">
        <v>3757</v>
      </c>
      <c r="BP124" s="365">
        <v>3659</v>
      </c>
      <c r="BQ124" s="365">
        <v>3637</v>
      </c>
      <c r="BR124" s="365">
        <v>3758</v>
      </c>
      <c r="BS124" s="365">
        <v>4097</v>
      </c>
      <c r="BT124" s="365">
        <v>5703</v>
      </c>
      <c r="BU124" s="365">
        <v>5421</v>
      </c>
      <c r="BV124" s="365">
        <v>5611</v>
      </c>
      <c r="BW124" s="365">
        <v>5436</v>
      </c>
      <c r="BX124" s="365">
        <v>5272</v>
      </c>
      <c r="BY124" s="365">
        <v>4771</v>
      </c>
      <c r="BZ124" s="365">
        <v>5651</v>
      </c>
      <c r="CA124" s="365">
        <v>5454</v>
      </c>
      <c r="CB124" s="365">
        <v>4225</v>
      </c>
      <c r="CC124" s="365">
        <v>3376</v>
      </c>
      <c r="CD124" s="365">
        <v>4215</v>
      </c>
      <c r="CE124" s="365">
        <v>3093</v>
      </c>
      <c r="CF124" s="365">
        <v>2246</v>
      </c>
      <c r="CG124" s="365">
        <v>2185</v>
      </c>
      <c r="CH124" s="126">
        <v>5578</v>
      </c>
      <c r="CI124" s="126">
        <v>5919</v>
      </c>
      <c r="CJ124" s="126">
        <v>5513</v>
      </c>
      <c r="CK124" s="126">
        <v>5719</v>
      </c>
      <c r="CL124" s="126">
        <v>5838</v>
      </c>
      <c r="CM124" s="126">
        <v>3500</v>
      </c>
      <c r="CN124" s="126">
        <v>3242</v>
      </c>
      <c r="CO124" s="126">
        <v>3471</v>
      </c>
      <c r="CP124" s="126">
        <v>3209</v>
      </c>
      <c r="CQ124" s="126">
        <v>3083</v>
      </c>
      <c r="CR124" s="126">
        <v>2583</v>
      </c>
      <c r="CS124" s="126">
        <v>3292</v>
      </c>
      <c r="CT124" s="126">
        <v>3282</v>
      </c>
      <c r="CU124" s="126">
        <v>3236</v>
      </c>
      <c r="CV124" s="126">
        <v>3953</v>
      </c>
      <c r="CW124" s="126">
        <v>2476</v>
      </c>
      <c r="CX124" s="126">
        <v>3720</v>
      </c>
      <c r="CY124" s="126">
        <v>3155</v>
      </c>
      <c r="CZ124" s="126">
        <v>3345</v>
      </c>
      <c r="DA124" s="126">
        <v>3947</v>
      </c>
      <c r="DB124" s="126">
        <v>5219</v>
      </c>
      <c r="DC124" s="126">
        <v>2306</v>
      </c>
      <c r="DD124" s="126">
        <v>1775</v>
      </c>
      <c r="DE124" s="126">
        <v>5351</v>
      </c>
      <c r="DF124" s="288">
        <v>2.9572740525587804</v>
      </c>
      <c r="DG124" s="288">
        <v>2.9351966307053927</v>
      </c>
      <c r="DH124" s="288">
        <v>2.7751803463143268</v>
      </c>
      <c r="DI124" s="288"/>
      <c r="DJ124" s="288"/>
      <c r="DK124" s="288">
        <v>0.52283218902720119</v>
      </c>
      <c r="DL124" s="288"/>
      <c r="DM124" s="288"/>
      <c r="DN124" s="288">
        <v>2.9412124104338404</v>
      </c>
      <c r="DO124" s="288">
        <v>2.9048651410788393</v>
      </c>
      <c r="DP124" s="288">
        <v>0.57612710668510747</v>
      </c>
      <c r="DQ124" s="288">
        <v>0.39716024988473936</v>
      </c>
      <c r="DR124" s="288">
        <v>22</v>
      </c>
      <c r="DS124" s="288"/>
      <c r="DT124" s="288">
        <v>33.372245947441172</v>
      </c>
      <c r="DU124" s="288"/>
      <c r="DV124" s="288">
        <v>91.5</v>
      </c>
      <c r="DW124" s="288"/>
      <c r="DX124" s="288">
        <v>17</v>
      </c>
      <c r="DY124" s="288"/>
      <c r="DZ124" s="288">
        <v>7.2</v>
      </c>
      <c r="EA124" s="288"/>
      <c r="EB124" s="288">
        <v>14</v>
      </c>
      <c r="EC124" s="288"/>
      <c r="ED124" s="367">
        <f>SUM(RD[[#This Row],[IS1_Inv1_M1]:[IS1_Inv1_M2]])</f>
        <v>11387</v>
      </c>
      <c r="EE124" s="367">
        <f>SUM(RD[[#This Row],[IS2_Inv1_M1]:[IS5_Inv1_M4]])</f>
        <v>82463</v>
      </c>
      <c r="EF124" s="367">
        <f>SUM(RD[[#This Row],[IS6_Inv1_M1]:[IS6_Inv2_M2]])+SUM(RD[[#This Row],[IS8_Inv1_M1]:[IS8_Inv4_M2]])</f>
        <v>65542</v>
      </c>
      <c r="EG124" s="367">
        <f>SUM(RD[[#This Row],[IS7_Inv1_M1]:[IS7_Inv1_M2]])</f>
        <v>11545</v>
      </c>
      <c r="EH124" s="367">
        <f>SUM(RD[[#This Row],[IS9_Inv1_M1]:[IS12_Inv2_M4]])</f>
        <v>120638</v>
      </c>
      <c r="EI124" s="367">
        <f>SUM(RD[[#This Row],[IS13_Inv1_M1]:[IS14_Inv1_M4]])</f>
        <v>58228</v>
      </c>
      <c r="EJ124" s="367">
        <f>SUM(RD[[#This Row],[IS15_Inv1_M1]:[IS15_Inv2_M1]])</f>
        <v>4431</v>
      </c>
      <c r="EK124" s="127">
        <f>SUM(RD[[#This Row],[IS16_Inv1_M1]:[IS17_Inv2_M2]])</f>
        <v>32067</v>
      </c>
      <c r="EL124" s="127">
        <f>SUM(RD[[#This Row],[IS18_Inv1_M1]:[IS19_Inv2_M3]])</f>
        <v>45994</v>
      </c>
      <c r="EM124" s="127">
        <f>SUM(RD[[#This Row],[IS20_Inv1_M1]:[IS20_Inv2_M2]])</f>
        <v>14651</v>
      </c>
      <c r="EN124" s="367">
        <f>SUM(RD[[#This Row],[O2R4_P1]:[O2R22_P3]])</f>
        <v>446946</v>
      </c>
      <c r="EO124" s="127">
        <f>IFERROR(AVERAGEIF(RD[[#This Row],[POA_UP_MCR (KWh/m2)]:[POA_UP_Ph3 (KWh/m2)2]],"&lt;&gt;0",RD[[#This Row],[POA_UP_MCR (KWh/m2)]:[POA_UP_Ph3 (KWh/m2)2]]),"")</f>
        <v>2.8892170098595003</v>
      </c>
      <c r="EP124" s="127">
        <f>IFERROR(AVERAGEIF(RD[[#This Row],[POA_Down_MCR (KWh/m2)]:[POA_Down_Ph3 (KWh/m2)22]],"&lt;&gt;0",RD[[#This Row],[POA_Down_MCR (KWh/m2)]:[POA_Down_Ph3 (KWh/m2)22]]),"")</f>
        <v>0.52283218902720119</v>
      </c>
      <c r="EQ124" s="127">
        <f>IFERROR(AVERAGEIF(RD[[#This Row],[GHI_UP_MCR (KWh/m2)]:[GHI_UP_IS1 (KWh/m2)]],"&lt;&gt;0",RD[[#This Row],[GHI_UP_MCR (KWh/m2)]:[GHI_UP_IS1 (KWh/m2)]]),"")</f>
        <v>2.9230387757563401</v>
      </c>
      <c r="ER124" s="127">
        <f>IFERROR(AVERAGEIF(RD[[#This Row],[GHI_Down_MCR (KWh/m2)]:[GHI_Down_IS1 (KWh/m2)]],"&lt;&gt;0",RD[[#This Row],[GHI_Down_MCR (KWh/m2)]:[GHI_Down_IS1 (KWh/m2)]]),"")</f>
        <v>0.48664367828492339</v>
      </c>
      <c r="ES124" s="128">
        <v>708.11900000000003</v>
      </c>
      <c r="ET124" s="128">
        <v>988.41</v>
      </c>
      <c r="EU124" s="128">
        <v>126.681</v>
      </c>
      <c r="EV124" s="128">
        <v>388.214</v>
      </c>
      <c r="EW124" s="128">
        <v>236.10300000000001</v>
      </c>
      <c r="EX124" s="128">
        <v>336.89499999999998</v>
      </c>
      <c r="EY124" s="128"/>
      <c r="EZ124" s="128">
        <v>128.01599999999999</v>
      </c>
      <c r="FA124" s="128">
        <v>226103</v>
      </c>
      <c r="FB124" s="128">
        <v>320010</v>
      </c>
      <c r="FC124" s="128">
        <v>167.51499999999999</v>
      </c>
      <c r="FD124" s="128">
        <v>158.21600000000001</v>
      </c>
      <c r="FE124" s="128">
        <v>338.69200000000001</v>
      </c>
      <c r="FF124" s="128">
        <v>163.839</v>
      </c>
      <c r="FG124" s="128">
        <v>0.123</v>
      </c>
      <c r="FH124" s="128">
        <v>0</v>
      </c>
      <c r="FI124" s="128">
        <v>252.839</v>
      </c>
      <c r="FJ124" s="291">
        <f>IF((RD[[#This Row],[33 kV_Wind_F1_Ex]]-ES123)*165000&lt;=0,"",(RD[[#This Row],[33 kV_Wind_F1_Ex]]-ES123)*165000)</f>
        <v>525030.00000000268</v>
      </c>
      <c r="FK124" s="291" t="str">
        <f>IF((RD[[#This Row],[33 kV_Wind_F2_Ex]]-ET123)*165000&lt;=0,"",(RD[[#This Row],[33 kV_Wind_F2_Ex]]-ET123)*165000)</f>
        <v/>
      </c>
      <c r="FL124" s="131">
        <f>IF((RD[[#This Row],[33 kV_Wind_F3_Ex]]-EU123)*225000&lt;=0,"",(RD[[#This Row],[33 kV_Wind_F3_Ex]]-EU123)*225000)</f>
        <v>117900.0000000002</v>
      </c>
      <c r="FM124" s="131">
        <f>IF((RD[[#This Row],[33 kV_Wind_F4_Ex]]-EV123)*165000&lt;=0,"",(RD[[#This Row],[33 kV_Wind_F4_Ex]]-EV123)*165000)</f>
        <v>570735.00000000058</v>
      </c>
      <c r="FN124" s="227">
        <f>IF((RD[[#This Row],[33 kV_Solar_F1_Ex]]-EW123)*225000&lt;=0,"",(RD[[#This Row],[33 kV_Solar_F1_Ex]]-EW123)*225000)</f>
        <v>121050.00000000246</v>
      </c>
      <c r="FO124" s="132">
        <f>IF((RD[[#This Row],[33kV_Solar_F2_Ex]]-EX123)*225000&lt;=0,"",(RD[[#This Row],[33kV_Solar_F2_Ex]]-EX123)*225000)</f>
        <v>92924.999999989668</v>
      </c>
      <c r="FP124" s="369"/>
      <c r="FQ124" s="131">
        <f>IF((RD[[#This Row],[33kV_Solar_F4_Ex]]-EZ123)*225000&lt;=0,"",(RD[[#This Row],[33kV_Solar_F4_Ex]]-EZ123)*225000)</f>
        <v>106649.99999999764</v>
      </c>
      <c r="FR124" s="291">
        <f>IF((RD[[#This Row],[33kV_OG1_Ex]]-FA123)*1000&lt;=0,0,(RD[[#This Row],[33kV_OG1_Ex]]-FA123)*1000)</f>
        <v>321000</v>
      </c>
      <c r="FS124" s="227">
        <f>IFERROR(IF((RD[[#This Row],[33kV_OG2_Ex]]-FB123)*1000&lt;=0,0,(RD[[#This Row],[33kV_OG2_Ex]]-FB123)*1000),0)</f>
        <v>1213000</v>
      </c>
      <c r="FT124" s="132">
        <f>IF((RD[[#This Row],[220kV_TX1_Ex]]-FC123)*800000&lt;=0,0,(RD[[#This Row],[220kV_TX1_Ex]]-FC123)*800000)</f>
        <v>317599.99999999307</v>
      </c>
      <c r="FU124" s="227">
        <f>IF((RD[[#This Row],[220kV_Tx2_Ex]]-FD123)*800000&lt;=0,0,(RD[[#This Row],[220kV_Tx2_Ex]]-FD123)*800000)</f>
        <v>1205600.000000004</v>
      </c>
      <c r="FV124" s="291">
        <f>IF((RD[[#This Row],[220kV_TL_TVM_Ex]]-FE123)*1600000&lt;=0,0,(RD[[#This Row],[220kV_TL_TVM_Ex]]-FE123)*1600000)</f>
        <v>1523199.9999999972</v>
      </c>
      <c r="FW124" s="291">
        <f>IF((RD[[#This Row],[220kV_C&amp;R_PQM_Ex]]-FF123)*1600000&lt;=0,"",(RD[[#This Row],[220kV_C&amp;R_PQM_Ex]]-FF123)*1600000)</f>
        <v>1526400.0000000123</v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>
        <f>IF((RD[[#This Row],[33kV_Aux2_Im]]-FI123)*1000&lt;=0,"",(RD[[#This Row],[33kV_Aux2_Im]]-FI123)*1000)</f>
        <v>349.99999999999432</v>
      </c>
      <c r="GA124" s="291">
        <f>IFERROR(RD[[#This Row],[33kV_OG1_Energy (MWh)]]+RD[[#This Row],[33kV_OG2_Energy (MWh)]],"")</f>
        <v>1534000</v>
      </c>
      <c r="GB124" s="291">
        <f>IFERROR(RD[[#This Row],[220kV_TL_TVM Energy (MWh)]]-RD[[#This Row],[220KV_C&amp;R_PQM_im (MWh)]],"")</f>
        <v>1523199.9999999972</v>
      </c>
      <c r="GC124" s="228">
        <f>IFERROR(RD[[#This Row],[33 kV Total Export (MWH)]]/RD[[#This Row],[220 KV Net Export (MWh)]]-1,"")</f>
        <v>7.0903361344556437E-3</v>
      </c>
      <c r="GD124" s="229">
        <f>IFERROR((RD[[#This Row],[Sunset Time (POA&lt;20 W/m2)]]-RD[[#This Row],[Sunrise Time (POA&gt;20 W/m2)]])*24,0)</f>
        <v>12.033333333333333</v>
      </c>
      <c r="GE124" s="230">
        <f>IFERROR(SUM(RD[[#This Row],[33 kV_Solar_F1_Energy (kWh)]:[33 kV_Solar_F4_Energy (MWh)]])+(RD[[#This Row],[33 kV_Wind_F3_Energy (MWh)]])-(RD[[#This Row],[33 kV Line Loss (%)]]*RD[[#This Row],[220 KV Net Export (MWh)]]),"")</f>
        <v>427724.99999998719</v>
      </c>
      <c r="GF124" s="57">
        <f t="shared" si="200"/>
        <v>438524.99999998999</v>
      </c>
      <c r="GG124" s="143">
        <v>172.51</v>
      </c>
      <c r="GH124" s="57">
        <f t="shared" si="206"/>
        <v>1095765.0000000033</v>
      </c>
      <c r="GI124" s="8">
        <f>IFERROR(RD[[#This Row],[Wind Export (33 kV)]]*(1-RD[[#This Row],[33 kV Line Loss (%)]]),RD[[#This Row],[Wind Export (33 kV)]])</f>
        <v>1087995.6578256316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/>
      <c r="G125" s="364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  <c r="AH125" s="365"/>
      <c r="AI125" s="365"/>
      <c r="AJ125" s="365"/>
      <c r="AK125" s="365"/>
      <c r="AL125" s="365"/>
      <c r="AM125" s="365"/>
      <c r="AN125" s="365"/>
      <c r="AO125" s="365"/>
      <c r="AP125" s="365"/>
      <c r="AQ125" s="365"/>
      <c r="AR125" s="365"/>
      <c r="AS125" s="365"/>
      <c r="AT125" s="365"/>
      <c r="AU125" s="365"/>
      <c r="AV125" s="365"/>
      <c r="AW125" s="365"/>
      <c r="AX125" s="365"/>
      <c r="AY125" s="365"/>
      <c r="AZ125" s="365"/>
      <c r="BA125" s="365"/>
      <c r="BB125" s="365"/>
      <c r="BC125" s="365"/>
      <c r="BD125" s="365"/>
      <c r="BE125" s="365"/>
      <c r="BF125" s="365"/>
      <c r="BG125" s="365"/>
      <c r="BH125" s="365"/>
      <c r="BI125" s="365"/>
      <c r="BJ125" s="365"/>
      <c r="BK125" s="365"/>
      <c r="BL125" s="365"/>
      <c r="BM125" s="365"/>
      <c r="BN125" s="365"/>
      <c r="BO125" s="365"/>
      <c r="BP125" s="365"/>
      <c r="BQ125" s="365"/>
      <c r="BR125" s="365"/>
      <c r="BS125" s="365"/>
      <c r="BT125" s="365"/>
      <c r="BU125" s="365"/>
      <c r="BV125" s="365"/>
      <c r="BW125" s="365"/>
      <c r="BX125" s="365"/>
      <c r="BY125" s="365"/>
      <c r="BZ125" s="365"/>
      <c r="CA125" s="365"/>
      <c r="CB125" s="365"/>
      <c r="CC125" s="365"/>
      <c r="CD125" s="365"/>
      <c r="CE125" s="365"/>
      <c r="CF125" s="365"/>
      <c r="CG125" s="365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8"/>
      <c r="DG125" s="288"/>
      <c r="DH125" s="288"/>
      <c r="DI125" s="288"/>
      <c r="DJ125" s="288"/>
      <c r="DK125" s="288"/>
      <c r="DL125" s="288"/>
      <c r="DM125" s="288"/>
      <c r="DN125" s="288"/>
      <c r="DO125" s="288"/>
      <c r="DP125" s="288"/>
      <c r="DQ125" s="288"/>
      <c r="DR125" s="288"/>
      <c r="DS125" s="288"/>
      <c r="DT125" s="288"/>
      <c r="DU125" s="288"/>
      <c r="DV125" s="288"/>
      <c r="DW125" s="288"/>
      <c r="DX125" s="288"/>
      <c r="DY125" s="288"/>
      <c r="DZ125" s="288"/>
      <c r="EA125" s="288"/>
      <c r="EB125" s="288"/>
      <c r="EC125" s="288"/>
      <c r="ED125" s="368">
        <f>SUM(RD[[#This Row],[IS1_Inv1_M1]:[IS1_Inv1_M2]])</f>
        <v>0</v>
      </c>
      <c r="EE125" s="368">
        <f>SUM(RD[[#This Row],[IS2_Inv1_M1]:[IS5_Inv1_M4]])</f>
        <v>0</v>
      </c>
      <c r="EF125" s="368">
        <f>SUM(RD[[#This Row],[IS6_Inv1_M1]:[IS6_Inv2_M2]])+SUM(RD[[#This Row],[IS8_Inv1_M1]:[IS8_Inv4_M2]])</f>
        <v>0</v>
      </c>
      <c r="EG125" s="368">
        <f>SUM(RD[[#This Row],[IS7_Inv1_M1]:[IS7_Inv1_M2]])</f>
        <v>0</v>
      </c>
      <c r="EH125" s="367">
        <f>SUM(RD[[#This Row],[IS9_Inv1_M1]:[IS12_Inv2_M4]])</f>
        <v>0</v>
      </c>
      <c r="EI125" s="367">
        <f>SUM(RD[[#This Row],[IS13_Inv1_M1]:[IS14_Inv1_M4]])</f>
        <v>0</v>
      </c>
      <c r="EJ125" s="367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368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1" t="str">
        <f>IF((RD[[#This Row],[33 kV_Wind_F1_Ex]]-ES124)*165000&lt;=0,"",(RD[[#This Row],[33 kV_Wind_F1_Ex]]-ES124)*165000)</f>
        <v/>
      </c>
      <c r="FK125" s="291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7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69"/>
      <c r="FQ125" s="131" t="str">
        <f>IF((RD[[#This Row],[33kV_Solar_F4_Ex]]-EZ124)*225000&lt;=0,"",(RD[[#This Row],[33kV_Solar_F4_Ex]]-EZ124)*225000)</f>
        <v/>
      </c>
      <c r="FR125" s="291">
        <f>IF((RD[[#This Row],[33kV_OG1_Ex]]-FA124)*1000&lt;=0,0,(RD[[#This Row],[33kV_OG1_Ex]]-FA124)*1000)</f>
        <v>0</v>
      </c>
      <c r="FS125" s="227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7">
        <f>IF((RD[[#This Row],[220kV_Tx2_Ex]]-FD124)*800000&lt;=0,0,(RD[[#This Row],[220kV_Tx2_Ex]]-FD124)*800000)</f>
        <v>0</v>
      </c>
      <c r="FV125" s="291">
        <f>IF((RD[[#This Row],[220kV_TL_TVM_Ex]]-FE124)*1600000&lt;=0,0,(RD[[#This Row],[220kV_TL_TVM_Ex]]-FE124)*1600000)</f>
        <v>0</v>
      </c>
      <c r="FW125" s="291" t="str">
        <f>IF((RD[[#This Row],[220kV_C&amp;R_PQM_Ex]]-FF124)*1600000&lt;=0,"",(RD[[#This Row],[220kV_C&amp;R_PQM_Ex]]-FF124)*1600000)</f>
        <v/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 t="str">
        <f>IF((RD[[#This Row],[33kV_Aux2_Im]]-FI124)*1000&lt;=0,"",(RD[[#This Row],[33kV_Aux2_Im]]-FI124)*1000)</f>
        <v/>
      </c>
      <c r="GA125" s="291">
        <f>IFERROR(RD[[#This Row],[33kV_OG1_Energy (MWh)]]+RD[[#This Row],[33kV_OG2_Energy (MWh)]],"")</f>
        <v>0</v>
      </c>
      <c r="GB125" s="291">
        <f>IFERROR(RD[[#This Row],[220kV_TL_TVM Energy (MWh)]]-RD[[#This Row],[220KV_C&amp;R_PQM_im (MWh)]],"")</f>
        <v>0</v>
      </c>
      <c r="GC125" s="228" t="str">
        <f>IFERROR(RD[[#This Row],[33 kV Total Export (MWH)]]/RD[[#This Row],[220 KV Net Export (MWh)]]-1,"")</f>
        <v/>
      </c>
      <c r="GD125" s="229">
        <f>IFERROR((RD[[#This Row],[Sunset Time (POA&lt;20 W/m2)]]-RD[[#This Row],[Sunrise Time (POA&gt;20 W/m2)]])*24,0)</f>
        <v>0</v>
      </c>
      <c r="GE12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172.51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126"/>
      <c r="CQ126" s="126"/>
      <c r="CR126" s="135"/>
      <c r="CS126" s="135"/>
      <c r="CT126" s="126"/>
      <c r="CU126" s="126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7">
        <f>SUM(RD[[#This Row],[IS1_Inv1_M1]:[IS1_Inv1_M2]])</f>
        <v>0</v>
      </c>
      <c r="EE126" s="367">
        <f>SUM(RD[[#This Row],[IS2_Inv1_M1]:[IS5_Inv1_M4]])</f>
        <v>0</v>
      </c>
      <c r="EF126" s="367">
        <f>SUM(RD[[#This Row],[IS6_Inv1_M1]:[IS6_Inv2_M2]])+SUM(RD[[#This Row],[IS8_Inv1_M1]:[IS8_Inv4_M2]])</f>
        <v>0</v>
      </c>
      <c r="EG126" s="367">
        <f>SUM(RD[[#This Row],[IS7_Inv1_M1]:[IS7_Inv1_M2]])</f>
        <v>0</v>
      </c>
      <c r="EH126" s="367">
        <f>SUM(RD[[#This Row],[IS9_Inv1_M1]:[IS12_Inv2_M4]])</f>
        <v>0</v>
      </c>
      <c r="EI126" s="367">
        <f>SUM(RD[[#This Row],[IS13_Inv1_M1]:[IS14_Inv1_M4]])</f>
        <v>0</v>
      </c>
      <c r="EJ126" s="367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69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172.51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172.51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172.51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172.51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2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12.033333333333333</v>
      </c>
      <c r="G121" s="243">
        <f>IFERROR(_xlfn.XLOOKUP($A121,Input_Raw!$A:$A,Input_Raw!EQ:EQ),"")</f>
        <v>2.9230387757563401</v>
      </c>
      <c r="H121" s="243">
        <f>IFERROR(_xlfn.XLOOKUP($A121,Input_Raw!$A:$A,Input_Raw!ER:ER),"")</f>
        <v>0.48664367828492339</v>
      </c>
      <c r="I121" s="243">
        <f>IFERROR(_xlfn.XLOOKUP($A121,Input_Raw!$A:$A,Input_Raw!EO:EO),"")</f>
        <v>2.8892170098595003</v>
      </c>
      <c r="J121" s="243">
        <f>IFERROR(_xlfn.XLOOKUP($A121,Input_Raw!$A:$A,Input_Raw!EP:EP),"")</f>
        <v>0.52283218902720119</v>
      </c>
      <c r="K121" s="243">
        <f>IFERROR(_xlfn.XLOOKUP($A121,Input_Raw!$A:$A,Input_Raw!$DR:$DR),"")</f>
        <v>22</v>
      </c>
      <c r="L121" s="243">
        <f>IFERROR(_xlfn.XLOOKUP($A121,Input_Raw!$A:$A,Input_Raw!$DT:$DT),"")</f>
        <v>33.372245947441172</v>
      </c>
      <c r="M121" s="243">
        <f>IFERROR(_xlfn.XLOOKUP($A121,Input_Raw!$A:$A,Input_Raw!$DZ:$DZ),"")</f>
        <v>7.2</v>
      </c>
      <c r="N121" s="243">
        <f>IFERROR(_xlfn.XLOOKUP($A121,Input_Raw!$A:$A,Input_Raw!$EB:$EB),"")</f>
        <v>14</v>
      </c>
      <c r="O121" s="244">
        <f>IFERROR(1-SUMIF(Plant_BD!$B:$B,$A121,Plant_BD!$AL:$AL)/($AA121+SUMIF(Plant_BD!$B:$B,$A121,Plant_BD!$AL:$AL)),"")</f>
        <v>0.99744363655760715</v>
      </c>
      <c r="P121" s="244"/>
      <c r="Q121" s="245"/>
      <c r="R121" s="244">
        <f>IFERROR(1-SUMIF(Grid_BD!$B:$B,$A121,Grid_BD!$W:$W)/($AA121+SUMIF(Grid_BD!$B:$B,$A121,Grid_BD!$W:$W)),"")</f>
        <v>1</v>
      </c>
      <c r="S121" s="240"/>
      <c r="T121" s="245"/>
      <c r="U121" s="246">
        <f t="shared" si="11"/>
        <v>0.87983233537349026</v>
      </c>
      <c r="V121" s="246" t="str">
        <f>IFERROR(_xlfn.XLOOKUP($A121,Input_Raw!$A:$A,Input_Raw!$GL:$GL),"")</f>
        <v/>
      </c>
      <c r="W121" s="247">
        <f t="shared" si="12"/>
        <v>9.3991126543207737E-2</v>
      </c>
      <c r="X121" s="239">
        <f>IFERROR(_xlfn.XLOOKUP($A121,Input_Raw!$A:$A,Input_Raw!$EN:$EN),"")</f>
        <v>446946</v>
      </c>
      <c r="Y121" s="239">
        <f>IFERROR(_xlfn.XLOOKUP($A121,Input_Raw!$A:$A,Input_Raw!GE:GE),"")</f>
        <v>427724.99999998719</v>
      </c>
      <c r="Z121" s="239"/>
      <c r="AA121" s="239">
        <f>IFERROR(_xlfn.XLOOKUP($A121,Input_Raw!$A:$A,Input_Raw!$GF:$GF),"")</f>
        <v>438524.99999998999</v>
      </c>
      <c r="AB121" s="239">
        <f>IFERROR(_xlfn.XLOOKUP($A121,Input_Raw!$A:$A,Input_Raw!GG:GG),"")</f>
        <v>172.51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650388.11295776826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0</v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>
        <f>IFERROR(_xlfn.XLOOKUP($A122,Input_Raw!$A:$A,Input_Raw!$DR:$DR),"")</f>
        <v>0</v>
      </c>
      <c r="L122" s="243">
        <f>IFERROR(_xlfn.XLOOKUP($A122,Input_Raw!$A:$A,Input_Raw!$DT:$DT),"")</f>
        <v>0</v>
      </c>
      <c r="M122" s="243">
        <f>IFERROR(_xlfn.XLOOKUP($A122,Input_Raw!$A:$A,Input_Raw!$DZ:$DZ),"")</f>
        <v>0</v>
      </c>
      <c r="N122" s="243">
        <f>IFERROR(_xlfn.XLOOKUP($A122,Input_Raw!$A:$A,Input_Raw!$EB:$EB),"")</f>
        <v>0</v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IFERROR(_xlfn.XLOOKUP($A122,Input_Raw!$A:$A,Input_Raw!$GL:$GL),"")</f>
        <v/>
      </c>
      <c r="W122" s="247">
        <f t="shared" si="12"/>
        <v>0</v>
      </c>
      <c r="X122" s="239">
        <f>IFERROR(_xlfn.XLOOKUP($A122,Input_Raw!$A:$A,Input_Raw!$EN:$EN),"")</f>
        <v>0</v>
      </c>
      <c r="Y122" s="239" t="str">
        <f>IFERROR(_xlfn.XLOOKUP($A122,Input_Raw!$A:$A,Input_Raw!GE:GE),"")</f>
        <v/>
      </c>
      <c r="Z122" s="239"/>
      <c r="AA122" s="239">
        <f>IFERROR(_xlfn.XLOOKUP($A122,Input_Raw!$A:$A,Input_Raw!$GF:$GF),"")</f>
        <v>0</v>
      </c>
      <c r="AB122" s="239">
        <f>IFERROR(_xlfn.XLOOKUP($A122,Input_Raw!$A:$A,Input_Raw!GG:GG),"")</f>
        <v>172.51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650388.11295776826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>
        <f t="shared" si="12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172.51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650388.11295776826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172.51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650388.11295776826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172.51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650388.11295776826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172.51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650388.11295776826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G4" activePane="bottomRight" state="frozen"/>
      <selection pane="topRight" activeCell="C1" sqref="C1"/>
      <selection pane="bottomLeft" activeCell="A4" sqref="A4"/>
      <selection pane="bottomRight" activeCell="CI1" sqref="CI1:CL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3.5389768982150596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2.9272929467215683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5.3128460266329576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4.6375654089015681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4.4583703664338659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4.4704053123283112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5.3350541647434611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5.9020478828714777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6.0741336049541621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7.091567853123995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5.2659729927399059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3.4328509388128565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2.9981721747041346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2.9523727167140446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3.3375225441264242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2.9528892210824602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1.9787330320327357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2.8897105346409364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2.7849850187697589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2.5881841189496995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2.5576046151088234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3.3622666877570389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3.3647119567048938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3.4334466940841506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3.5420636467507864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2.250079088895919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2.2928776181319486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2.8422571970895287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2.8566841655613975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2.7234498050309659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2.7157149636191078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2.7131192991449931</v>
      </c>
      <c r="DB169" s="165">
        <f>IFERROR(AVERAGEIF(Inv_SY_B[[#This Row],[IS18_Inv1_M1]:[IS19_Inv2_M3]],"&gt;="&amp;0.1,Inv_SY_B[[#This Row],[IS18_Inv1_M1]:[IS19_Inv2_M3]]),"")</f>
        <v>2.7103153391360548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1.9124805668119378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1.8012496045555204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1.8939895542463887</v>
      </c>
      <c r="DB170" s="165">
        <f>IFERROR(AVERAGEIF(Inv_SY_B[[#This Row],[IS18_Inv1_M1]:[IS19_Inv2_M3]],"&gt;="&amp;0.1,Inv_SY_B[[#This Row],[IS18_Inv1_M1]:[IS19_Inv2_M3]]),"")</f>
        <v>1.8079281940656211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2.7254886968932386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2.6452527161077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2.9450727617842456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2.764412563633142</v>
      </c>
      <c r="DB171" s="165">
        <f>IFERROR(AVERAGEIF(Inv_SY_B[[#This Row],[IS18_Inv1_M1]:[IS19_Inv2_M3]],"&gt;="&amp;0.1,Inv_SY_B[[#This Row],[IS18_Inv1_M1]:[IS19_Inv2_M3]]),"")</f>
        <v>2.9307374626581302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2.7332600478284341</v>
      </c>
      <c r="D172" s="165">
        <f>IFERROR(VLOOKUP($B172,RD[[#All],[Date]:[IS20_Inv2_M2]],D$2,0)/D$1,"")</f>
        <v>2.7080402938209516</v>
      </c>
      <c r="E172" s="165">
        <f>IFERROR(VLOOKUP($B172,RD[[#All],[Date]:[IS20_Inv2_M2]],E$2,0)/E$1,"")</f>
        <v>2.6789544393900111</v>
      </c>
      <c r="F172" s="165">
        <f>IFERROR(VLOOKUP($B172,RD[[#All],[Date]:[IS20_Inv2_M2]],F$2,0)/F$1,"")</f>
        <v>2.6557601880877746</v>
      </c>
      <c r="G172" s="165">
        <f>IFERROR(VLOOKUP($B172,RD[[#All],[Date]:[IS20_Inv2_M2]],G$2,0)/G$1,"")</f>
        <v>2.6769259998100128</v>
      </c>
      <c r="H172" s="165">
        <f>IFERROR(VLOOKUP($B172,RD[[#All],[Date]:[IS20_Inv2_M2]],H$2,0)/H$1,"")</f>
        <v>2.686279238003376</v>
      </c>
      <c r="I172" s="165">
        <f>IFERROR(VLOOKUP($B172,RD[[#All],[Date]:[IS20_Inv2_M2]],I$2,0)/I$1,"")</f>
        <v>2.7647952883062601</v>
      </c>
      <c r="J172" s="165">
        <f>IFERROR(VLOOKUP($B172,RD[[#All],[Date]:[IS20_Inv2_M2]],J$2,0)/J$1,"")</f>
        <v>2.6499477533960292</v>
      </c>
      <c r="K172" s="165">
        <f>IFERROR(VLOOKUP($B172,RD[[#All],[Date]:[IS20_Inv2_M2]],K$2,0)/K$1,"")</f>
        <v>2.7035822824188185</v>
      </c>
      <c r="L172" s="165">
        <f>IFERROR(VLOOKUP($B172,RD[[#All],[Date]:[IS20_Inv2_M2]],L$2,0)/L$1,"")</f>
        <v>2.7163484373515718</v>
      </c>
      <c r="M172" s="165">
        <f>IFERROR(VLOOKUP($B172,RD[[#All],[Date]:[IS20_Inv2_M2]],M$2,0)/M$1,"")</f>
        <v>2.7049628588735288</v>
      </c>
      <c r="N172" s="165">
        <f>IFERROR(VLOOKUP($B172,RD[[#All],[Date]:[IS20_Inv2_M2]],N$2,0)/N$1,"")</f>
        <v>2.7016766845934828</v>
      </c>
      <c r="O172" s="165">
        <f>IFERROR(VLOOKUP($B172,RD[[#All],[Date]:[IS20_Inv2_M2]],O$2,0)/O$1,"")</f>
        <v>2.6751819044606138</v>
      </c>
      <c r="P172" s="165">
        <f>IFERROR(VLOOKUP($B172,RD[[#All],[Date]:[IS20_Inv2_M2]],P$2,0)/P$1,"")</f>
        <v>2.5968274054322773</v>
      </c>
      <c r="Q172" s="165">
        <f>IFERROR(VLOOKUP($B172,RD[[#All],[Date]:[IS20_Inv2_M2]],Q$2,0)/Q$1,"")</f>
        <v>2.5334271639690353</v>
      </c>
      <c r="R172" s="165">
        <f>IFERROR(VLOOKUP($B172,RD[[#All],[Date]:[IS20_Inv2_M2]],R$2,0)/R$1,"")</f>
        <v>2.4866229211526223</v>
      </c>
      <c r="S172" s="165">
        <f>IFERROR(VLOOKUP($B172,RD[[#All],[Date]:[IS20_Inv2_M2]],S$2,0)/S$1,"")</f>
        <v>2.5395028222248124</v>
      </c>
      <c r="T172" s="165">
        <f>IFERROR(VLOOKUP($B172,RD[[#All],[Date]:[IS20_Inv2_M2]],T$2,0)/T$1,"")</f>
        <v>2.6178424549193293</v>
      </c>
      <c r="U172" s="165">
        <f>IFERROR(VLOOKUP($B172,RD[[#All],[Date]:[IS20_Inv2_M2]],U$2,0)/U$1,"")</f>
        <v>2.8502131634051913</v>
      </c>
      <c r="V172" s="165">
        <f>IFERROR(VLOOKUP($B172,RD[[#All],[Date]:[IS20_Inv2_M2]],V$2,0)/V$1,"")</f>
        <v>2.8840219685615156</v>
      </c>
      <c r="W172" s="165">
        <f>IFERROR(VLOOKUP($B172,RD[[#All],[Date]:[IS20_Inv2_M2]],W$2,0)/W$1,"")</f>
        <v>2.7472673677737136</v>
      </c>
      <c r="X172" s="165">
        <f>IFERROR(VLOOKUP($B172,RD[[#All],[Date]:[IS20_Inv2_M2]],X$2,0)/X$1,"")</f>
        <v>2.5970385095700488</v>
      </c>
      <c r="Y172" s="165">
        <f>IFERROR(VLOOKUP($B172,RD[[#All],[Date]:[IS20_Inv2_M2]],Y$2,0)/Y$1,"")</f>
        <v>2.695924764890282</v>
      </c>
      <c r="Z172" s="165">
        <f>IFERROR(VLOOKUP($B172,RD[[#All],[Date]:[IS20_Inv2_M2]],Z$2,0)/Z$1,"")</f>
        <v>2.7459879286950821</v>
      </c>
      <c r="AA172" s="165">
        <f>IFERROR(VLOOKUP($B172,RD[[#All],[Date]:[IS20_Inv2_M2]],AA$2,0)/AA$1,"")</f>
        <v>2.5460557392536609</v>
      </c>
      <c r="AB172" s="165">
        <f>IFERROR(VLOOKUP($B172,RD[[#All],[Date]:[IS20_Inv2_M2]],AB$2,0)/AB$1,"")</f>
        <v>2.6414441681980327</v>
      </c>
      <c r="AC172" s="165">
        <f>IFERROR(VLOOKUP($B172,RD[[#All],[Date]:[IS20_Inv2_M2]],AC$2,0)/AC$1,"")</f>
        <v>2.6413649524994613</v>
      </c>
      <c r="AD172" s="165">
        <f>IFERROR(VLOOKUP($B172,RD[[#All],[Date]:[IS20_Inv2_M2]],AD$2,0)/AD$1,"")</f>
        <v>2.5853361198188787</v>
      </c>
      <c r="AE172" s="165">
        <f>IFERROR(VLOOKUP($B172,RD[[#All],[Date]:[IS20_Inv2_M2]],AE$2,0)/AE$1,"")</f>
        <v>2.6271893244370306</v>
      </c>
      <c r="AF172" s="165">
        <f>IFERROR(VLOOKUP($B172,RD[[#All],[Date]:[IS20_Inv2_M2]],AF$2,0)/AF$1,"")</f>
        <v>2.690026764686682</v>
      </c>
      <c r="AG172" s="165">
        <f>IFERROR(VLOOKUP($B172,RD[[#All],[Date]:[IS20_Inv2_M2]],AG$2,0)/AG$1,"")</f>
        <v>2.639123328778501</v>
      </c>
      <c r="AH172" s="165">
        <f>IFERROR(VLOOKUP($B172,RD[[#All],[Date]:[IS20_Inv2_M2]],AH$2,0)/AH$1,"")</f>
        <v>2.5989420062695925</v>
      </c>
      <c r="AI172" s="165">
        <f>IFERROR(VLOOKUP($B172,RD[[#All],[Date]:[IS20_Inv2_M2]],AI$2,0)/AI$1,"")</f>
        <v>2.6223530164416866</v>
      </c>
      <c r="AJ172" s="165">
        <f>IFERROR(VLOOKUP($B172,RD[[#All],[Date]:[IS20_Inv2_M2]],AJ$2,0)/AJ$1,"")</f>
        <v>2.6242722794446935</v>
      </c>
      <c r="AK172" s="165">
        <f>IFERROR(VLOOKUP($B172,RD[[#All],[Date]:[IS20_Inv2_M2]],AK$2,0)/AK$1,"")</f>
        <v>2.6332288401253918</v>
      </c>
      <c r="AL172" s="165">
        <f>IFERROR(VLOOKUP($B172,RD[[#All],[Date]:[IS20_Inv2_M2]],AL$2,0)/AL$1,"")</f>
        <v>2.6127998309323375</v>
      </c>
      <c r="AM172" s="165">
        <f>IFERROR(VLOOKUP($B172,RD[[#All],[Date]:[IS20_Inv2_M2]],AM$2,0)/AM$1,"")</f>
        <v>2.6204199952809519</v>
      </c>
      <c r="AN172" s="165">
        <f>IFERROR(VLOOKUP($B172,RD[[#All],[Date]:[IS20_Inv2_M2]],AN$2,0)/AN$1,"")</f>
        <v>2.6077586206896552</v>
      </c>
      <c r="AO172" s="165">
        <f>IFERROR(VLOOKUP($B172,RD[[#All],[Date]:[IS20_Inv2_M2]],AO$2,0)/AO$1,"")</f>
        <v>2.5865403855132394</v>
      </c>
      <c r="AP172" s="165">
        <f>IFERROR(VLOOKUP($B172,RD[[#All],[Date]:[IS20_Inv2_M2]],AP$2,0)/AP$1,"")</f>
        <v>2.5857119287246331</v>
      </c>
      <c r="AQ172" s="165">
        <f>IFERROR(VLOOKUP($B172,RD[[#All],[Date]:[IS20_Inv2_M2]],AQ$2,0)/AQ$1,"")</f>
        <v>2.5557809330628802</v>
      </c>
      <c r="AR172" s="165">
        <f>IFERROR(VLOOKUP($B172,RD[[#All],[Date]:[IS20_Inv2_M2]],AR$2,0)/AR$1,"")</f>
        <v>2.5504960734253301</v>
      </c>
      <c r="AS172" s="165">
        <f>IFERROR(VLOOKUP($B172,RD[[#All],[Date]:[IS20_Inv2_M2]],AS$2,0)/AS$1,"")</f>
        <v>2.5340669183033717</v>
      </c>
      <c r="AT172" s="165">
        <f>IFERROR(VLOOKUP($B172,RD[[#All],[Date]:[IS20_Inv2_M2]],AT$2,0)/AT$1,"")</f>
        <v>2.5542319749216307</v>
      </c>
      <c r="AU172" s="165">
        <f>IFERROR(VLOOKUP($B172,RD[[#All],[Date]:[IS20_Inv2_M2]],AU$2,0)/AU$1,"")</f>
        <v>2.5681444991789819</v>
      </c>
      <c r="AV172" s="165">
        <f>IFERROR(VLOOKUP($B172,RD[[#All],[Date]:[IS20_Inv2_M2]],AV$2,0)/AV$1,"")</f>
        <v>2.4137931034482762</v>
      </c>
      <c r="AW172" s="165">
        <f>IFERROR(VLOOKUP($B172,RD[[#All],[Date]:[IS20_Inv2_M2]],AW$2,0)/AW$1,"")</f>
        <v>2.5091296900753002</v>
      </c>
      <c r="AX172" s="165">
        <f>IFERROR(VLOOKUP($B172,RD[[#All],[Date]:[IS20_Inv2_M2]],AX$2,0)/AX$1,"")</f>
        <v>2.5187128142793167</v>
      </c>
      <c r="AY172" s="165">
        <f>IFERROR(VLOOKUP($B172,RD[[#All],[Date]:[IS20_Inv2_M2]],AY$2,0)/AY$1,"")</f>
        <v>2.4540976265114196</v>
      </c>
      <c r="AZ172" s="165">
        <f>IFERROR(VLOOKUP($B172,RD[[#All],[Date]:[IS20_Inv2_M2]],AZ$2,0)/AZ$1,"")</f>
        <v>2.5165077035950105</v>
      </c>
      <c r="BA172" s="165">
        <f>IFERROR(VLOOKUP($B172,RD[[#All],[Date]:[IS20_Inv2_M2]],BA$2,0)/BA$1,"")</f>
        <v>2.4949099957987264</v>
      </c>
      <c r="BB172" s="165">
        <f>IFERROR(VLOOKUP($B172,RD[[#All],[Date]:[IS20_Inv2_M2]],BB$2,0)/BB$1,"")</f>
        <v>2.4939365179795425</v>
      </c>
      <c r="BC172" s="165">
        <f>IFERROR(VLOOKUP($B172,RD[[#All],[Date]:[IS20_Inv2_M2]],BC$2,0)/BC$1,"")</f>
        <v>2.5164423136025569</v>
      </c>
      <c r="BD172" s="165">
        <f>IFERROR(VLOOKUP($B172,RD[[#All],[Date]:[IS20_Inv2_M2]],BD$2,0)/BD$1,"")</f>
        <v>2.4932565429758693</v>
      </c>
      <c r="BE172" s="165">
        <f>IFERROR(VLOOKUP($B172,RD[[#All],[Date]:[IS20_Inv2_M2]],BE$2,0)/BE$1,"")</f>
        <v>2.5433646812957154</v>
      </c>
      <c r="BF172" s="165">
        <f>IFERROR(VLOOKUP($B172,RD[[#All],[Date]:[IS20_Inv2_M2]],BF$2,0)/BF$1,"")</f>
        <v>2.531261841606669</v>
      </c>
      <c r="BG172" s="165">
        <f>IFERROR(VLOOKUP($B172,RD[[#All],[Date]:[IS20_Inv2_M2]],BG$2,0)/BG$1,"")</f>
        <v>2.5457157784743991</v>
      </c>
      <c r="BH172" s="165">
        <f>IFERROR(VLOOKUP($B172,RD[[#All],[Date]:[IS20_Inv2_M2]],BH$2,0)/BH$1,"")</f>
        <v>2.5345161075168412</v>
      </c>
      <c r="BI172" s="165">
        <f>IFERROR(VLOOKUP($B172,RD[[#All],[Date]:[IS20_Inv2_M2]],BI$2,0)/BI$1,"")</f>
        <v>2.5122625852848977</v>
      </c>
      <c r="BJ172" s="165">
        <f>IFERROR(VLOOKUP($B172,RD[[#All],[Date]:[IS20_Inv2_M2]],BJ$2,0)/BJ$1,"")</f>
        <v>2.5327805305558364</v>
      </c>
      <c r="BK172" s="165">
        <f>IFERROR(VLOOKUP($B172,RD[[#All],[Date]:[IS20_Inv2_M2]],BK$2,0)/BK$1,"")</f>
        <v>2.4404722203695055</v>
      </c>
      <c r="BL172" s="165">
        <f>IFERROR(VLOOKUP($B172,RD[[#All],[Date]:[IS20_Inv2_M2]],BL$2,0)/BL$1,"")</f>
        <v>2.4785334605424563</v>
      </c>
      <c r="BM172" s="165">
        <f>IFERROR(VLOOKUP($B172,RD[[#All],[Date]:[IS20_Inv2_M2]],BM$2,0)/BM$1,"")</f>
        <v>2.480118792278502</v>
      </c>
      <c r="BN172" s="165">
        <f>IFERROR(VLOOKUP($B172,RD[[#All],[Date]:[IS20_Inv2_M2]],BN$2,0)/BN$1,"")</f>
        <v>2.51828631138976</v>
      </c>
      <c r="BO172" s="165">
        <f>IFERROR(VLOOKUP($B172,RD[[#All],[Date]:[IS20_Inv2_M2]],BO$2,0)/BO$1,"")</f>
        <v>2.5773941338636051</v>
      </c>
      <c r="BP172" s="165">
        <f>IFERROR(VLOOKUP($B172,RD[[#All],[Date]:[IS20_Inv2_M2]],BP$2,0)/BP$1,"")</f>
        <v>2.5984297259210258</v>
      </c>
      <c r="BQ172" s="165">
        <f>IFERROR(VLOOKUP($B172,RD[[#All],[Date]:[IS20_Inv2_M2]],BQ$2,0)/BQ$1,"")</f>
        <v>2.5913447883304048</v>
      </c>
      <c r="BR172" s="165">
        <f>IFERROR(VLOOKUP($B172,RD[[#All],[Date]:[IS20_Inv2_M2]],BR$2,0)/BR$1,"")</f>
        <v>2.6056196255500272</v>
      </c>
      <c r="BS172" s="165">
        <f>IFERROR(VLOOKUP($B172,RD[[#All],[Date]:[IS20_Inv2_M2]],BS$2,0)/BS$1,"")</f>
        <v>2.5463002093742682</v>
      </c>
      <c r="BT172" s="165">
        <f>IFERROR(VLOOKUP($B172,RD[[#All],[Date]:[IS20_Inv2_M2]],BT$2,0)/BT$1,"")</f>
        <v>2.6022973960662816</v>
      </c>
      <c r="BU172" s="165">
        <f>IFERROR(VLOOKUP($B172,RD[[#All],[Date]:[IS20_Inv2_M2]],BU$2,0)/BU$1,"")</f>
        <v>2.5722667674149196</v>
      </c>
      <c r="BV172" s="165">
        <f>IFERROR(VLOOKUP($B172,RD[[#All],[Date]:[IS20_Inv2_M2]],BV$2,0)/BV$1,"")</f>
        <v>2.5373578726017456</v>
      </c>
      <c r="BW172" s="165">
        <f>IFERROR(VLOOKUP($B172,RD[[#All],[Date]:[IS20_Inv2_M2]],BW$2,0)/BW$1,"")</f>
        <v>2.7002067495582205</v>
      </c>
      <c r="BX172" s="165">
        <f>IFERROR(VLOOKUP($B172,RD[[#All],[Date]:[IS20_Inv2_M2]],BX$2,0)/BX$1,"")</f>
        <v>2.7385037192060286</v>
      </c>
      <c r="BY172" s="165">
        <f>IFERROR(VLOOKUP($B172,RD[[#All],[Date]:[IS20_Inv2_M2]],BY$2,0)/BY$1,"")</f>
        <v>2.930634692735294</v>
      </c>
      <c r="BZ172" s="165">
        <f>IFERROR(VLOOKUP($B172,RD[[#All],[Date]:[IS20_Inv2_M2]],BZ$2,0)/BZ$1,"")</f>
        <v>2.6093008541600757</v>
      </c>
      <c r="CA172" s="165">
        <f>IFERROR(VLOOKUP($B172,RD[[#All],[Date]:[IS20_Inv2_M2]],CA$2,0)/CA$1,"")</f>
        <v>2.4501194515048708</v>
      </c>
      <c r="CB172" s="165">
        <f>IFERROR(VLOOKUP($B172,RD[[#All],[Date]:[IS20_Inv2_M2]],CB$2,0)/CB$1,"")</f>
        <v>2.5601368530821236</v>
      </c>
      <c r="CC172" s="165">
        <f>IFERROR(VLOOKUP($B172,RD[[#All],[Date]:[IS20_Inv2_M2]],CC$2,0)/CC$1,"")</f>
        <v>2.5574368778913295</v>
      </c>
      <c r="CD172" s="165">
        <f>IFERROR(VLOOKUP($B172,RD[[#All],[Date]:[IS20_Inv2_M2]],CD$2,0)/CD$1,"")</f>
        <v>2.6373361968711988</v>
      </c>
      <c r="CE172" s="165">
        <f>IFERROR(VLOOKUP($B172,RD[[#All],[Date]:[IS20_Inv2_M2]],CE$2,0)/CE$1,"")</f>
        <v>2.5094508385698906</v>
      </c>
      <c r="CF172" s="165">
        <f>IFERROR(VLOOKUP($B172,RD[[#All],[Date]:[IS20_Inv2_M2]],CF$2,0)/CF$1,"")</f>
        <v>2.4955001145425388</v>
      </c>
      <c r="CG172" s="165">
        <f>IFERROR(VLOOKUP($B172,RD[[#All],[Date]:[IS20_Inv2_M2]],CG$2,0)/CG$1,"")</f>
        <v>2.529977941781905</v>
      </c>
      <c r="CH172" s="165">
        <f>IFERROR(VLOOKUP($B172,RD[[#All],[Date]:[IS20_Inv2_M2]],CH$2,0)/CH$1,"")</f>
        <v>2.54538975371536</v>
      </c>
      <c r="CI172" s="165">
        <f>IFERROR(VLOOKUP($B172,RD[[#All],[Date]:[IS20_Inv2_M2]],CI$2,0)/CI$1,"")</f>
        <v>2.7748904053870835</v>
      </c>
      <c r="CJ172" s="165">
        <f>IFERROR(VLOOKUP($B172,RD[[#All],[Date]:[IS20_Inv2_M2]],CJ$2,0)/CJ$1,"")</f>
        <v>2.7803231251507112</v>
      </c>
      <c r="CK172" s="165">
        <f>IFERROR(VLOOKUP($B172,RD[[#All],[Date]:[IS20_Inv2_M2]],CK$2,0)/CK$1,"")</f>
        <v>2.6496492013733395</v>
      </c>
      <c r="CL172" s="165">
        <f>IFERROR(VLOOKUP($B172,RD[[#All],[Date]:[IS20_Inv2_M2]],CL$2,0)/CL$1,"")</f>
        <v>2.6209835423197494</v>
      </c>
      <c r="CM172" s="165">
        <f>IFERROR(VLOOKUP($B172,RD[[#All],[Date]:[IS20_Inv2_M2]],CM$2,0)/CM$1,"")</f>
        <v>2.6298071853275902</v>
      </c>
      <c r="CN172" s="165">
        <f>IFERROR(VLOOKUP($B172,RD[[#All],[Date]:[IS20_Inv2_M2]],CN$2,0)/CN$1,"")</f>
        <v>2.6782200754623808</v>
      </c>
      <c r="CO172" s="165">
        <f>IFERROR(VLOOKUP($B172,RD[[#All],[Date]:[IS20_Inv2_M2]],CO$2,0)/CO$1,"")</f>
        <v>2.6030386359396167</v>
      </c>
      <c r="CP172" s="165">
        <f>IFERROR(VLOOKUP($B172,RD[[#All],[Date]:[IS20_Inv2_M2]],CP$2,0)/CP$1,"")</f>
        <v>2.5333097778526441</v>
      </c>
      <c r="CQ172" s="165">
        <f>IFERROR(VLOOKUP($B172,RD[[#All],[Date]:[IS20_Inv2_M2]],CQ$2,0)/CQ$1,"")</f>
        <v>2.5535827269851312</v>
      </c>
      <c r="CR172" s="165">
        <f>IFERROR(VLOOKUP($B172,RD[[#All],[Date]:[IS20_Inv2_M2]],CR$2,0)/CR$1,"")</f>
        <v>2.603606453653907</v>
      </c>
      <c r="CS172" s="165">
        <f>IFERROR(VLOOKUP($B172,RD[[#All],[Date]:[IS20_Inv2_M2]],CS$2,0)/CS$1,"")</f>
        <v>2.5956975640620059</v>
      </c>
      <c r="CT172" s="165">
        <f>IFERROR(VLOOKUP($B172,RD[[#All],[Date]:[IS20_Inv2_M2]],CT$2,0)/CT$1,"")</f>
        <v>2.5593166719392597</v>
      </c>
      <c r="CU172" s="165">
        <f>IFERROR(VLOOKUP($B172,RD[[#All],[Date]:[IS20_Inv2_M2]],CU$2,0)/CU$1,"")</f>
        <v>2.6053200463988189</v>
      </c>
      <c r="CV172" s="165">
        <f>IFERROR(VLOOKUP($B172,RD[[#All],[Date]:[IS20_Inv2_M2]],CV$2,0)/CV$1,"")</f>
        <v>2.6109880839396817</v>
      </c>
      <c r="CW172" s="165">
        <f>IFERROR(VLOOKUP($B172,RD[[#All],[Date]:[IS20_Inv2_M2]],CW$2,0)/CW$1,"")</f>
        <v>2.6152061583886956</v>
      </c>
      <c r="CX172" s="165">
        <f>IFERROR(VLOOKUP($B172,RD[[#All],[Date]:[IS20_Inv2_M2]],CX$2,0)/CX$1,"")</f>
        <v>2.4952546662448589</v>
      </c>
      <c r="CY172" s="165">
        <f>IFERROR(VLOOKUP($B172,RD[[#All],[Date]:[IS20_Inv2_M2]],CY$2,0)/CY$1,"")</f>
        <v>2.7133575061445989</v>
      </c>
      <c r="CZ172" s="165">
        <f>IFERROR(VLOOKUP($B172,RD[[#All],[Date]:[IS20_Inv2_M2]],CZ$2,0)/CZ$1,"")</f>
        <v>2.656713805892291</v>
      </c>
      <c r="DA172" s="165">
        <f>IFERROR(AVERAGEIF(Inv_SY_B[[#This Row],[IS1_Inv1_M1]:[IS8_Inv4_M2]],"&gt;="&amp;0.1,Inv_SY_B[[#This Row],[IS1_Inv1_M1]:[IS8_Inv4_M2]]),"")</f>
        <v>2.6662460715898937</v>
      </c>
      <c r="DB172" s="165">
        <f>IFERROR(AVERAGEIF(Inv_SY_B[[#This Row],[IS18_Inv1_M1]:[IS19_Inv2_M3]],"&gt;="&amp;0.1,Inv_SY_B[[#This Row],[IS18_Inv1_M1]:[IS19_Inv2_M3]]),"")</f>
        <v>2.6038156684451055</v>
      </c>
      <c r="DC172" s="165">
        <f>IFERROR(AVERAGEIF(Inv_SY_B[[#This Row],[IS9_Inv1_M1]:[IS20_Inv2_M2]],"&gt;="&amp;0.1,Inv_SY_B[[#This Row],[IS9_Inv1_M1]:[IS20_Inv2_M2]]),"")</f>
        <v>2.5697277634035247</v>
      </c>
    </row>
    <row r="173" spans="2:107">
      <c r="B173" s="167">
        <f t="shared" si="68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>
        <f>IFERROR(VLOOKUP($B173,RD[[#All],[Date]:[IS20_Inv2_M2]],CJ$2,0)/CJ$1,"")</f>
        <v>0</v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>
        <f>IFERROR(VLOOKUP($B174,RD[[#All],[Date]:[IS20_Inv2_M2]],CJ$2,0)/CJ$1,"")</f>
        <v>0</v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>
        <f>IFERROR(VLOOKUP($B175,RD[[#All],[Date]:[IS20_Inv2_M2]],CJ$2,0)/CJ$1,"")</f>
        <v>0</v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G165" activePane="bottomRight" state="frozen"/>
      <selection pane="topRight" activeCell="C3" sqref="C3"/>
      <selection pane="bottomLeft" activeCell="A4" sqref="A4"/>
      <selection pane="bottomRight" activeCell="CJ172" sqref="CJ172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-0.99268496214928503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-6.1463363264537829E-3</v>
      </c>
      <c r="CN114" s="169">
        <f>IFERROR(Inv_SY_B!CN114/Inv_SY_B!$DB114-1,"")</f>
        <v>-8.4278923422020591E-2</v>
      </c>
      <c r="CO114" s="169">
        <f>IFERROR(Inv_SY_B!CO114/Inv_SY_B!$DB114-1,"")</f>
        <v>-0.11570861751555783</v>
      </c>
      <c r="CP114" s="169">
        <f>IFERROR(Inv_SY_B!CP114/Inv_SY_B!$DB114-1,"")</f>
        <v>-0.39236781475827176</v>
      </c>
      <c r="CQ114" s="169">
        <f>IFERROR(Inv_SY_B!CQ114/Inv_SY_B!$DB114-1,"")</f>
        <v>-0.54186692567631445</v>
      </c>
      <c r="CR114" s="169">
        <f>IFERROR(Inv_SY_B!CR114/Inv_SY_B!$DB114-1,"")</f>
        <v>-0.58991502859318889</v>
      </c>
      <c r="CS114" s="169">
        <f>IFERROR(Inv_SY_B!CS114/Inv_SY_B!$DB114-1,"")</f>
        <v>-0.47571697933494328</v>
      </c>
      <c r="CT114" s="169">
        <f>IFERROR(Inv_SY_B!CT114/Inv_SY_B!$DB114-1,"")</f>
        <v>-0.47482306114114103</v>
      </c>
      <c r="CU114" s="169">
        <f>IFERROR(Inv_SY_B!CU114/Inv_SY_B!$DB114-1,"")</f>
        <v>0.33752509747671122</v>
      </c>
      <c r="CV114" s="169">
        <f>IFERROR(Inv_SY_B!CV114/Inv_SY_B!$DB114-1,"")</f>
        <v>1.2744258577643524</v>
      </c>
      <c r="CW114" s="169">
        <f>IFERROR(Inv_SY_B!CW114/Inv_SY_B!$DB114-1,"")</f>
        <v>-1</v>
      </c>
      <c r="CX114" s="169">
        <f>IFERROR(Inv_SY_B!CX114/Inv_SY_B!$DB114-1,"")</f>
        <v>0.52927055004730739</v>
      </c>
      <c r="CY114" s="169">
        <f>IFERROR(Inv_SY_B!CY114/Inv_SY_B!$DB114-1,"")</f>
        <v>0.53960218147952244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-2.5143827307532729E-2</v>
      </c>
      <c r="CN115" s="169">
        <f>IFERROR(Inv_SY_B!CN115/Inv_SY_B!$DB115-1,"")</f>
        <v>-0.10485551008693184</v>
      </c>
      <c r="CO115" s="169">
        <f>IFERROR(Inv_SY_B!CO115/Inv_SY_B!$DB115-1,"")</f>
        <v>-0.13376907452056497</v>
      </c>
      <c r="CP115" s="169">
        <f>IFERROR(Inv_SY_B!CP115/Inv_SY_B!$DB115-1,"")</f>
        <v>-0.39367937813239928</v>
      </c>
      <c r="CQ115" s="169">
        <f>IFERROR(Inv_SY_B!CQ115/Inv_SY_B!$DB115-1,"")</f>
        <v>-0.53630770786700943</v>
      </c>
      <c r="CR115" s="169">
        <f>IFERROR(Inv_SY_B!CR115/Inv_SY_B!$DB115-1,"")</f>
        <v>-0.5574491044347627</v>
      </c>
      <c r="CS115" s="169">
        <f>IFERROR(Inv_SY_B!CS115/Inv_SY_B!$DB115-1,"")</f>
        <v>-0.47072209742838833</v>
      </c>
      <c r="CT115" s="169">
        <f>IFERROR(Inv_SY_B!CT115/Inv_SY_B!$DB115-1,"")</f>
        <v>-0.48342044424863639</v>
      </c>
      <c r="CU115" s="169">
        <f>IFERROR(Inv_SY_B!CU115/Inv_SY_B!$DB115-1,"")</f>
        <v>0.40109596209934462</v>
      </c>
      <c r="CV115" s="169">
        <f>IFERROR(Inv_SY_B!CV115/Inv_SY_B!$DB115-1,"")</f>
        <v>1.3065961614197921</v>
      </c>
      <c r="CW115" s="169">
        <f>IFERROR(Inv_SY_B!CW115/Inv_SY_B!$DB115-1,"")</f>
        <v>-1</v>
      </c>
      <c r="CX115" s="169">
        <f>IFERROR(Inv_SY_B!CX115/Inv_SY_B!$DB115-1,"")</f>
        <v>0.47246787596492235</v>
      </c>
      <c r="CY115" s="169">
        <f>IFERROR(Inv_SY_B!CY115/Inv_SY_B!$DB115-1,"")</f>
        <v>0.52518714454216608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-4.2387696813067088E-2</v>
      </c>
      <c r="CN116" s="169">
        <f>IFERROR(Inv_SY_B!CN116/Inv_SY_B!$DB116-1,"")</f>
        <v>-0.11683993820188132</v>
      </c>
      <c r="CO116" s="169">
        <f>IFERROR(Inv_SY_B!CO116/Inv_SY_B!$DB116-1,"")</f>
        <v>-0.14850066727144051</v>
      </c>
      <c r="CP116" s="169">
        <f>IFERROR(Inv_SY_B!CP116/Inv_SY_B!$DB116-1,"")</f>
        <v>-0.3995966924616714</v>
      </c>
      <c r="CQ116" s="169">
        <f>IFERROR(Inv_SY_B!CQ116/Inv_SY_B!$DB116-1,"")</f>
        <v>-0.54708274128904855</v>
      </c>
      <c r="CR116" s="169">
        <f>IFERROR(Inv_SY_B!CR116/Inv_SY_B!$DB116-1,"")</f>
        <v>-0.56442534133500621</v>
      </c>
      <c r="CS116" s="169">
        <f>IFERROR(Inv_SY_B!CS116/Inv_SY_B!$DB116-1,"")</f>
        <v>-0.3676277682813075</v>
      </c>
      <c r="CT116" s="169">
        <f>IFERROR(Inv_SY_B!CT116/Inv_SY_B!$DB116-1,"")</f>
        <v>-0.51172765535844844</v>
      </c>
      <c r="CU116" s="169">
        <f>IFERROR(Inv_SY_B!CU116/Inv_SY_B!$DB116-1,"")</f>
        <v>0.36743548144914207</v>
      </c>
      <c r="CV116" s="169">
        <f>IFERROR(Inv_SY_B!CV116/Inv_SY_B!$DB116-1,"")</f>
        <v>1.3085754636284093</v>
      </c>
      <c r="CW116" s="169">
        <f>IFERROR(Inv_SY_B!CW116/Inv_SY_B!$DB116-1,"")</f>
        <v>-1</v>
      </c>
      <c r="CX116" s="169">
        <f>IFERROR(Inv_SY_B!CX116/Inv_SY_B!$DB116-1,"")</f>
        <v>0.49979996105598534</v>
      </c>
      <c r="CY116" s="169">
        <f>IFERROR(Inv_SY_B!CY116/Inv_SY_B!$DB116-1,"")</f>
        <v>0.5223775948783338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-7.5412520796982796E-2</v>
      </c>
      <c r="CN117" s="169">
        <f>IFERROR(Inv_SY_B!CN117/Inv_SY_B!$DB117-1,"")</f>
        <v>-0.15096192266480768</v>
      </c>
      <c r="CO117" s="169">
        <f>IFERROR(Inv_SY_B!CO117/Inv_SY_B!$DB117-1,"")</f>
        <v>-0.17703668375894877</v>
      </c>
      <c r="CP117" s="169">
        <f>IFERROR(Inv_SY_B!CP117/Inv_SY_B!$DB117-1,"")</f>
        <v>-0.39225856541912907</v>
      </c>
      <c r="CQ117" s="169">
        <f>IFERROR(Inv_SY_B!CQ117/Inv_SY_B!$DB117-1,"")</f>
        <v>-0.1980371158856632</v>
      </c>
      <c r="CR117" s="169">
        <f>IFERROR(Inv_SY_B!CR117/Inv_SY_B!$DB117-1,"")</f>
        <v>-0.56699973146915461</v>
      </c>
      <c r="CS117" s="169">
        <f>IFERROR(Inv_SY_B!CS117/Inv_SY_B!$DB117-1,"")</f>
        <v>-0.32193419941762824</v>
      </c>
      <c r="CT117" s="169">
        <f>IFERROR(Inv_SY_B!CT117/Inv_SY_B!$DB117-1,"")</f>
        <v>-0.50986893589694771</v>
      </c>
      <c r="CU117" s="169">
        <f>IFERROR(Inv_SY_B!CU117/Inv_SY_B!$DB117-1,"")</f>
        <v>0.33902078577446049</v>
      </c>
      <c r="CV117" s="169">
        <f>IFERROR(Inv_SY_B!CV117/Inv_SY_B!$DB117-1,"")</f>
        <v>1.2186076513354127</v>
      </c>
      <c r="CW117" s="169">
        <f>IFERROR(Inv_SY_B!CW117/Inv_SY_B!$DB117-1,"")</f>
        <v>-1</v>
      </c>
      <c r="CX117" s="169">
        <f>IFERROR(Inv_SY_B!CX117/Inv_SY_B!$DB117-1,"")</f>
        <v>0.3750615065632954</v>
      </c>
      <c r="CY117" s="169">
        <f>IFERROR(Inv_SY_B!CY117/Inv_SY_B!$DB117-1,"")</f>
        <v>0.45981973163609191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-0.12994977134008823</v>
      </c>
      <c r="CN118" s="169">
        <f>IFERROR(Inv_SY_B!CN118/Inv_SY_B!$DB118-1,"")</f>
        <v>-0.19610149252335329</v>
      </c>
      <c r="CO118" s="169">
        <f>IFERROR(Inv_SY_B!CO118/Inv_SY_B!$DB118-1,"")</f>
        <v>-0.22183085989576701</v>
      </c>
      <c r="CP118" s="169">
        <f>IFERROR(Inv_SY_B!CP118/Inv_SY_B!$DB118-1,"")</f>
        <v>-0.30056008683640367</v>
      </c>
      <c r="CQ118" s="169">
        <f>IFERROR(Inv_SY_B!CQ118/Inv_SY_B!$DB118-1,"")</f>
        <v>6.7119764646328406E-3</v>
      </c>
      <c r="CR118" s="169">
        <f>IFERROR(Inv_SY_B!CR118/Inv_SY_B!$DB118-1,"")</f>
        <v>-0.46568872720502663</v>
      </c>
      <c r="CS118" s="169">
        <f>IFERROR(Inv_SY_B!CS118/Inv_SY_B!$DB118-1,"")</f>
        <v>-0.31171057820567838</v>
      </c>
      <c r="CT118" s="169">
        <f>IFERROR(Inv_SY_B!CT118/Inv_SY_B!$DB118-1,"")</f>
        <v>-0.25884711230498059</v>
      </c>
      <c r="CU118" s="169">
        <f>IFERROR(Inv_SY_B!CU118/Inv_SY_B!$DB118-1,"")</f>
        <v>0.23658526918159373</v>
      </c>
      <c r="CV118" s="169">
        <f>IFERROR(Inv_SY_B!CV118/Inv_SY_B!$DB118-1,"")</f>
        <v>0.98421304447854463</v>
      </c>
      <c r="CW118" s="169">
        <f>IFERROR(Inv_SY_B!CW118/Inv_SY_B!$DB118-1,"")</f>
        <v>-1</v>
      </c>
      <c r="CX118" s="169">
        <f>IFERROR(Inv_SY_B!CX118/Inv_SY_B!$DB118-1,"")</f>
        <v>0.2809633800971123</v>
      </c>
      <c r="CY118" s="169">
        <f>IFERROR(Inv_SY_B!CY118/Inv_SY_B!$DB118-1,"")</f>
        <v>0.37621495808941297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-0.15642530652615738</v>
      </c>
      <c r="CN119" s="169">
        <f>IFERROR(Inv_SY_B!CN119/Inv_SY_B!$DB119-1,"")</f>
        <v>-0.2041341513112831</v>
      </c>
      <c r="CO119" s="169">
        <f>IFERROR(Inv_SY_B!CO119/Inv_SY_B!$DB119-1,"")</f>
        <v>-0.22791776280249509</v>
      </c>
      <c r="CP119" s="169">
        <f>IFERROR(Inv_SY_B!CP119/Inv_SY_B!$DB119-1,"")</f>
        <v>-0.30520021726826385</v>
      </c>
      <c r="CQ119" s="169">
        <f>IFERROR(Inv_SY_B!CQ119/Inv_SY_B!$DB119-1,"")</f>
        <v>1.3480202055067281E-3</v>
      </c>
      <c r="CR119" s="169">
        <f>IFERROR(Inv_SY_B!CR119/Inv_SY_B!$DB119-1,"")</f>
        <v>-0.44678175632815909</v>
      </c>
      <c r="CS119" s="169">
        <f>IFERROR(Inv_SY_B!CS119/Inv_SY_B!$DB119-1,"")</f>
        <v>-0.30914063270273784</v>
      </c>
      <c r="CT119" s="169">
        <f>IFERROR(Inv_SY_B!CT119/Inv_SY_B!$DB119-1,"")</f>
        <v>-0.25641948252230662</v>
      </c>
      <c r="CU119" s="169">
        <f>IFERROR(Inv_SY_B!CU119/Inv_SY_B!$DB119-1,"")</f>
        <v>0.2111416351572788</v>
      </c>
      <c r="CV119" s="169">
        <f>IFERROR(Inv_SY_B!CV119/Inv_SY_B!$DB119-1,"")</f>
        <v>1.03194625348651</v>
      </c>
      <c r="CW119" s="169">
        <f>IFERROR(Inv_SY_B!CW119/Inv_SY_B!$DB119-1,"")</f>
        <v>-1</v>
      </c>
      <c r="CX119" s="169">
        <f>IFERROR(Inv_SY_B!CX119/Inv_SY_B!$DB119-1,"")</f>
        <v>0.2867145143029417</v>
      </c>
      <c r="CY119" s="169">
        <f>IFERROR(Inv_SY_B!CY119/Inv_SY_B!$DB119-1,"")</f>
        <v>0.37486888630916448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-0.15706267297179077</v>
      </c>
      <c r="CN120" s="169">
        <f>IFERROR(Inv_SY_B!CN120/Inv_SY_B!$DB120-1,"")</f>
        <v>-0.20252041130772758</v>
      </c>
      <c r="CO120" s="169">
        <f>IFERROR(Inv_SY_B!CO120/Inv_SY_B!$DB120-1,"")</f>
        <v>-0.22715540525173394</v>
      </c>
      <c r="CP120" s="169">
        <f>IFERROR(Inv_SY_B!CP120/Inv_SY_B!$DB120-1,"")</f>
        <v>-0.30259933071641487</v>
      </c>
      <c r="CQ120" s="169">
        <f>IFERROR(Inv_SY_B!CQ120/Inv_SY_B!$DB120-1,"")</f>
        <v>1.0165842783247392E-3</v>
      </c>
      <c r="CR120" s="169">
        <f>IFERROR(Inv_SY_B!CR120/Inv_SY_B!$DB120-1,"")</f>
        <v>-0.44556800811537434</v>
      </c>
      <c r="CS120" s="169">
        <f>IFERROR(Inv_SY_B!CS120/Inv_SY_B!$DB120-1,"")</f>
        <v>-0.3220808826501621</v>
      </c>
      <c r="CT120" s="169">
        <f>IFERROR(Inv_SY_B!CT120/Inv_SY_B!$DB120-1,"")</f>
        <v>-0.2393608154117608</v>
      </c>
      <c r="CU120" s="169">
        <f>IFERROR(Inv_SY_B!CU120/Inv_SY_B!$DB120-1,"")</f>
        <v>0.2264707699265962</v>
      </c>
      <c r="CV120" s="169">
        <f>IFERROR(Inv_SY_B!CV120/Inv_SY_B!$DB120-1,"")</f>
        <v>1.0107795555944019</v>
      </c>
      <c r="CW120" s="169">
        <f>IFERROR(Inv_SY_B!CW120/Inv_SY_B!$DB120-1,"")</f>
        <v>-1</v>
      </c>
      <c r="CX120" s="169">
        <f>IFERROR(Inv_SY_B!CX120/Inv_SY_B!$DB120-1,"")</f>
        <v>0.2855706507014637</v>
      </c>
      <c r="CY120" s="169">
        <f>IFERROR(Inv_SY_B!CY120/Inv_SY_B!$DB120-1,"")</f>
        <v>0.3725099659241784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-0.18127930431836203</v>
      </c>
      <c r="CN121" s="169">
        <f>IFERROR(Inv_SY_B!CN121/Inv_SY_B!$DB121-1,"")</f>
        <v>-0.28972157352941941</v>
      </c>
      <c r="CO121" s="169">
        <f>IFERROR(Inv_SY_B!CO121/Inv_SY_B!$DB121-1,"")</f>
        <v>-0.18925073294846706</v>
      </c>
      <c r="CP121" s="169">
        <f>IFERROR(Inv_SY_B!CP121/Inv_SY_B!$DB121-1,"")</f>
        <v>-0.34022059523304016</v>
      </c>
      <c r="CQ121" s="169">
        <f>IFERROR(Inv_SY_B!CQ121/Inv_SY_B!$DB121-1,"")</f>
        <v>-1.3239355421349797E-2</v>
      </c>
      <c r="CR121" s="169">
        <f>IFERROR(Inv_SY_B!CR121/Inv_SY_B!$DB121-1,"")</f>
        <v>-0.26580049952178919</v>
      </c>
      <c r="CS121" s="169">
        <f>IFERROR(Inv_SY_B!CS121/Inv_SY_B!$DB121-1,"")</f>
        <v>-0.27196461286765461</v>
      </c>
      <c r="CT121" s="169">
        <f>IFERROR(Inv_SY_B!CT121/Inv_SY_B!$DB121-1,"")</f>
        <v>-0.22841381205447397</v>
      </c>
      <c r="CU121" s="169">
        <f>IFERROR(Inv_SY_B!CU121/Inv_SY_B!$DB121-1,"")</f>
        <v>0.18502845699865755</v>
      </c>
      <c r="CV121" s="169">
        <f>IFERROR(Inv_SY_B!CV121/Inv_SY_B!$DB121-1,"")</f>
        <v>0.97698301947834842</v>
      </c>
      <c r="CW121" s="169">
        <f>IFERROR(Inv_SY_B!CW121/Inv_SY_B!$DB121-1,"")</f>
        <v>-1</v>
      </c>
      <c r="CX121" s="169">
        <f>IFERROR(Inv_SY_B!CX121/Inv_SY_B!$DB121-1,"")</f>
        <v>0.27221939360104641</v>
      </c>
      <c r="CY121" s="169">
        <f>IFERROR(Inv_SY_B!CY121/Inv_SY_B!$DB121-1,"")</f>
        <v>0.3456596158165044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-0.17789901607874303</v>
      </c>
      <c r="CN122" s="169">
        <f>IFERROR(Inv_SY_B!CN122/Inv_SY_B!$DB122-1,"")</f>
        <v>-0.22028804841186733</v>
      </c>
      <c r="CO122" s="169">
        <f>IFERROR(Inv_SY_B!CO122/Inv_SY_B!$DB122-1,"")</f>
        <v>-0.18791486627271548</v>
      </c>
      <c r="CP122" s="169">
        <f>IFERROR(Inv_SY_B!CP122/Inv_SY_B!$DB122-1,"")</f>
        <v>-0.24622532503835126</v>
      </c>
      <c r="CQ122" s="169">
        <f>IFERROR(Inv_SY_B!CQ122/Inv_SY_B!$DB122-1,"")</f>
        <v>1.0398967567938566E-2</v>
      </c>
      <c r="CR122" s="169">
        <f>IFERROR(Inv_SY_B!CR122/Inv_SY_B!$DB122-1,"")</f>
        <v>-0.17892063279852832</v>
      </c>
      <c r="CS122" s="169">
        <f>IFERROR(Inv_SY_B!CS122/Inv_SY_B!$DB122-1,"")</f>
        <v>-0.20418060698772655</v>
      </c>
      <c r="CT122" s="169">
        <f>IFERROR(Inv_SY_B!CT122/Inv_SY_B!$DB122-1,"")</f>
        <v>-0.22774790249414389</v>
      </c>
      <c r="CU122" s="169">
        <f>IFERROR(Inv_SY_B!CU122/Inv_SY_B!$DB122-1,"")</f>
        <v>0.11955504159858155</v>
      </c>
      <c r="CV122" s="169">
        <f>IFERROR(Inv_SY_B!CV122/Inv_SY_B!$DB122-1,"")</f>
        <v>0.83885667774563677</v>
      </c>
      <c r="CW122" s="169">
        <f>IFERROR(Inv_SY_B!CW122/Inv_SY_B!$DB122-1,"")</f>
        <v>-1</v>
      </c>
      <c r="CX122" s="169">
        <f>IFERROR(Inv_SY_B!CX122/Inv_SY_B!$DB122-1,"")</f>
        <v>0.20115083451214333</v>
      </c>
      <c r="CY122" s="169">
        <f>IFERROR(Inv_SY_B!CY122/Inv_SY_B!$DB122-1,"")</f>
        <v>0.27321487665777511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-0.18397824054765466</v>
      </c>
      <c r="CN123" s="169">
        <f>IFERROR(Inv_SY_B!CN123/Inv_SY_B!$DB123-1,"")</f>
        <v>-0.18385269616323863</v>
      </c>
      <c r="CO123" s="169">
        <f>IFERROR(Inv_SY_B!CO123/Inv_SY_B!$DB123-1,"")</f>
        <v>-0.1867234777535498</v>
      </c>
      <c r="CP123" s="169">
        <f>IFERROR(Inv_SY_B!CP123/Inv_SY_B!$DB123-1,"")</f>
        <v>-0.21613673353099827</v>
      </c>
      <c r="CQ123" s="169">
        <f>IFERROR(Inv_SY_B!CQ123/Inv_SY_B!$DB123-1,"")</f>
        <v>-8.8192385121388384E-3</v>
      </c>
      <c r="CR123" s="169">
        <f>IFERROR(Inv_SY_B!CR123/Inv_SY_B!$DB123-1,"")</f>
        <v>-0.19378388469246155</v>
      </c>
      <c r="CS123" s="169">
        <f>IFERROR(Inv_SY_B!CS123/Inv_SY_B!$DB123-1,"")</f>
        <v>-0.2163119875133388</v>
      </c>
      <c r="CT123" s="169">
        <f>IFERROR(Inv_SY_B!CT123/Inv_SY_B!$DB123-1,"")</f>
        <v>-0.23716721141187413</v>
      </c>
      <c r="CU123" s="169">
        <f>IFERROR(Inv_SY_B!CU123/Inv_SY_B!$DB123-1,"")</f>
        <v>0.12436051124989622</v>
      </c>
      <c r="CV123" s="169">
        <f>IFERROR(Inv_SY_B!CV123/Inv_SY_B!$DB123-1,"")</f>
        <v>0.83392139993320824</v>
      </c>
      <c r="CW123" s="169">
        <f>IFERROR(Inv_SY_B!CW123/Inv_SY_B!$DB123-1,"")</f>
        <v>-1</v>
      </c>
      <c r="CX123" s="169">
        <f>IFERROR(Inv_SY_B!CX123/Inv_SY_B!$DB123-1,"")</f>
        <v>0.19298572215309706</v>
      </c>
      <c r="CY123" s="169">
        <f>IFERROR(Inv_SY_B!CY123/Inv_SY_B!$DB123-1,"")</f>
        <v>0.27550583678905305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-0.19206250730359531</v>
      </c>
      <c r="CN124" s="169">
        <f>IFERROR(Inv_SY_B!CN124/Inv_SY_B!$DB124-1,"")</f>
        <v>-0.18326722412843532</v>
      </c>
      <c r="CO124" s="169">
        <f>IFERROR(Inv_SY_B!CO124/Inv_SY_B!$DB124-1,"")</f>
        <v>-0.17588835349365783</v>
      </c>
      <c r="CP124" s="169">
        <f>IFERROR(Inv_SY_B!CP124/Inv_SY_B!$DB124-1,"")</f>
        <v>-0.21106138655319051</v>
      </c>
      <c r="CQ124" s="169">
        <f>IFERROR(Inv_SY_B!CQ124/Inv_SY_B!$DB124-1,"")</f>
        <v>-1.7579009342640894E-2</v>
      </c>
      <c r="CR124" s="169">
        <f>IFERROR(Inv_SY_B!CR124/Inv_SY_B!$DB124-1,"")</f>
        <v>-0.19724208751177785</v>
      </c>
      <c r="CS124" s="169">
        <f>IFERROR(Inv_SY_B!CS124/Inv_SY_B!$DB124-1,"")</f>
        <v>-0.22502697316384901</v>
      </c>
      <c r="CT124" s="169">
        <f>IFERROR(Inv_SY_B!CT124/Inv_SY_B!$DB124-1,"")</f>
        <v>-0.24620356168786017</v>
      </c>
      <c r="CU124" s="169">
        <f>IFERROR(Inv_SY_B!CU124/Inv_SY_B!$DB124-1,"")</f>
        <v>0.15182118313519011</v>
      </c>
      <c r="CV124" s="169">
        <f>IFERROR(Inv_SY_B!CV124/Inv_SY_B!$DB124-1,"")</f>
        <v>0.83230056732578328</v>
      </c>
      <c r="CW124" s="169">
        <f>IFERROR(Inv_SY_B!CW124/Inv_SY_B!$DB124-1,"")</f>
        <v>-1</v>
      </c>
      <c r="CX124" s="169">
        <f>IFERROR(Inv_SY_B!CX124/Inv_SY_B!$DB124-1,"")</f>
        <v>0.17597651165253136</v>
      </c>
      <c r="CY124" s="169">
        <f>IFERROR(Inv_SY_B!CY124/Inv_SY_B!$DB124-1,"")</f>
        <v>0.28823284107150271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0.26843570491572954</v>
      </c>
      <c r="CN125" s="169">
        <f>IFERROR(Inv_SY_B!CN125/Inv_SY_B!$DB125-1,"")</f>
        <v>0.24904216166465964</v>
      </c>
      <c r="CO125" s="169">
        <f>IFERROR(Inv_SY_B!CO125/Inv_SY_B!$DB125-1,"")</f>
        <v>0.28308604278919725</v>
      </c>
      <c r="CP125" s="169">
        <f>IFERROR(Inv_SY_B!CP125/Inv_SY_B!$DB125-1,"")</f>
        <v>0.2013706684920249</v>
      </c>
      <c r="CQ125" s="169">
        <f>IFERROR(Inv_SY_B!CQ125/Inv_SY_B!$DB125-1,"")</f>
        <v>0.47650151653906736</v>
      </c>
      <c r="CR125" s="169">
        <f>IFERROR(Inv_SY_B!CR125/Inv_SY_B!$DB125-1,"")</f>
        <v>0.26160675710051606</v>
      </c>
      <c r="CS125" s="169">
        <f>IFERROR(Inv_SY_B!CS125/Inv_SY_B!$DB125-1,"")</f>
        <v>0.20424005101614284</v>
      </c>
      <c r="CT125" s="169">
        <f>IFERROR(Inv_SY_B!CT125/Inv_SY_B!$DB125-1,"")</f>
        <v>0.20101461372625828</v>
      </c>
      <c r="CU125" s="169">
        <f>IFERROR(Inv_SY_B!CU125/Inv_SY_B!$DB125-1,"")</f>
        <v>-0.70068709911131832</v>
      </c>
      <c r="CV125" s="169">
        <f>IFERROR(Inv_SY_B!CV125/Inv_SY_B!$DB125-1,"")</f>
        <v>-0.53062207819586349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-0.91398833893641473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-0.99842080887974438</v>
      </c>
      <c r="CV157" s="169">
        <f>IFERROR(Inv_SY_B!CV157/Inv_SY_B!$DB157-1,"")</f>
        <v>-1</v>
      </c>
      <c r="CW157" s="169">
        <f>IFERROR(Inv_SY_B!CW157/Inv_SY_B!$DB157-1,"")</f>
        <v>-0.99925134643187885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0.41121086217935598</v>
      </c>
      <c r="CN158" s="169">
        <f>IFERROR(Inv_SY_B!CN158/Inv_SY_B!$DB158-1,"")</f>
        <v>0.34288602085152275</v>
      </c>
      <c r="CO158" s="169">
        <f>IFERROR(Inv_SY_B!CO158/Inv_SY_B!$DB158-1,"")</f>
        <v>0.37225105310078477</v>
      </c>
      <c r="CP158" s="169">
        <f>IFERROR(Inv_SY_B!CP158/Inv_SY_B!$DB158-1,"")</f>
        <v>0.28565261744507908</v>
      </c>
      <c r="CQ158" s="169">
        <f>IFERROR(Inv_SY_B!CQ158/Inv_SY_B!$DB158-1,"")</f>
        <v>0.3519256665936481</v>
      </c>
      <c r="CR158" s="169">
        <f>IFERROR(Inv_SY_B!CR158/Inv_SY_B!$DB158-1,"")</f>
        <v>0.39888035316021764</v>
      </c>
      <c r="CS158" s="169">
        <f>IFERROR(Inv_SY_B!CS158/Inv_SY_B!$DB158-1,"")</f>
        <v>0.3519256665936481</v>
      </c>
      <c r="CT158" s="169">
        <f>IFERROR(Inv_SY_B!CT158/Inv_SY_B!$DB158-1,"")</f>
        <v>0.27938331375203762</v>
      </c>
      <c r="CU158" s="169">
        <f>IFERROR(Inv_SY_B!CU158/Inv_SY_B!$DB158-1,"")</f>
        <v>6.3295032408695384E-2</v>
      </c>
      <c r="CV158" s="169">
        <f>IFERROR(Inv_SY_B!CV158/Inv_SY_B!$DB158-1,"")</f>
        <v>-0.61592121550041923</v>
      </c>
      <c r="CW158" s="169">
        <f>IFERROR(Inv_SY_B!CW158/Inv_SY_B!$DB158-1,"")</f>
        <v>-0.30031068806669781</v>
      </c>
      <c r="CX158" s="169">
        <f>IFERROR(Inv_SY_B!CX158/Inv_SY_B!$DB158-1,"")</f>
        <v>-0.47057271944322898</v>
      </c>
      <c r="CY158" s="169">
        <f>IFERROR(Inv_SY_B!CY158/Inv_SY_B!$DB158-1,"")</f>
        <v>-0.82711584721384046</v>
      </c>
      <c r="CZ158" s="169">
        <f>IFERROR(Inv_SY_B!CZ158/Inv_SY_B!$DB158-1,"")</f>
        <v>-0.64349011586080529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0.18252948042688777</v>
      </c>
      <c r="CN159" s="169">
        <f>IFERROR(Inv_SY_B!CN159/Inv_SY_B!$DB159-1,"")</f>
        <v>0.11700465236215973</v>
      </c>
      <c r="CO159" s="169">
        <f>IFERROR(Inv_SY_B!CO159/Inv_SY_B!$DB159-1,"")</f>
        <v>0.14818557126021448</v>
      </c>
      <c r="CP159" s="169">
        <f>IFERROR(Inv_SY_B!CP159/Inv_SY_B!$DB159-1,"")</f>
        <v>8.4332661697865019E-2</v>
      </c>
      <c r="CQ159" s="169">
        <f>IFERROR(Inv_SY_B!CQ159/Inv_SY_B!$DB159-1,"")</f>
        <v>0.14921588853521484</v>
      </c>
      <c r="CR159" s="169">
        <f>IFERROR(Inv_SY_B!CR159/Inv_SY_B!$DB159-1,"")</f>
        <v>0.18645155485372156</v>
      </c>
      <c r="CS159" s="169">
        <f>IFERROR(Inv_SY_B!CS159/Inv_SY_B!$DB159-1,"")</f>
        <v>0.14841224106071471</v>
      </c>
      <c r="CT159" s="169">
        <f>IFERROR(Inv_SY_B!CT159/Inv_SY_B!$DB159-1,"")</f>
        <v>8.1977383168702067E-2</v>
      </c>
      <c r="CU159" s="169">
        <f>IFERROR(Inv_SY_B!CU159/Inv_SY_B!$DB159-1,"")</f>
        <v>8.8942327947703514E-2</v>
      </c>
      <c r="CV159" s="169">
        <f>IFERROR(Inv_SY_B!CV159/Inv_SY_B!$DB159-1,"")</f>
        <v>-0.62460733524459644</v>
      </c>
      <c r="CW159" s="169">
        <f>IFERROR(Inv_SY_B!CW159/Inv_SY_B!$DB159-1,"")</f>
        <v>-0.35684390262965759</v>
      </c>
      <c r="CX159" s="169">
        <f>IFERROR(Inv_SY_B!CX159/Inv_SY_B!$DB159-1,"")</f>
        <v>0.13180352658771133</v>
      </c>
      <c r="CY159" s="169">
        <f>IFERROR(Inv_SY_B!CY159/Inv_SY_B!$DB159-1,"")</f>
        <v>-8.0407488153161566E-2</v>
      </c>
      <c r="CZ159" s="169">
        <f>IFERROR(Inv_SY_B!CZ159/Inv_SY_B!$DB159-1,"")</f>
        <v>-0.25699656187347819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0.35886458919498332</v>
      </c>
      <c r="CN160" s="169">
        <f>IFERROR(Inv_SY_B!CN160/Inv_SY_B!$DB160-1,"")</f>
        <v>0.27755121722527765</v>
      </c>
      <c r="CO160" s="169">
        <f>IFERROR(Inv_SY_B!CO160/Inv_SY_B!$DB160-1,"")</f>
        <v>0.31584562437875885</v>
      </c>
      <c r="CP160" s="169">
        <f>IFERROR(Inv_SY_B!CP160/Inv_SY_B!$DB160-1,"")</f>
        <v>0.24873364037974421</v>
      </c>
      <c r="CQ160" s="169">
        <f>IFERROR(Inv_SY_B!CQ160/Inv_SY_B!$DB160-1,"")</f>
        <v>0.33206128290323589</v>
      </c>
      <c r="CR160" s="169">
        <f>IFERROR(Inv_SY_B!CR160/Inv_SY_B!$DB160-1,"")</f>
        <v>0.36968009164877969</v>
      </c>
      <c r="CS160" s="169">
        <f>IFERROR(Inv_SY_B!CS160/Inv_SY_B!$DB160-1,"")</f>
        <v>0.32844750757492402</v>
      </c>
      <c r="CT160" s="169">
        <f>IFERROR(Inv_SY_B!CT160/Inv_SY_B!$DB160-1,"")</f>
        <v>0.25048474803297771</v>
      </c>
      <c r="CU160" s="169">
        <f>IFERROR(Inv_SY_B!CU160/Inv_SY_B!$DB160-1,"")</f>
        <v>-0.24801877321243448</v>
      </c>
      <c r="CV160" s="169">
        <f>IFERROR(Inv_SY_B!CV160/Inv_SY_B!$DB160-1,"")</f>
        <v>-0.8154802367882612</v>
      </c>
      <c r="CW160" s="169">
        <f>IFERROR(Inv_SY_B!CW160/Inv_SY_B!$DB160-1,"")</f>
        <v>-0.4647663032864976</v>
      </c>
      <c r="CX160" s="169">
        <f>IFERROR(Inv_SY_B!CX160/Inv_SY_B!$DB160-1,"")</f>
        <v>-0.17060894104312641</v>
      </c>
      <c r="CY160" s="169">
        <f>IFERROR(Inv_SY_B!CY160/Inv_SY_B!$DB160-1,"")</f>
        <v>-0.32409185788745332</v>
      </c>
      <c r="CZ160" s="169">
        <f>IFERROR(Inv_SY_B!CZ160/Inv_SY_B!$DB160-1,"")</f>
        <v>-0.45870258912091222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0.20457359881705983</v>
      </c>
      <c r="CN161" s="169">
        <f>IFERROR(Inv_SY_B!CN161/Inv_SY_B!$DB161-1,"")</f>
        <v>0.14215566825233128</v>
      </c>
      <c r="CO161" s="169">
        <f>IFERROR(Inv_SY_B!CO161/Inv_SY_B!$DB161-1,"")</f>
        <v>0.16474163260760188</v>
      </c>
      <c r="CP161" s="169">
        <f>IFERROR(Inv_SY_B!CP161/Inv_SY_B!$DB161-1,"")</f>
        <v>8.9986682320724709E-2</v>
      </c>
      <c r="CQ161" s="169">
        <f>IFERROR(Inv_SY_B!CQ161/Inv_SY_B!$DB161-1,"")</f>
        <v>0.14734090081739248</v>
      </c>
      <c r="CR161" s="169">
        <f>IFERROR(Inv_SY_B!CR161/Inv_SY_B!$DB161-1,"")</f>
        <v>0.193475588921459</v>
      </c>
      <c r="CS161" s="169">
        <f>IFERROR(Inv_SY_B!CS161/Inv_SY_B!$DB161-1,"")</f>
        <v>0.15651427131123463</v>
      </c>
      <c r="CT161" s="169">
        <f>IFERROR(Inv_SY_B!CT161/Inv_SY_B!$DB161-1,"")</f>
        <v>9.5715582198763194E-2</v>
      </c>
      <c r="CU161" s="169">
        <f>IFERROR(Inv_SY_B!CU161/Inv_SY_B!$DB161-1,"")</f>
        <v>-5.6548976217271063E-2</v>
      </c>
      <c r="CV161" s="169">
        <f>IFERROR(Inv_SY_B!CV161/Inv_SY_B!$DB161-1,"")</f>
        <v>-0.77537518090018021</v>
      </c>
      <c r="CW161" s="169">
        <f>IFERROR(Inv_SY_B!CW161/Inv_SY_B!$DB161-1,"")</f>
        <v>-0.29577083741678123</v>
      </c>
      <c r="CX161" s="169">
        <f>IFERROR(Inv_SY_B!CX161/Inv_SY_B!$DB161-1,"")</f>
        <v>0.16374583345236515</v>
      </c>
      <c r="CY161" s="169">
        <f>IFERROR(Inv_SY_B!CY161/Inv_SY_B!$DB161-1,"")</f>
        <v>-1.491427015781599E-2</v>
      </c>
      <c r="CZ161" s="169">
        <f>IFERROR(Inv_SY_B!CZ161/Inv_SY_B!$DB161-1,"")</f>
        <v>-0.21564049400688712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0.16915802394775281</v>
      </c>
      <c r="CN162" s="169">
        <f>IFERROR(Inv_SY_B!CN162/Inv_SY_B!$DB162-1,"")</f>
        <v>0.12070473670344994</v>
      </c>
      <c r="CO162" s="169">
        <f>IFERROR(Inv_SY_B!CO162/Inv_SY_B!$DB162-1,"")</f>
        <v>0.17079779677236373</v>
      </c>
      <c r="CP162" s="169">
        <f>IFERROR(Inv_SY_B!CP162/Inv_SY_B!$DB162-1,"")</f>
        <v>8.5093046997719801E-2</v>
      </c>
      <c r="CQ162" s="169">
        <f>IFERROR(Inv_SY_B!CQ162/Inv_SY_B!$DB162-1,"")</f>
        <v>0.16211212509200146</v>
      </c>
      <c r="CR162" s="169">
        <f>IFERROR(Inv_SY_B!CR162/Inv_SY_B!$DB162-1,"")</f>
        <v>0.21187410602887313</v>
      </c>
      <c r="CS162" s="169">
        <f>IFERROR(Inv_SY_B!CS162/Inv_SY_B!$DB162-1,"")</f>
        <v>0.1699061702989817</v>
      </c>
      <c r="CT162" s="169">
        <f>IFERROR(Inv_SY_B!CT162/Inv_SY_B!$DB162-1,"")</f>
        <v>0.10475594626114937</v>
      </c>
      <c r="CU162" s="169">
        <f>IFERROR(Inv_SY_B!CU162/Inv_SY_B!$DB162-1,"")</f>
        <v>-4.539600157246293E-2</v>
      </c>
      <c r="CV162" s="169">
        <f>IFERROR(Inv_SY_B!CV162/Inv_SY_B!$DB162-1,"")</f>
        <v>-0.82786484773644409</v>
      </c>
      <c r="CW162" s="169">
        <f>IFERROR(Inv_SY_B!CW162/Inv_SY_B!$DB162-1,"")</f>
        <v>-0.26882529750588646</v>
      </c>
      <c r="CX162" s="169">
        <f>IFERROR(Inv_SY_B!CX162/Inv_SY_B!$DB162-1,"")</f>
        <v>0.17150494880297718</v>
      </c>
      <c r="CY162" s="169">
        <f>IFERROR(Inv_SY_B!CY162/Inv_SY_B!$DB162-1,"")</f>
        <v>-1.5726362027154828E-2</v>
      </c>
      <c r="CZ162" s="169">
        <f>IFERROR(Inv_SY_B!CZ162/Inv_SY_B!$DB162-1,"")</f>
        <v>-0.20809439206331981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9.3116873606861494E-2</v>
      </c>
      <c r="CN163" s="169">
        <f>IFERROR(Inv_SY_B!CN163/Inv_SY_B!$DB163-1,"")</f>
        <v>2.9542998385686969E-2</v>
      </c>
      <c r="CO163" s="169">
        <f>IFERROR(Inv_SY_B!CO163/Inv_SY_B!$DB163-1,"")</f>
        <v>5.0009680083329622E-2</v>
      </c>
      <c r="CP163" s="169">
        <f>IFERROR(Inv_SY_B!CP163/Inv_SY_B!$DB163-1,"")</f>
        <v>-1.6311697948267923E-2</v>
      </c>
      <c r="CQ163" s="169">
        <f>IFERROR(Inv_SY_B!CQ163/Inv_SY_B!$DB163-1,"")</f>
        <v>3.7603619109390696E-2</v>
      </c>
      <c r="CR163" s="169">
        <f>IFERROR(Inv_SY_B!CR163/Inv_SY_B!$DB163-1,"")</f>
        <v>8.2827943801329296E-2</v>
      </c>
      <c r="CS163" s="169">
        <f>IFERROR(Inv_SY_B!CS163/Inv_SY_B!$DB163-1,"")</f>
        <v>5.7553438949947688E-2</v>
      </c>
      <c r="CT163" s="169">
        <f>IFERROR(Inv_SY_B!CT163/Inv_SY_B!$DB163-1,"")</f>
        <v>2.4606980379469068E-3</v>
      </c>
      <c r="CU163" s="169">
        <f>IFERROR(Inv_SY_B!CU163/Inv_SY_B!$DB163-1,"")</f>
        <v>-0.15609658895105771</v>
      </c>
      <c r="CV163" s="169">
        <f>IFERROR(Inv_SY_B!CV163/Inv_SY_B!$DB163-1,"")</f>
        <v>-0.10299173044309839</v>
      </c>
      <c r="CW163" s="169">
        <f>IFERROR(Inv_SY_B!CW163/Inv_SY_B!$DB163-1,"")</f>
        <v>-0.17430306747695934</v>
      </c>
      <c r="CX163" s="169">
        <f>IFERROR(Inv_SY_B!CX163/Inv_SY_B!$DB163-1,"")</f>
        <v>6.3801069362648732E-2</v>
      </c>
      <c r="CY163" s="169">
        <f>IFERROR(Inv_SY_B!CY163/Inv_SY_B!$DB163-1,"")</f>
        <v>7.8844897372719158E-2</v>
      </c>
      <c r="CZ163" s="169">
        <f>IFERROR(Inv_SY_B!CZ163/Inv_SY_B!$DB163-1,"")</f>
        <v>-4.6058133890476194E-2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5.3920449872946863E-2</v>
      </c>
      <c r="CN164" s="169">
        <f>IFERROR(Inv_SY_B!CN164/Inv_SY_B!$DB164-1,"")</f>
        <v>-4.730819189953106E-3</v>
      </c>
      <c r="CO164" s="169">
        <f>IFERROR(Inv_SY_B!CO164/Inv_SY_B!$DB164-1,"")</f>
        <v>1.7764286380465455E-2</v>
      </c>
      <c r="CP164" s="169">
        <f>IFERROR(Inv_SY_B!CP164/Inv_SY_B!$DB164-1,"")</f>
        <v>-4.2590722010435789E-2</v>
      </c>
      <c r="CQ164" s="169">
        <f>IFERROR(Inv_SY_B!CQ164/Inv_SY_B!$DB164-1,"")</f>
        <v>1.1956306170324504E-2</v>
      </c>
      <c r="CR164" s="169">
        <f>IFERROR(Inv_SY_B!CR164/Inv_SY_B!$DB164-1,"")</f>
        <v>5.3238557315851809E-2</v>
      </c>
      <c r="CS164" s="169">
        <f>IFERROR(Inv_SY_B!CS164/Inv_SY_B!$DB164-1,"")</f>
        <v>2.1078601367276351E-2</v>
      </c>
      <c r="CT164" s="169">
        <f>IFERROR(Inv_SY_B!CT164/Inv_SY_B!$DB164-1,"")</f>
        <v>-3.4582860851412378E-2</v>
      </c>
      <c r="CU164" s="169">
        <f>IFERROR(Inv_SY_B!CU164/Inv_SY_B!$DB164-1,"")</f>
        <v>-1.6132116893735948E-2</v>
      </c>
      <c r="CV164" s="169">
        <f>IFERROR(Inv_SY_B!CV164/Inv_SY_B!$DB164-1,"")</f>
        <v>1.0817056813028358E-3</v>
      </c>
      <c r="CW164" s="169">
        <f>IFERROR(Inv_SY_B!CW164/Inv_SY_B!$DB164-1,"")</f>
        <v>-0.1437755317964694</v>
      </c>
      <c r="CX164" s="169">
        <f>IFERROR(Inv_SY_B!CX164/Inv_SY_B!$DB164-1,"")</f>
        <v>4.3343186254751531E-2</v>
      </c>
      <c r="CY164" s="169">
        <f>IFERROR(Inv_SY_B!CY164/Inv_SY_B!$DB164-1,"")</f>
        <v>3.489089014006197E-2</v>
      </c>
      <c r="CZ164" s="169">
        <f>IFERROR(Inv_SY_B!CZ164/Inv_SY_B!$DB164-1,"")</f>
        <v>4.5380675590276365E-3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3.6166189142984972E-2</v>
      </c>
      <c r="CN165" s="169">
        <f>IFERROR(Inv_SY_B!CN165/Inv_SY_B!$DB165-1,"")</f>
        <v>-1.8047638410944367E-2</v>
      </c>
      <c r="CO165" s="169">
        <f>IFERROR(Inv_SY_B!CO165/Inv_SY_B!$DB165-1,"")</f>
        <v>7.7186297388731617E-3</v>
      </c>
      <c r="CP165" s="169">
        <f>IFERROR(Inv_SY_B!CP165/Inv_SY_B!$DB165-1,"")</f>
        <v>-4.9282940425253718E-2</v>
      </c>
      <c r="CQ165" s="169">
        <f>IFERROR(Inv_SY_B!CQ165/Inv_SY_B!$DB165-1,"")</f>
        <v>-7.2673945922241412E-4</v>
      </c>
      <c r="CR165" s="169">
        <f>IFERROR(Inv_SY_B!CR165/Inv_SY_B!$DB165-1,"")</f>
        <v>3.1416893208569663E-2</v>
      </c>
      <c r="CS165" s="169">
        <f>IFERROR(Inv_SY_B!CS165/Inv_SY_B!$DB165-1,"")</f>
        <v>-3.1539498266908161E-4</v>
      </c>
      <c r="CT165" s="169">
        <f>IFERROR(Inv_SY_B!CT165/Inv_SY_B!$DB165-1,"")</f>
        <v>-5.5788135820687201E-2</v>
      </c>
      <c r="CU165" s="169">
        <f>IFERROR(Inv_SY_B!CU165/Inv_SY_B!$DB165-1,"")</f>
        <v>-2.8639400368182688E-2</v>
      </c>
      <c r="CV165" s="169">
        <f>IFERROR(Inv_SY_B!CV165/Inv_SY_B!$DB165-1,"")</f>
        <v>-3.0576914930232624E-3</v>
      </c>
      <c r="CW165" s="169">
        <f>IFERROR(Inv_SY_B!CW165/Inv_SY_B!$DB165-1,"")</f>
        <v>-1.9459236335902519E-2</v>
      </c>
      <c r="CX165" s="169">
        <f>IFERROR(Inv_SY_B!CX165/Inv_SY_B!$DB165-1,"")</f>
        <v>2.4600327597118277E-2</v>
      </c>
      <c r="CY165" s="169">
        <f>IFERROR(Inv_SY_B!CY165/Inv_SY_B!$DB165-1,"")</f>
        <v>3.8576999261977551E-2</v>
      </c>
      <c r="CZ165" s="169">
        <f>IFERROR(Inv_SY_B!CZ165/Inv_SY_B!$DB165-1,"")</f>
        <v>3.6838138346363847E-2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1.5430549715581554E-2</v>
      </c>
      <c r="CN166" s="169">
        <f>IFERROR(Inv_SY_B!CN166/Inv_SY_B!$DB166-1,"")</f>
        <v>-3.7370230213686795E-2</v>
      </c>
      <c r="CO166" s="169">
        <f>IFERROR(Inv_SY_B!CO166/Inv_SY_B!$DB166-1,"")</f>
        <v>-1.9836997568180137E-2</v>
      </c>
      <c r="CP166" s="169">
        <f>IFERROR(Inv_SY_B!CP166/Inv_SY_B!$DB166-1,"")</f>
        <v>-8.0414616312964982E-2</v>
      </c>
      <c r="CQ166" s="169">
        <f>IFERROR(Inv_SY_B!CQ166/Inv_SY_B!$DB166-1,"")</f>
        <v>-3.0664878866948797E-2</v>
      </c>
      <c r="CR166" s="169">
        <f>IFERROR(Inv_SY_B!CR166/Inv_SY_B!$DB166-1,"")</f>
        <v>8.3541392540993353E-3</v>
      </c>
      <c r="CS166" s="169">
        <f>IFERROR(Inv_SY_B!CS166/Inv_SY_B!$DB166-1,"")</f>
        <v>-1.9333175464126384E-2</v>
      </c>
      <c r="CT166" s="169">
        <f>IFERROR(Inv_SY_B!CT166/Inv_SY_B!$DB166-1,"")</f>
        <v>-8.6095329502429374E-2</v>
      </c>
      <c r="CU166" s="169">
        <f>IFERROR(Inv_SY_B!CU166/Inv_SY_B!$DB166-1,"")</f>
        <v>7.7587131311267488E-3</v>
      </c>
      <c r="CV166" s="169">
        <f>IFERROR(Inv_SY_B!CV166/Inv_SY_B!$DB166-1,"")</f>
        <v>4.1102576017592485E-2</v>
      </c>
      <c r="CW166" s="169">
        <f>IFERROR(Inv_SY_B!CW166/Inv_SY_B!$DB166-1,"")</f>
        <v>4.1598764453403048E-2</v>
      </c>
      <c r="CX166" s="169">
        <f>IFERROR(Inv_SY_B!CX166/Inv_SY_B!$DB166-1,"")</f>
        <v>9.4705632346729907E-3</v>
      </c>
      <c r="CY166" s="169">
        <f>IFERROR(Inv_SY_B!CY166/Inv_SY_B!$DB166-1,"")</f>
        <v>9.0774855276345212E-2</v>
      </c>
      <c r="CZ166" s="169">
        <f>IFERROR(Inv_SY_B!CZ166/Inv_SY_B!$DB166-1,"")</f>
        <v>5.9225066845513874E-2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2.1001426630901987E-2</v>
      </c>
      <c r="CN167" s="169">
        <f>IFERROR(Inv_SY_B!CN167/Inv_SY_B!$DB167-1,"")</f>
        <v>-5.0677315581484916E-2</v>
      </c>
      <c r="CO167" s="169">
        <f>IFERROR(Inv_SY_B!CO167/Inv_SY_B!$DB167-1,"")</f>
        <v>-1.57914175720133E-2</v>
      </c>
      <c r="CP167" s="169">
        <f>IFERROR(Inv_SY_B!CP167/Inv_SY_B!$DB167-1,"")</f>
        <v>-7.5042231613071886E-2</v>
      </c>
      <c r="CQ167" s="169">
        <f>IFERROR(Inv_SY_B!CQ167/Inv_SY_B!$DB167-1,"")</f>
        <v>-1.8665858525366175E-2</v>
      </c>
      <c r="CR167" s="169">
        <f>IFERROR(Inv_SY_B!CR167/Inv_SY_B!$DB167-1,"")</f>
        <v>2.2381158288511172E-2</v>
      </c>
      <c r="CS167" s="169">
        <f>IFERROR(Inv_SY_B!CS167/Inv_SY_B!$DB167-1,"")</f>
        <v>-6.248273606882182E-3</v>
      </c>
      <c r="CT167" s="169">
        <f>IFERROR(Inv_SY_B!CT167/Inv_SY_B!$DB167-1,"")</f>
        <v>-8.9377105977844207E-2</v>
      </c>
      <c r="CU167" s="169">
        <f>IFERROR(Inv_SY_B!CU167/Inv_SY_B!$DB167-1,"")</f>
        <v>2.6750308537607514E-2</v>
      </c>
      <c r="CV167" s="169">
        <f>IFERROR(Inv_SY_B!CV167/Inv_SY_B!$DB167-1,"")</f>
        <v>2.9739727129094451E-2</v>
      </c>
      <c r="CW167" s="169">
        <f>IFERROR(Inv_SY_B!CW167/Inv_SY_B!$DB167-1,"")</f>
        <v>2.7440174366412107E-2</v>
      </c>
      <c r="CX167" s="169">
        <f>IFERROR(Inv_SY_B!CX167/Inv_SY_B!$DB167-1,"")</f>
        <v>7.5490429692111061E-3</v>
      </c>
      <c r="CY167" s="169">
        <f>IFERROR(Inv_SY_B!CY167/Inv_SY_B!$DB167-1,"")</f>
        <v>6.9115145973175807E-2</v>
      </c>
      <c r="CZ167" s="169">
        <f>IFERROR(Inv_SY_B!CZ167/Inv_SY_B!$DB167-1,"")</f>
        <v>5.1825218981748744E-2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3.5297902002490167E-2</v>
      </c>
      <c r="CN168" s="169">
        <f>IFERROR(Inv_SY_B!CN168/Inv_SY_B!$DB168-1,"")</f>
        <v>-3.4111645205067376E-2</v>
      </c>
      <c r="CO168" s="169">
        <f>IFERROR(Inv_SY_B!CO168/Inv_SY_B!$DB168-1,"")</f>
        <v>1.5073231933031561E-3</v>
      </c>
      <c r="CP168" s="169">
        <f>IFERROR(Inv_SY_B!CP168/Inv_SY_B!$DB168-1,"")</f>
        <v>-7.4655158979144987E-2</v>
      </c>
      <c r="CQ168" s="169">
        <f>IFERROR(Inv_SY_B!CQ168/Inv_SY_B!$DB168-1,"")</f>
        <v>-5.0502497426184734E-3</v>
      </c>
      <c r="CR168" s="169">
        <f>IFERROR(Inv_SY_B!CR168/Inv_SY_B!$DB168-1,"")</f>
        <v>2.2427666838402693E-2</v>
      </c>
      <c r="CS168" s="169">
        <f>IFERROR(Inv_SY_B!CS168/Inv_SY_B!$DB168-1,"")</f>
        <v>-5.8116025949892514E-3</v>
      </c>
      <c r="CT168" s="169">
        <f>IFERROR(Inv_SY_B!CT168/Inv_SY_B!$DB168-1,"")</f>
        <v>-8.8868277399083873E-2</v>
      </c>
      <c r="CU168" s="169">
        <f>IFERROR(Inv_SY_B!CU168/Inv_SY_B!$DB168-1,"")</f>
        <v>3.0133480556338244E-2</v>
      </c>
      <c r="CV168" s="169">
        <f>IFERROR(Inv_SY_B!CV168/Inv_SY_B!$DB168-1,"")</f>
        <v>3.1010189901492513E-2</v>
      </c>
      <c r="CW168" s="169">
        <f>IFERROR(Inv_SY_B!CW168/Inv_SY_B!$DB168-1,"")</f>
        <v>2.1781670478815185E-2</v>
      </c>
      <c r="CX168" s="169">
        <f>IFERROR(Inv_SY_B!CX168/Inv_SY_B!$DB168-1,"")</f>
        <v>-1.5778403571480748E-2</v>
      </c>
      <c r="CY168" s="169">
        <f>IFERROR(Inv_SY_B!CY168/Inv_SY_B!$DB168-1,"")</f>
        <v>3.5013947558715675E-2</v>
      </c>
      <c r="CZ168" s="169">
        <f>IFERROR(Inv_SY_B!CZ168/Inv_SY_B!$DB168-1,"")</f>
        <v>4.7103156962824855E-2</v>
      </c>
    </row>
    <row r="169" spans="2:104">
      <c r="B169" s="164">
        <f t="shared" si="3"/>
        <v>45861</v>
      </c>
      <c r="C169" s="169">
        <f>IFERROR(Inv_SY_B!C169/Inv_SY_B!$DA169-1,"")</f>
        <v>3.532353369429031E-2</v>
      </c>
      <c r="D169" s="169">
        <f>IFERROR(Inv_SY_B!D169/Inv_SY_B!$DA169-1,"")</f>
        <v>3.2516092990879208E-2</v>
      </c>
      <c r="E169" s="169">
        <f>IFERROR(Inv_SY_B!E169/Inv_SY_B!$DA169-1,"")</f>
        <v>2.4242023395402823E-2</v>
      </c>
      <c r="F169" s="169">
        <f>IFERROR(Inv_SY_B!F169/Inv_SY_B!$DA169-1,"")</f>
        <v>1.9478896195320283E-2</v>
      </c>
      <c r="G169" s="169">
        <f>IFERROR(Inv_SY_B!G169/Inv_SY_B!$DA169-1,"")</f>
        <v>3.0775985669717176E-2</v>
      </c>
      <c r="H169" s="169">
        <f>IFERROR(Inv_SY_B!H169/Inv_SY_B!$DA169-1,"")</f>
        <v>2.8680605974767515E-2</v>
      </c>
      <c r="I169" s="169">
        <f>IFERROR(Inv_SY_B!I169/Inv_SY_B!$DA169-1,"")</f>
        <v>6.0711905090491625E-2</v>
      </c>
      <c r="J169" s="169">
        <f>IFERROR(Inv_SY_B!J169/Inv_SY_B!$DA169-1,"")</f>
        <v>2.3922991077973688E-3</v>
      </c>
      <c r="K169" s="169">
        <f>IFERROR(Inv_SY_B!K169/Inv_SY_B!$DA169-1,"")</f>
        <v>4.3054510183715422E-2</v>
      </c>
      <c r="L169" s="169">
        <f>IFERROR(Inv_SY_B!L169/Inv_SY_B!$DA169-1,"")</f>
        <v>4.1279817045427381E-2</v>
      </c>
      <c r="M169" s="169">
        <f>IFERROR(Inv_SY_B!M169/Inv_SY_B!$DA169-1,"")</f>
        <v>4.1284448562000309E-2</v>
      </c>
      <c r="N169" s="169">
        <f>IFERROR(Inv_SY_B!N169/Inv_SY_B!$DA169-1,"")</f>
        <v>3.0404361054589435E-2</v>
      </c>
      <c r="O169" s="169">
        <f>IFERROR(Inv_SY_B!O169/Inv_SY_B!$DA169-1,"")</f>
        <v>3.1564776829410501E-2</v>
      </c>
      <c r="P169" s="169">
        <f>IFERROR(Inv_SY_B!P169/Inv_SY_B!$DA169-1,"")</f>
        <v>4.1112135605085864E-3</v>
      </c>
      <c r="Q169" s="169">
        <f>IFERROR(Inv_SY_B!Q169/Inv_SY_B!$DA169-1,"")</f>
        <v>-1.9351997563073597E-2</v>
      </c>
      <c r="R169" s="169">
        <f>IFERROR(Inv_SY_B!R169/Inv_SY_B!$DA169-1,"")</f>
        <v>-6.6179652121806765E-2</v>
      </c>
      <c r="S169" s="169">
        <f>IFERROR(Inv_SY_B!S169/Inv_SY_B!$DA169-1,"")</f>
        <v>-1.8332511395965589E-2</v>
      </c>
      <c r="T169" s="169">
        <f>IFERROR(Inv_SY_B!T169/Inv_SY_B!$DA169-1,"")</f>
        <v>3.5736321513062386E-3</v>
      </c>
      <c r="U169" s="169">
        <f>IFERROR(Inv_SY_B!U169/Inv_SY_B!$DA169-1,"")</f>
        <v>7.459074429188095E-2</v>
      </c>
      <c r="V169" s="169">
        <f>IFERROR(Inv_SY_B!V169/Inv_SY_B!$DA169-1,"")</f>
        <v>0.10179488193728181</v>
      </c>
      <c r="W169" s="169">
        <f>IFERROR(Inv_SY_B!W169/Inv_SY_B!$DA169-1,"")</f>
        <v>4.9855379259616583E-2</v>
      </c>
      <c r="X169" s="169">
        <f>IFERROR(Inv_SY_B!X169/Inv_SY_B!$DA169-1,"")</f>
        <v>3.8076121050882872E-3</v>
      </c>
      <c r="Y169" s="169">
        <f>IFERROR(Inv_SY_B!Y169/Inv_SY_B!$DA169-1,"")</f>
        <v>6.7922373618447551E-3</v>
      </c>
      <c r="Z169" s="169">
        <f>IFERROR(Inv_SY_B!Z169/Inv_SY_B!$DA169-1,"")</f>
        <v>2.7462836867627072E-2</v>
      </c>
      <c r="AA169" s="169">
        <f>IFERROR(Inv_SY_B!AA169/Inv_SY_B!$DA169-1,"")</f>
        <v>-0.45853468698717914</v>
      </c>
      <c r="AB169" s="169">
        <f>IFERROR(Inv_SY_B!AB169/Inv_SY_B!$DA169-1,"")</f>
        <v>-0.40810547996789803</v>
      </c>
      <c r="AC169" s="169">
        <f>IFERROR(Inv_SY_B!AC169/Inv_SY_B!$DA169-1,"")</f>
        <v>5.1521720819402539E-2</v>
      </c>
      <c r="AD169" s="169">
        <f>IFERROR(Inv_SY_B!AD169/Inv_SY_B!$DA169-1,"")</f>
        <v>2.3831786037997515E-2</v>
      </c>
      <c r="AE169" s="169">
        <f>IFERROR(Inv_SY_B!AE169/Inv_SY_B!$DA169-1,"")</f>
        <v>4.2352685448940219E-2</v>
      </c>
      <c r="AF169" s="169">
        <f>IFERROR(Inv_SY_B!AF169/Inv_SY_B!$DA169-1,"")</f>
        <v>7.107417106736369E-2</v>
      </c>
      <c r="AG169" s="169">
        <f>IFERROR(Inv_SY_B!AG169/Inv_SY_B!$DA169-1,"")</f>
        <v>4.99522111556292E-2</v>
      </c>
      <c r="AH169" s="169">
        <f>IFERROR(Inv_SY_B!AH169/Inv_SY_B!$DA169-1,"")</f>
        <v>3.8073960177632538E-2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2.2371974849309861E-2</v>
      </c>
      <c r="CN169" s="169">
        <f>IFERROR(Inv_SY_B!CN169/Inv_SY_B!$DB169-1,"")</f>
        <v>-1.0236824548542911E-3</v>
      </c>
      <c r="CO169" s="169">
        <f>IFERROR(Inv_SY_B!CO169/Inv_SY_B!$DB169-1,"")</f>
        <v>1.2196141375985459E-2</v>
      </c>
      <c r="CP169" s="169">
        <f>IFERROR(Inv_SY_B!CP169/Inv_SY_B!$DB169-1,"")</f>
        <v>-7.0765275604395828E-2</v>
      </c>
      <c r="CQ169" s="169">
        <f>IFERROR(Inv_SY_B!CQ169/Inv_SY_B!$DB169-1,"")</f>
        <v>1.992249538304236E-3</v>
      </c>
      <c r="CR169" s="169">
        <f>IFERROR(Inv_SY_B!CR169/Inv_SY_B!$DB169-1,"")</f>
        <v>8.7767620397285473E-3</v>
      </c>
      <c r="CS169" s="169">
        <f>IFERROR(Inv_SY_B!CS169/Inv_SY_B!$DB169-1,"")</f>
        <v>-2.0987550869745464E-2</v>
      </c>
      <c r="CT169" s="169">
        <f>IFERROR(Inv_SY_B!CT169/Inv_SY_B!$DB169-1,"")</f>
        <v>-9.0234643080943089E-3</v>
      </c>
      <c r="CU169" s="169">
        <f>IFERROR(Inv_SY_B!CU169/Inv_SY_B!$DB169-1,"")</f>
        <v>1.7190530231459222E-2</v>
      </c>
      <c r="CV169" s="169">
        <f>IFERROR(Inv_SY_B!CV169/Inv_SY_B!$DB169-1,"")</f>
        <v>1.9379082651273416E-2</v>
      </c>
      <c r="CW169" s="169">
        <f>IFERROR(Inv_SY_B!CW169/Inv_SY_B!$DB169-1,"")</f>
        <v>1.7563394717797776E-2</v>
      </c>
      <c r="CX169" s="169">
        <f>IFERROR(Inv_SY_B!CX169/Inv_SY_B!$DB169-1,"")</f>
        <v>-2.7990918613151283E-2</v>
      </c>
      <c r="CY169" s="169">
        <f>IFERROR(Inv_SY_B!CY169/Inv_SY_B!$DB169-1,"")</f>
        <v>-1.0250550109289103E-2</v>
      </c>
      <c r="CZ169" s="169">
        <f>IFERROR(Inv_SY_B!CZ169/Inv_SY_B!$DB169-1,"")</f>
        <v>4.0571306555668762E-2</v>
      </c>
    </row>
    <row r="170" spans="2:104">
      <c r="B170" s="164">
        <f t="shared" si="3"/>
        <v>45862</v>
      </c>
      <c r="C170" s="169">
        <f>IFERROR(Inv_SY_B!C170/Inv_SY_B!$DA170-1,"")</f>
        <v>3.7093569745025645E-2</v>
      </c>
      <c r="D170" s="169">
        <f>IFERROR(Inv_SY_B!D170/Inv_SY_B!$DA170-1,"")</f>
        <v>2.3970152585534032E-2</v>
      </c>
      <c r="E170" s="169">
        <f>IFERROR(Inv_SY_B!E170/Inv_SY_B!$DA170-1,"")</f>
        <v>1.5228491865632687E-2</v>
      </c>
      <c r="F170" s="169">
        <f>IFERROR(Inv_SY_B!F170/Inv_SY_B!$DA170-1,"")</f>
        <v>7.8181358835829329E-3</v>
      </c>
      <c r="G170" s="169">
        <f>IFERROR(Inv_SY_B!G170/Inv_SY_B!$DA170-1,"")</f>
        <v>1.5647082141759139E-2</v>
      </c>
      <c r="H170" s="169">
        <f>IFERROR(Inv_SY_B!H170/Inv_SY_B!$DA170-1,"")</f>
        <v>1.6758217411110721E-2</v>
      </c>
      <c r="I170" s="169">
        <f>IFERROR(Inv_SY_B!I170/Inv_SY_B!$DA170-1,"")</f>
        <v>4.8248099593222848E-2</v>
      </c>
      <c r="J170" s="169">
        <f>IFERROR(Inv_SY_B!J170/Inv_SY_B!$DA170-1,"")</f>
        <v>1.9044994006802707E-3</v>
      </c>
      <c r="K170" s="169">
        <f>IFERROR(Inv_SY_B!K170/Inv_SY_B!$DA170-1,"")</f>
        <v>2.5421644391152798E-2</v>
      </c>
      <c r="L170" s="169">
        <f>IFERROR(Inv_SY_B!L170/Inv_SY_B!$DA170-1,"")</f>
        <v>2.9690597351620385E-2</v>
      </c>
      <c r="M170" s="169">
        <f>IFERROR(Inv_SY_B!M170/Inv_SY_B!$DA170-1,"")</f>
        <v>2.3940863164803705E-2</v>
      </c>
      <c r="N170" s="169">
        <f>IFERROR(Inv_SY_B!N170/Inv_SY_B!$DA170-1,"")</f>
        <v>2.1460791621594977E-2</v>
      </c>
      <c r="O170" s="169">
        <f>IFERROR(Inv_SY_B!O170/Inv_SY_B!$DA170-1,"")</f>
        <v>1.3149377161466358E-2</v>
      </c>
      <c r="P170" s="169">
        <f>IFERROR(Inv_SY_B!P170/Inv_SY_B!$DA170-1,"")</f>
        <v>-1.5708266833638129E-2</v>
      </c>
      <c r="Q170" s="169">
        <f>IFERROR(Inv_SY_B!Q170/Inv_SY_B!$DA170-1,"")</f>
        <v>-5.5420816414203267E-2</v>
      </c>
      <c r="R170" s="169">
        <f>IFERROR(Inv_SY_B!R170/Inv_SY_B!$DA170-1,"")</f>
        <v>-0.10054529819798053</v>
      </c>
      <c r="S170" s="169">
        <f>IFERROR(Inv_SY_B!S170/Inv_SY_B!$DA170-1,"")</f>
        <v>-5.3723591571049112E-2</v>
      </c>
      <c r="T170" s="169">
        <f>IFERROR(Inv_SY_B!T170/Inv_SY_B!$DA170-1,"")</f>
        <v>-2.5144452044158605E-2</v>
      </c>
      <c r="U170" s="169">
        <f>IFERROR(Inv_SY_B!U170/Inv_SY_B!$DA170-1,"")</f>
        <v>7.6689219767971828E-2</v>
      </c>
      <c r="V170" s="169">
        <f>IFERROR(Inv_SY_B!V170/Inv_SY_B!$DA170-1,"")</f>
        <v>9.4192085847172091E-2</v>
      </c>
      <c r="W170" s="169">
        <f>IFERROR(Inv_SY_B!W170/Inv_SY_B!$DA170-1,"")</f>
        <v>3.9028500293109447E-2</v>
      </c>
      <c r="X170" s="169">
        <f>IFERROR(Inv_SY_B!X170/Inv_SY_B!$DA170-1,"")</f>
        <v>9.7629960651532954E-3</v>
      </c>
      <c r="Y170" s="169">
        <f>IFERROR(Inv_SY_B!Y170/Inv_SY_B!$DA170-1,"")</f>
        <v>1.9408738001543302E-2</v>
      </c>
      <c r="Z170" s="169">
        <f>IFERROR(Inv_SY_B!Z170/Inv_SY_B!$DA170-1,"")</f>
        <v>3.8284390241236865E-2</v>
      </c>
      <c r="AA170" s="169">
        <f>IFERROR(Inv_SY_B!AA170/Inv_SY_B!$DA170-1,"")</f>
        <v>-0.12278185349830284</v>
      </c>
      <c r="AB170" s="169">
        <f>IFERROR(Inv_SY_B!AB170/Inv_SY_B!$DA170-1,"")</f>
        <v>-0.10737203570029008</v>
      </c>
      <c r="AC170" s="169">
        <f>IFERROR(Inv_SY_B!AC170/Inv_SY_B!$DA170-1,"")</f>
        <v>-7.4282357889484674E-3</v>
      </c>
      <c r="AD170" s="169">
        <f>IFERROR(Inv_SY_B!AD170/Inv_SY_B!$DA170-1,"")</f>
        <v>-2.6002807461297017E-2</v>
      </c>
      <c r="AE170" s="169">
        <f>IFERROR(Inv_SY_B!AE170/Inv_SY_B!$DA170-1,"")</f>
        <v>-1.7552119116153841E-2</v>
      </c>
      <c r="AF170" s="169">
        <f>IFERROR(Inv_SY_B!AF170/Inv_SY_B!$DA170-1,"")</f>
        <v>5.8997537059060079E-3</v>
      </c>
      <c r="AG170" s="169">
        <f>IFERROR(Inv_SY_B!AG170/Inv_SY_B!$DA170-1,"")</f>
        <v>-1.2581412259015545E-2</v>
      </c>
      <c r="AH170" s="169">
        <f>IFERROR(Inv_SY_B!AH170/Inv_SY_B!$DA170-1,"")</f>
        <v>-1.9336317354235022E-2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1.6692512461295328E-2</v>
      </c>
      <c r="CN170" s="169">
        <f>IFERROR(Inv_SY_B!CN170/Inv_SY_B!$DB170-1,"")</f>
        <v>3.5810350052730699E-2</v>
      </c>
      <c r="CO170" s="169">
        <f>IFERROR(Inv_SY_B!CO170/Inv_SY_B!$DB170-1,"")</f>
        <v>5.0270202618276638E-3</v>
      </c>
      <c r="CP170" s="169">
        <f>IFERROR(Inv_SY_B!CP170/Inv_SY_B!$DB170-1,"")</f>
        <v>-5.0095635186206189E-2</v>
      </c>
      <c r="CQ170" s="169">
        <f>IFERROR(Inv_SY_B!CQ170/Inv_SY_B!$DB170-1,"")</f>
        <v>-3.6940568392166417E-3</v>
      </c>
      <c r="CR170" s="169">
        <f>IFERROR(Inv_SY_B!CR170/Inv_SY_B!$DB170-1,"")</f>
        <v>6.5861581615640485E-3</v>
      </c>
      <c r="CS170" s="169">
        <f>IFERROR(Inv_SY_B!CS170/Inv_SY_B!$DB170-1,"")</f>
        <v>3.9614224166841794E-3</v>
      </c>
      <c r="CT170" s="169">
        <f>IFERROR(Inv_SY_B!CT170/Inv_SY_B!$DB170-1,"")</f>
        <v>-1.0912080137637226E-2</v>
      </c>
      <c r="CU170" s="169">
        <f>IFERROR(Inv_SY_B!CU170/Inv_SY_B!$DB170-1,"")</f>
        <v>1.3439634828751323E-2</v>
      </c>
      <c r="CV170" s="169">
        <f>IFERROR(Inv_SY_B!CV170/Inv_SY_B!$DB170-1,"")</f>
        <v>2.6490545442439117E-3</v>
      </c>
      <c r="CW170" s="169">
        <f>IFERROR(Inv_SY_B!CW170/Inv_SY_B!$DB170-1,"")</f>
        <v>9.0650752539511714E-3</v>
      </c>
      <c r="CX170" s="169">
        <f>IFERROR(Inv_SY_B!CX170/Inv_SY_B!$DB170-1,"")</f>
        <v>-3.6721981628959566E-2</v>
      </c>
      <c r="CY170" s="169">
        <f>IFERROR(Inv_SY_B!CY170/Inv_SY_B!$DB170-1,"")</f>
        <v>-2.234201912923095E-2</v>
      </c>
      <c r="CZ170" s="169">
        <f>IFERROR(Inv_SY_B!CZ170/Inv_SY_B!$DB170-1,"")</f>
        <v>3.0534544940205244E-2</v>
      </c>
    </row>
    <row r="171" spans="2:104">
      <c r="B171" s="164">
        <f t="shared" si="3"/>
        <v>45863</v>
      </c>
      <c r="C171" s="169">
        <f>IFERROR(Inv_SY_B!C171/Inv_SY_B!$DA171-1,"")</f>
        <v>3.7042471659418652E-2</v>
      </c>
      <c r="D171" s="169">
        <f>IFERROR(Inv_SY_B!D171/Inv_SY_B!$DA171-1,"")</f>
        <v>1.9525430927999077E-2</v>
      </c>
      <c r="E171" s="169">
        <f>IFERROR(Inv_SY_B!E171/Inv_SY_B!$DA171-1,"")</f>
        <v>4.3847461637553931E-3</v>
      </c>
      <c r="F171" s="169">
        <f>IFERROR(Inv_SY_B!F171/Inv_SY_B!$DA171-1,"")</f>
        <v>-3.1582642787042481E-3</v>
      </c>
      <c r="G171" s="169">
        <f>IFERROR(Inv_SY_B!G171/Inv_SY_B!$DA171-1,"")</f>
        <v>3.9183896100627447E-3</v>
      </c>
      <c r="H171" s="169">
        <f>IFERROR(Inv_SY_B!H171/Inv_SY_B!$DA171-1,"")</f>
        <v>5.2172790927929036E-4</v>
      </c>
      <c r="I171" s="169">
        <f>IFERROR(Inv_SY_B!I171/Inv_SY_B!$DA171-1,"")</f>
        <v>4.0686922106477619E-2</v>
      </c>
      <c r="J171" s="169">
        <f>IFERROR(Inv_SY_B!J171/Inv_SY_B!$DA171-1,"")</f>
        <v>-2.9351426673066561E-3</v>
      </c>
      <c r="K171" s="169">
        <f>IFERROR(Inv_SY_B!K171/Inv_SY_B!$DA171-1,"")</f>
        <v>1.521755874242392E-2</v>
      </c>
      <c r="L171" s="169">
        <f>IFERROR(Inv_SY_B!L171/Inv_SY_B!$DA171-1,"")</f>
        <v>2.1787209141030717E-2</v>
      </c>
      <c r="M171" s="169">
        <f>IFERROR(Inv_SY_B!M171/Inv_SY_B!$DA171-1,"")</f>
        <v>1.0253571049974708E-2</v>
      </c>
      <c r="N171" s="169">
        <f>IFERROR(Inv_SY_B!N171/Inv_SY_B!$DA171-1,"")</f>
        <v>1.1637480051413185E-2</v>
      </c>
      <c r="O171" s="169">
        <f>IFERROR(Inv_SY_B!O171/Inv_SY_B!$DA171-1,"")</f>
        <v>-2.7128977526680309E-4</v>
      </c>
      <c r="P171" s="169">
        <f>IFERROR(Inv_SY_B!P171/Inv_SY_B!$DA171-1,"")</f>
        <v>-2.8743007597697767E-2</v>
      </c>
      <c r="Q171" s="169">
        <f>IFERROR(Inv_SY_B!Q171/Inv_SY_B!$DA171-1,"")</f>
        <v>-5.5063892259669234E-2</v>
      </c>
      <c r="R171" s="169">
        <f>IFERROR(Inv_SY_B!R171/Inv_SY_B!$DA171-1,"")</f>
        <v>-8.7690327798718548E-2</v>
      </c>
      <c r="S171" s="169">
        <f>IFERROR(Inv_SY_B!S171/Inv_SY_B!$DA171-1,"")</f>
        <v>-5.0279841304436634E-2</v>
      </c>
      <c r="T171" s="169">
        <f>IFERROR(Inv_SY_B!T171/Inv_SY_B!$DA171-1,"")</f>
        <v>-1.9208932210541096E-2</v>
      </c>
      <c r="U171" s="169">
        <f>IFERROR(Inv_SY_B!U171/Inv_SY_B!$DA171-1,"")</f>
        <v>8.4260597289895323E-2</v>
      </c>
      <c r="V171" s="169">
        <f>IFERROR(Inv_SY_B!V171/Inv_SY_B!$DA171-1,"")</f>
        <v>9.185708291284489E-2</v>
      </c>
      <c r="W171" s="169">
        <f>IFERROR(Inv_SY_B!W171/Inv_SY_B!$DA171-1,"")</f>
        <v>3.4439644252681756E-2</v>
      </c>
      <c r="X171" s="169">
        <f>IFERROR(Inv_SY_B!X171/Inv_SY_B!$DA171-1,"")</f>
        <v>-1.4080339256144714E-2</v>
      </c>
      <c r="Y171" s="169">
        <f>IFERROR(Inv_SY_B!Y171/Inv_SY_B!$DA171-1,"")</f>
        <v>3.2096143485819795E-2</v>
      </c>
      <c r="Z171" s="169">
        <f>IFERROR(Inv_SY_B!Z171/Inv_SY_B!$DA171-1,"")</f>
        <v>5.1049709093366369E-2</v>
      </c>
      <c r="AA171" s="169">
        <f>IFERROR(Inv_SY_B!AA171/Inv_SY_B!$DA171-1,"")</f>
        <v>-4.3104943557641606E-2</v>
      </c>
      <c r="AB171" s="169">
        <f>IFERROR(Inv_SY_B!AB171/Inv_SY_B!$DA171-1,"")</f>
        <v>-2.884150784170636E-2</v>
      </c>
      <c r="AC171" s="169">
        <f>IFERROR(Inv_SY_B!AC171/Inv_SY_B!$DA171-1,"")</f>
        <v>-1.9061615307883306E-2</v>
      </c>
      <c r="AD171" s="169">
        <f>IFERROR(Inv_SY_B!AD171/Inv_SY_B!$DA171-1,"")</f>
        <v>-3.9737083747246382E-2</v>
      </c>
      <c r="AE171" s="169">
        <f>IFERROR(Inv_SY_B!AE171/Inv_SY_B!$DA171-1,"")</f>
        <v>-2.5017559589829985E-2</v>
      </c>
      <c r="AF171" s="169">
        <f>IFERROR(Inv_SY_B!AF171/Inv_SY_B!$DA171-1,"")</f>
        <v>-1.4775501252213274E-3</v>
      </c>
      <c r="AG171" s="169">
        <f>IFERROR(Inv_SY_B!AG171/Inv_SY_B!$DA171-1,"")</f>
        <v>-1.6827239376951519E-2</v>
      </c>
      <c r="AH171" s="169">
        <f>IFERROR(Inv_SY_B!AH171/Inv_SY_B!$DA171-1,"")</f>
        <v>-2.3180147701474696E-2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1.4120230180113102E-2</v>
      </c>
      <c r="CN171" s="169">
        <f>IFERROR(Inv_SY_B!CN171/Inv_SY_B!$DB171-1,"")</f>
        <v>3.389309040349664E-2</v>
      </c>
      <c r="CO171" s="169">
        <f>IFERROR(Inv_SY_B!CO171/Inv_SY_B!$DB171-1,"")</f>
        <v>8.0310803264116437E-3</v>
      </c>
      <c r="CP171" s="169">
        <f>IFERROR(Inv_SY_B!CP171/Inv_SY_B!$DB171-1,"")</f>
        <v>-4.0559904161390881E-2</v>
      </c>
      <c r="CQ171" s="169">
        <f>IFERROR(Inv_SY_B!CQ171/Inv_SY_B!$DB171-1,"")</f>
        <v>4.8913624330968464E-3</v>
      </c>
      <c r="CR171" s="169">
        <f>IFERROR(Inv_SY_B!CR171/Inv_SY_B!$DB171-1,"")</f>
        <v>8.7368681503634527E-3</v>
      </c>
      <c r="CS171" s="169">
        <f>IFERROR(Inv_SY_B!CS171/Inv_SY_B!$DB171-1,"")</f>
        <v>1.7205068416663583E-3</v>
      </c>
      <c r="CT171" s="169">
        <f>IFERROR(Inv_SY_B!CT171/Inv_SY_B!$DB171-1,"")</f>
        <v>-1.3661516027400289E-2</v>
      </c>
      <c r="CU171" s="169">
        <f>IFERROR(Inv_SY_B!CU171/Inv_SY_B!$DB171-1,"")</f>
        <v>9.7263550015898037E-3</v>
      </c>
      <c r="CV171" s="169">
        <f>IFERROR(Inv_SY_B!CV171/Inv_SY_B!$DB171-1,"")</f>
        <v>4.2392006447884434E-3</v>
      </c>
      <c r="CW171" s="169">
        <f>IFERROR(Inv_SY_B!CW171/Inv_SY_B!$DB171-1,"")</f>
        <v>-1.6749914381228415E-2</v>
      </c>
      <c r="CX171" s="169">
        <f>IFERROR(Inv_SY_B!CX171/Inv_SY_B!$DB171-1,"")</f>
        <v>-3.7139340406501797E-2</v>
      </c>
      <c r="CY171" s="169">
        <f>IFERROR(Inv_SY_B!CY171/Inv_SY_B!$DB171-1,"")</f>
        <v>8.307859865216205E-3</v>
      </c>
      <c r="CZ171" s="169">
        <f>IFERROR(Inv_SY_B!CZ171/Inv_SY_B!$DB171-1,"")</f>
        <v>1.4444121129778109E-2</v>
      </c>
    </row>
    <row r="172" spans="2:104">
      <c r="B172" s="164">
        <f t="shared" si="3"/>
        <v>45864</v>
      </c>
      <c r="C172" s="169">
        <f>IFERROR(Inv_SY_B!C172/Inv_SY_B!$DA172-1,"")</f>
        <v>2.5134205335586302E-2</v>
      </c>
      <c r="D172" s="169">
        <f>IFERROR(Inv_SY_B!D172/Inv_SY_B!$DA172-1,"")</f>
        <v>1.5675305695297626E-2</v>
      </c>
      <c r="E172" s="169">
        <f>IFERROR(Inv_SY_B!E172/Inv_SY_B!$DA172-1,"")</f>
        <v>4.7663896950589368E-3</v>
      </c>
      <c r="F172" s="169">
        <f>IFERROR(Inv_SY_B!F172/Inv_SY_B!$DA172-1,"")</f>
        <v>-3.932826611111051E-3</v>
      </c>
      <c r="G172" s="169">
        <f>IFERROR(Inv_SY_B!G172/Inv_SY_B!$DA172-1,"")</f>
        <v>4.005604859175893E-3</v>
      </c>
      <c r="H172" s="169">
        <f>IFERROR(Inv_SY_B!H172/Inv_SY_B!$DA172-1,"")</f>
        <v>7.5136224772893723E-3</v>
      </c>
      <c r="I172" s="169">
        <f>IFERROR(Inv_SY_B!I172/Inv_SY_B!$DA172-1,"")</f>
        <v>3.6961785998094632E-2</v>
      </c>
      <c r="J172" s="169">
        <f>IFERROR(Inv_SY_B!J172/Inv_SY_B!$DA172-1,"")</f>
        <v>-6.1128334580707877E-3</v>
      </c>
      <c r="K172" s="169">
        <f>IFERROR(Inv_SY_B!K172/Inv_SY_B!$DA172-1,"")</f>
        <v>1.4003287703546752E-2</v>
      </c>
      <c r="L172" s="169">
        <f>IFERROR(Inv_SY_B!L172/Inv_SY_B!$DA172-1,"")</f>
        <v>1.8791350991771649E-2</v>
      </c>
      <c r="M172" s="169">
        <f>IFERROR(Inv_SY_B!M172/Inv_SY_B!$DA172-1,"")</f>
        <v>1.4521085542771539E-2</v>
      </c>
      <c r="N172" s="169">
        <f>IFERROR(Inv_SY_B!N172/Inv_SY_B!$DA172-1,"")</f>
        <v>1.3288575792429258E-2</v>
      </c>
      <c r="O172" s="169">
        <f>IFERROR(Inv_SY_B!O172/Inv_SY_B!$DA172-1,"")</f>
        <v>3.3514659302964489E-3</v>
      </c>
      <c r="P172" s="169">
        <f>IFERROR(Inv_SY_B!P172/Inv_SY_B!$DA172-1,"")</f>
        <v>-2.6036106305905138E-2</v>
      </c>
      <c r="Q172" s="169">
        <f>IFERROR(Inv_SY_B!Q172/Inv_SY_B!$DA172-1,"")</f>
        <v>-4.98149473284204E-2</v>
      </c>
      <c r="R172" s="169">
        <f>IFERROR(Inv_SY_B!R172/Inv_SY_B!$DA172-1,"")</f>
        <v>-6.736930711356337E-2</v>
      </c>
      <c r="S172" s="169">
        <f>IFERROR(Inv_SY_B!S172/Inv_SY_B!$DA172-1,"")</f>
        <v>-4.7536216073823856E-2</v>
      </c>
      <c r="T172" s="169">
        <f>IFERROR(Inv_SY_B!T172/Inv_SY_B!$DA172-1,"")</f>
        <v>-1.8154219592230292E-2</v>
      </c>
      <c r="U172" s="169">
        <f>IFERROR(Inv_SY_B!U172/Inv_SY_B!$DA172-1,"")</f>
        <v>6.8998542098403171E-2</v>
      </c>
      <c r="V172" s="169">
        <f>IFERROR(Inv_SY_B!V172/Inv_SY_B!$DA172-1,"")</f>
        <v>8.1678844009233309E-2</v>
      </c>
      <c r="W172" s="169">
        <f>IFERROR(Inv_SY_B!W172/Inv_SY_B!$DA172-1,"")</f>
        <v>3.0387778925261344E-2</v>
      </c>
      <c r="X172" s="169">
        <f>IFERROR(Inv_SY_B!X172/Inv_SY_B!$DA172-1,"")</f>
        <v>-2.5956929766267289E-2</v>
      </c>
      <c r="Y172" s="169">
        <f>IFERROR(Inv_SY_B!Y172/Inv_SY_B!$DA172-1,"")</f>
        <v>1.1131265645969002E-2</v>
      </c>
      <c r="Z172" s="169">
        <f>IFERROR(Inv_SY_B!Z172/Inv_SY_B!$DA172-1,"")</f>
        <v>2.9907913584899637E-2</v>
      </c>
      <c r="AA172" s="169">
        <f>IFERROR(Inv_SY_B!AA172/Inv_SY_B!$DA172-1,"")</f>
        <v>-4.5078484546838049E-2</v>
      </c>
      <c r="AB172" s="169">
        <f>IFERROR(Inv_SY_B!AB172/Inv_SY_B!$DA172-1,"")</f>
        <v>-9.3021809412630052E-3</v>
      </c>
      <c r="AC172" s="169">
        <f>IFERROR(Inv_SY_B!AC172/Inv_SY_B!$DA172-1,"")</f>
        <v>-9.3318915142726055E-3</v>
      </c>
      <c r="AD172" s="169">
        <f>IFERROR(Inv_SY_B!AD172/Inv_SY_B!$DA172-1,"")</f>
        <v>-3.0346018183823542E-2</v>
      </c>
      <c r="AE172" s="169">
        <f>IFERROR(Inv_SY_B!AE172/Inv_SY_B!$DA172-1,"")</f>
        <v>-1.4648590604232292E-2</v>
      </c>
      <c r="AF172" s="169">
        <f>IFERROR(Inv_SY_B!AF172/Inv_SY_B!$DA172-1,"")</f>
        <v>8.9191666703920536E-3</v>
      </c>
      <c r="AG172" s="169">
        <f>IFERROR(Inv_SY_B!AG172/Inv_SY_B!$DA172-1,"")</f>
        <v>-1.0172633014033594E-2</v>
      </c>
      <c r="AH172" s="169">
        <f>IFERROR(Inv_SY_B!AH172/Inv_SY_B!$DA172-1,"")</f>
        <v>-2.5243005901614879E-2</v>
      </c>
      <c r="AI172" s="169">
        <f>IFERROR(Inv_SY_B!AI172/Inv_SY_B!$DC172-1,"")</f>
        <v>2.0478921459159416E-2</v>
      </c>
      <c r="AJ172" s="169">
        <f>IFERROR(Inv_SY_B!AJ172/Inv_SY_B!$DC172-1,"")</f>
        <v>2.1225795517314294E-2</v>
      </c>
      <c r="AK172" s="169">
        <f>IFERROR(Inv_SY_B!AK172/Inv_SY_B!$DC172-1,"")</f>
        <v>2.4711207788704392E-2</v>
      </c>
      <c r="AL172" s="169">
        <f>IFERROR(Inv_SY_B!AL172/Inv_SY_B!$DC172-1,"")</f>
        <v>1.6761334855084131E-2</v>
      </c>
      <c r="AM172" s="169">
        <f>IFERROR(Inv_SY_B!AM172/Inv_SY_B!$DC172-1,"")</f>
        <v>1.9726693465103473E-2</v>
      </c>
      <c r="AN172" s="169">
        <f>IFERROR(Inv_SY_B!AN172/Inv_SY_B!$DC172-1,"")</f>
        <v>1.4799566641938711E-2</v>
      </c>
      <c r="AO172" s="169">
        <f>IFERROR(Inv_SY_B!AO172/Inv_SY_B!$DC172-1,"")</f>
        <v>6.5425693527343398E-3</v>
      </c>
      <c r="AP172" s="169">
        <f>IFERROR(Inv_SY_B!AP172/Inv_SY_B!$DC172-1,"")</f>
        <v>6.2201784752240474E-3</v>
      </c>
      <c r="AQ172" s="169">
        <f>IFERROR(Inv_SY_B!AQ172/Inv_SY_B!$DC172-1,"")</f>
        <v>-5.4273571462575276E-3</v>
      </c>
      <c r="AR172" s="169">
        <f>IFERROR(Inv_SY_B!AR172/Inv_SY_B!$DC172-1,"")</f>
        <v>-7.4839406150645216E-3</v>
      </c>
      <c r="AS172" s="169">
        <f>IFERROR(Inv_SY_B!AS172/Inv_SY_B!$DC172-1,"")</f>
        <v>-1.3877285215972202E-2</v>
      </c>
      <c r="AT172" s="169">
        <f>IFERROR(Inv_SY_B!AT172/Inv_SY_B!$DC172-1,"")</f>
        <v>-6.0301284449565395E-3</v>
      </c>
      <c r="AU172" s="169">
        <f>IFERROR(Inv_SY_B!AU172/Inv_SY_B!$DC172-1,"")</f>
        <v>-6.1612138339739442E-4</v>
      </c>
      <c r="AV172" s="169">
        <f>IFERROR(Inv_SY_B!AV172/Inv_SY_B!$DC172-1,"")</f>
        <v>-6.0681392860354122E-2</v>
      </c>
      <c r="AW172" s="169">
        <f>IFERROR(Inv_SY_B!AW172/Inv_SY_B!$DC172-1,"")</f>
        <v>-2.3581514816948701E-2</v>
      </c>
      <c r="AX172" s="169">
        <f>IFERROR(Inv_SY_B!AX172/Inv_SY_B!$DC172-1,"")</f>
        <v>-1.985227768121256E-2</v>
      </c>
      <c r="AY172" s="169">
        <f>IFERROR(Inv_SY_B!AY172/Inv_SY_B!$DC172-1,"")</f>
        <v>-4.4997037639098569E-2</v>
      </c>
      <c r="AZ172" s="169">
        <f>IFERROR(Inv_SY_B!AZ172/Inv_SY_B!$DC172-1,"")</f>
        <v>-2.0710388301220628E-2</v>
      </c>
      <c r="BA172" s="169">
        <f>IFERROR(Inv_SY_B!BA172/Inv_SY_B!$DC172-1,"")</f>
        <v>-2.9115055948846669E-2</v>
      </c>
      <c r="BB172" s="169">
        <f>IFERROR(Inv_SY_B!BB172/Inv_SY_B!$DC172-1,"")</f>
        <v>-2.9493881220942653E-2</v>
      </c>
      <c r="BC172" s="169">
        <f>IFERROR(Inv_SY_B!BC172/Inv_SY_B!$DC172-1,"")</f>
        <v>-2.073583457353978E-2</v>
      </c>
      <c r="BD172" s="169">
        <f>IFERROR(Inv_SY_B!BD172/Inv_SY_B!$DC172-1,"")</f>
        <v>-2.9758490964183593E-2</v>
      </c>
      <c r="BE172" s="169">
        <f>IFERROR(Inv_SY_B!BE172/Inv_SY_B!$DC172-1,"")</f>
        <v>-1.0259095334243629E-2</v>
      </c>
      <c r="BF172" s="169">
        <f>IFERROR(Inv_SY_B!BF172/Inv_SY_B!$DC172-1,"")</f>
        <v>-1.4968870377891186E-2</v>
      </c>
      <c r="BG172" s="169">
        <f>IFERROR(Inv_SY_B!BG172/Inv_SY_B!$DC172-1,"")</f>
        <v>-9.3441746130035197E-3</v>
      </c>
      <c r="BH172" s="169">
        <f>IFERROR(Inv_SY_B!BH172/Inv_SY_B!$DC172-1,"")</f>
        <v>-1.3702484904489221E-2</v>
      </c>
      <c r="BI172" s="169">
        <f>IFERROR(Inv_SY_B!BI172/Inv_SY_B!$DC172-1,"")</f>
        <v>-2.2362360300188455E-2</v>
      </c>
      <c r="BJ172" s="169">
        <f>IFERROR(Inv_SY_B!BJ172/Inv_SY_B!$DC172-1,"")</f>
        <v>-1.4377878222692653E-2</v>
      </c>
      <c r="BK172" s="169">
        <f>IFERROR(Inv_SY_B!BK172/Inv_SY_B!$DC172-1,"")</f>
        <v>-5.0299313754085806E-2</v>
      </c>
      <c r="BL172" s="169">
        <f>IFERROR(Inv_SY_B!BL172/Inv_SY_B!$DC172-1,"")</f>
        <v>-3.5487923724762394E-2</v>
      </c>
      <c r="BM172" s="169">
        <f>IFERROR(Inv_SY_B!BM172/Inv_SY_B!$DC172-1,"")</f>
        <v>-3.4870997776954571E-2</v>
      </c>
      <c r="BN172" s="169">
        <f>IFERROR(Inv_SY_B!BN172/Inv_SY_B!$DC172-1,"")</f>
        <v>-2.0018249694135681E-2</v>
      </c>
      <c r="BO172" s="169">
        <f>IFERROR(Inv_SY_B!BO172/Inv_SY_B!$DC172-1,"")</f>
        <v>2.9833395464142765E-3</v>
      </c>
      <c r="BP172" s="169">
        <f>IFERROR(Inv_SY_B!BP172/Inv_SY_B!$DC172-1,"")</f>
        <v>1.1169261945275677E-2</v>
      </c>
      <c r="BQ172" s="169">
        <f>IFERROR(Inv_SY_B!BQ172/Inv_SY_B!$DC172-1,"")</f>
        <v>8.4121848371396801E-3</v>
      </c>
      <c r="BR172" s="169">
        <f>IFERROR(Inv_SY_B!BR172/Inv_SY_B!$DC172-1,"")</f>
        <v>1.3967184640198971E-2</v>
      </c>
      <c r="BS172" s="169">
        <f>IFERROR(Inv_SY_B!BS172/Inv_SY_B!$DC172-1,"")</f>
        <v>-9.1167455023436483E-3</v>
      </c>
      <c r="BT172" s="169">
        <f>IFERROR(Inv_SY_B!BT172/Inv_SY_B!$DC172-1,"")</f>
        <v>1.2674351394958538E-2</v>
      </c>
      <c r="BU172" s="169">
        <f>IFERROR(Inv_SY_B!BU172/Inv_SY_B!$DC172-1,"")</f>
        <v>9.8804396619511792E-4</v>
      </c>
      <c r="BV172" s="169">
        <f>IFERROR(Inv_SY_B!BV172/Inv_SY_B!$DC172-1,"")</f>
        <v>-1.2596622592778495E-2</v>
      </c>
      <c r="BW172" s="169">
        <f>IFERROR(Inv_SY_B!BW172/Inv_SY_B!$DC172-1,"")</f>
        <v>5.0775412093411854E-2</v>
      </c>
      <c r="BX172" s="169">
        <f>IFERROR(Inv_SY_B!BX172/Inv_SY_B!$DC172-1,"")</f>
        <v>6.5678535370986335E-2</v>
      </c>
      <c r="BY172" s="169">
        <f>IFERROR(Inv_SY_B!BY172/Inv_SY_B!$DC172-1,"")</f>
        <v>0.14044558901202797</v>
      </c>
      <c r="BZ172" s="169">
        <f>IFERROR(Inv_SY_B!BZ172/Inv_SY_B!$DC172-1,"")</f>
        <v>1.5399721059999649E-2</v>
      </c>
      <c r="CA172" s="169">
        <f>IFERROR(Inv_SY_B!CA172/Inv_SY_B!$DC172-1,"")</f>
        <v>-4.654512964448676E-2</v>
      </c>
      <c r="CB172" s="169">
        <f>IFERROR(Inv_SY_B!CB172/Inv_SY_B!$DC172-1,"")</f>
        <v>-3.732267074352813E-3</v>
      </c>
      <c r="CC172" s="169">
        <f>IFERROR(Inv_SY_B!CC172/Inv_SY_B!$DC172-1,"")</f>
        <v>-4.782952376214511E-3</v>
      </c>
      <c r="CD172" s="169">
        <f>IFERROR(Inv_SY_B!CD172/Inv_SY_B!$DC172-1,"")</f>
        <v>2.6309570387381687E-2</v>
      </c>
      <c r="CE172" s="169">
        <f>IFERROR(Inv_SY_B!CE172/Inv_SY_B!$DC172-1,"")</f>
        <v>-2.3456541074918791E-2</v>
      </c>
      <c r="CF172" s="169">
        <f>IFERROR(Inv_SY_B!CF172/Inv_SY_B!$DC172-1,"")</f>
        <v>-2.8885413434874385E-2</v>
      </c>
      <c r="CG172" s="169">
        <f>IFERROR(Inv_SY_B!CG172/Inv_SY_B!$DC172-1,"")</f>
        <v>-1.5468495218720069E-2</v>
      </c>
      <c r="CH172" s="169">
        <f>IFERROR(Inv_SY_B!CH172/Inv_SY_B!$DC172-1,"")</f>
        <v>-9.4710459352043141E-3</v>
      </c>
      <c r="CI172" s="169">
        <f>IFERROR(Inv_SY_B!CI172/Inv_SY_B!$DC172-1,"")</f>
        <v>7.9838278943535679E-2</v>
      </c>
      <c r="CJ172" s="169">
        <f>IFERROR(Inv_SY_B!CJ172/Inv_SY_B!$DC172-1,"")</f>
        <v>8.1952401630380978E-2</v>
      </c>
      <c r="CK172" s="169">
        <f>IFERROR(Inv_SY_B!CK172/Inv_SY_B!$DC172-1,"")</f>
        <v>3.1101130286253165E-2</v>
      </c>
      <c r="CL172" s="169">
        <f>IFERROR(Inv_SY_B!CL172/Inv_SY_B!$DC172-1,"")</f>
        <v>1.9945995698913199E-2</v>
      </c>
      <c r="CM172" s="169">
        <f>IFERROR(Inv_SY_B!CM172/Inv_SY_B!$DB172-1,"")</f>
        <v>9.982087901792891E-3</v>
      </c>
      <c r="CN172" s="169">
        <f>IFERROR(Inv_SY_B!CN172/Inv_SY_B!$DB172-1,"")</f>
        <v>2.8575143747294085E-2</v>
      </c>
      <c r="CO172" s="169">
        <f>IFERROR(Inv_SY_B!CO172/Inv_SY_B!$DB172-1,"")</f>
        <v>-2.9842070424013212E-4</v>
      </c>
      <c r="CP172" s="169">
        <f>IFERROR(Inv_SY_B!CP172/Inv_SY_B!$DB172-1,"")</f>
        <v>-2.7077911638255348E-2</v>
      </c>
      <c r="CQ172" s="169">
        <f>IFERROR(Inv_SY_B!CQ172/Inv_SY_B!$DB172-1,"")</f>
        <v>-1.929204976709098E-2</v>
      </c>
      <c r="CR172" s="169">
        <f>IFERROR(Inv_SY_B!CR172/Inv_SY_B!$DB172-1,"")</f>
        <v>-8.0349309566685179E-5</v>
      </c>
      <c r="CS172" s="169">
        <f>IFERROR(Inv_SY_B!CS172/Inv_SY_B!$DB172-1,"")</f>
        <v>-3.1177723068036567E-3</v>
      </c>
      <c r="CT172" s="169">
        <f>IFERROR(Inv_SY_B!CT172/Inv_SY_B!$DB172-1,"")</f>
        <v>-1.7089918094094103E-2</v>
      </c>
      <c r="CU172" s="169">
        <f>IFERROR(Inv_SY_B!CU172/Inv_SY_B!$DB172-1,"")</f>
        <v>5.77759006501255E-4</v>
      </c>
      <c r="CV172" s="169">
        <f>IFERROR(Inv_SY_B!CV172/Inv_SY_B!$DB172-1,"")</f>
        <v>2.754578821188014E-3</v>
      </c>
      <c r="CW172" s="169">
        <f>IFERROR(Inv_SY_B!CW172/Inv_SY_B!$DB172-1,"")</f>
        <v>4.3745377530477469E-3</v>
      </c>
      <c r="CX172" s="169">
        <f>IFERROR(Inv_SY_B!CX172/Inv_SY_B!$DB172-1,"")</f>
        <v>-4.1693044371714283E-2</v>
      </c>
      <c r="CY172" s="169">
        <f>IFERROR(Inv_SY_B!CY172/Inv_SY_B!$DB172-1,"")</f>
        <v>4.2069735975168943E-2</v>
      </c>
      <c r="CZ172" s="169">
        <f>IFERROR(Inv_SY_B!CZ172/Inv_SY_B!$DB172-1,"")</f>
        <v>2.0315622986774029E-2</v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9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0.24113152860703727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1.193601066604834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0.24113152860703727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0.29739555194867923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0.16696391513535447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0.32836236643286393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0.24113152860703727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1.1895822077947169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0.20468358356037328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0.15351268767027995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0.1123235174772477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8.424263810793578E-2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0.16696391513535447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2.5044587270303082E-2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0.16696391513535447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3.6175514945993338E-2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0.16696391513535447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3.8958246864916349E-2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0.16696391513535447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1.9479123432458036E-2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0.16696391513535447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0.10852654483798024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0.16696391513535447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3.3392783027070778E-2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0.16696391513535447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8.0699225648754591E-2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0.16696391513535447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8.6264689486599946E-2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0.16696391513535447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0.18087757472996738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0.16696391513535447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0.15861571937858684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0.20468358356037328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0.10916457789886563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0.20468358356037328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0.1330443293142427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0.20468358356037328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0.14327850849226134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0.20468358356037328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0.13645572237358197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0.16696391513535447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8.0699225648754591E-2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4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075"/>
  <sheetViews>
    <sheetView zoomScale="90" zoomScaleNormal="90" workbookViewId="0">
      <pane xSplit="2" ySplit="1" topLeftCell="Z1059" activePane="bottomRight" state="frozen"/>
      <selection pane="topRight" activeCell="Z69" sqref="Z69"/>
      <selection pane="bottomLeft" activeCell="Z69" sqref="Z69"/>
      <selection pane="bottomRight" activeCell="AB1073" sqref="AB1073:AC1073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1.8491681641643964E-4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1.1310745270805558E-3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1.8491681641643964E-4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1.1618939964832956E-3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1.3314010781983651E-2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1.5976812938380377E-2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1.2112051475276797E-2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1.8168077212915132E-3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6.7494637992000464E-2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3.3747318996000114E-3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6.7679554808416906E-2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3.3839777404208334E-3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8.5845950959364689E-2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1.2876892643904658E-2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2.6477566517883022E-2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3.9716349776824393E-3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4.33327343342415E-2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1.8777518211504699E-2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4.33327343342415E-2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1.5166457016984471E-2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9.2989623789925202E-2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4.9594466021293512E-2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4.33327343342415E-2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1.2277608061368381E-2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8.7835487797808809E-3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4.8309518288794911E-3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1.6642513477479568E-3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7.1840183177786796E-3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1.0536055880818506E-2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1.5277281027186835E-2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1.15438525302881E-2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3.1745594458292288E-2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1.2826502811431222E-3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5.4512636948582703E-3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8.043881514115123E-3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1.6355892412034077E-2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8.5986319633644427E-3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7.7387687670279941E-3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1.3406469190191873E-2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1.2736145730682271E-2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1.8491681641643964E-4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7.7356868200877268E-4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9.0609240044055416E-3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2.0387079009912469E-2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9.1533824126137607E-3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2.5171801634687851E-2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7.9514231059069039E-3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2.1601366104380432E-2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8.5845950959364689E-2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2.0030721890518355E-2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2.6477566517883022E-2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6.178098854172683E-3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1.8491681641643964E-4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1.0447800127528837E-3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1.8491681641643964E-4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1.075599482155624E-3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1.8491681641643964E-4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1.1988773597665838E-3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1.8491681641643964E-4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1.2296968291693237E-3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1.8491681641643964E-4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1.6611694008076829E-3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9.2458408208219819E-5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8.6140416980658131E-4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9.2458408208219819E-5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8.7681390450795134E-4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9.2458408208219819E-5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9.8468204741754099E-4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8.5845950959364689E-2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1.8599956041195732E-2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2.6477566517883022E-2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5.7368060788746695E-3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1.3406469190191873E-2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2.5695732614534422E-2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1.2204509883485017E-2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5.0852124514520888E-3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1.8491681641643964E-4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1.3067455026761737E-3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1.8491681641643964E-4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1.1218286862597338E-3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7.9514231059069039E-3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1.06018974745425E-3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9.2458408208219815E-3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6.1638938805479659E-4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1.8491681641643964E-4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1.9108071029698759E-3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1.8491681641643964E-4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1.9724460417753563E-3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1.8323575444901746E-4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1.0383359418777655E-3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1.8323575444901746E-4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1.068875234285935E-3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1.8323575444901746E-4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1.2826502811431222E-3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1.8323575444901746E-4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1.3131895735512917E-3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1.8323575444901746E-4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1.6185824976329875E-3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1.8323575444901746E-4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1.6491217900411574E-3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1.8323575444901746E-4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1.7712789596738357E-3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9.0609240044055434E-3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8.3058470040384101E-3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2.2904469306127186E-2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1.0688752342859346E-2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1.8491681641643964E-4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1.0971731107375419E-3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1.8491681641643964E-4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1.5902846211813804E-3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1.8491681641643964E-4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1.6211040905841207E-3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1.8491681641643964E-4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1.6519235599868607E-3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1.8323575444901746E-4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1.0261202249144976E-3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9.1617877224508732E-5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5.7413869727358801E-4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1.8323575444901746E-4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1.3925917338125328E-3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1.8323575444901746E-4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1.423131026220702E-3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1.8323575444901746E-4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1.4536703186288716E-3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1.8323575444901746E-4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1.6063667806697195E-3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1.8323575444901746E-4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1.6369060730778895E-3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9.1617877224508732E-5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8.9480126755936851E-4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9.1617877224508732E-5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9.4061020617162289E-4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2.6477566517883022E-2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5.7368060788746348E-3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2.4003883832821291E-2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2.9204725329932596E-2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1.8323575444901746E-4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9.680955693389759E-4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1.8323575444901746E-4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1.0597134465634842E-3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1.8323575444901746E-4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1.1207920313798237E-3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1.8323575444901746E-4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1.1818706161961625E-3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1.8323575444901746E-4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1.3956456630533497E-3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1.8323575444901746E-4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1.4261849554615192E-3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1.8323575444901746E-4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1.4567242478696887E-3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1.8323575444901746E-4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1.5788814175023672E-3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9.1617877224508732E-5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8.0471035495526834E-4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9.1617877224508732E-5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8.5051929356752271E-4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1.8323575444901746E-4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1.8231957567677239E-3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9.3382992290302006E-3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9.3382992290301677E-4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9.3382992290302006E-3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4.6691496145150838E-4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7.5815894730740241E-3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1.3899580700635662E-3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8.0438815141151247E-3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1.3808663265897646E-2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9.0609240044055434E-3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4.3794466021293303E-3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8.7835487797808826E-3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7.3196239831507099E-4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9.1533824126137607E-3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1.067894614804935E-3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8.1363399223233438E-3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4.0681699611616574E-4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8.1363399223233438E-3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6.7802832686027627E-4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7.581589473074025E-3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3.7907947365369991E-4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1.8491681641643964E-4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1.8152667478213828E-3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1.8491681641643964E-4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1.9077251560296023E-3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9.1617877224508732E-5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5.252758294205166E-4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9.1617877224508732E-5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5.4818029872664401E-4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8.0438815141151247E-3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2.4131644542345287E-3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9.2458408208219819E-5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1.070976561745213E-3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1.8491681641643964E-4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2.141953123490426E-3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1.8491681641643964E-4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2.141953123490426E-3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1.8491681641643964E-4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2.141953123490426E-3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9.2458408208219819E-5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1.070976561745213E-3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1.8491681641643964E-4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2.141953123490426E-3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9.2458408208219819E-5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5.3163584719726398E-4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1.8491681641643964E-4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1.0786814290958977E-3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1.8491681641643964E-4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1.1095008984986381E-3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1.8491681641643964E-4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1.3868761231232976E-3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9.2458408208219819E-5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7.3966726566575855E-4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1.8491681641643964E-4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1.5255637354356273E-3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1.8491681641643964E-4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9.9238691476822606E-4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1.8491681641643964E-4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1.3930400170038455E-3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1.8491681641643964E-4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1.485498425212065E-3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1.15438525302881E-2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8.6578893977160756E-3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1.8323575444901746E-4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9.8947307402469419E-4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1.8491681641643964E-4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1.7258902865534365E-3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1.8491681641643964E-4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1.7567097559561765E-3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9.2458408208219819E-5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8.937646126794584E-4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9.3382992290302006E-3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7.9375543446756677E-3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7.5815894730740241E-3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2.527196491024686E-3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8.0438815141151247E-3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1.3406469190192041E-3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8.5986319633644427E-3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2.8662106544548268E-3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7.581589473074025E-3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3.2853554383320657E-3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8.7835487797808826E-3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1.6103172762931561E-3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1.8323575444901746E-4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1.6521757192819743E-3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7.1192974320329252E-3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1.1865495720054834E-3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8.5986319633644427E-3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2.8662106544548039E-4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8.7835487797808809E-3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1.9031022356191842E-3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9.1533824126137607E-3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1.8306764825227701E-3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9.1533824126137607E-3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7.6278186771781072E-4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3.4024694220624895E-2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1.7012347110312387E-3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9.0609240044055416E-3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9.8160010047726835E-3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8.5061735551562219E-3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3.2606998628098736E-3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3.476436148629064E-2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1.7382180743145258E-3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3.4024694220624881E-2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1.701234711031238E-3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8.0438815141151247E-3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9.5185931250362406E-3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3.4024694220624881E-2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6.2378606071145397E-3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9.2458408208219815E-3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1.4331053272274069E-2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2.9771607443046771E-2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1.4885803721523332E-3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8.7835487797808826E-3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1.4492855486638452E-2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3.2545359689293375E-2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1.627267984464663E-3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7.1192974320329252E-3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8.5431569184394995E-3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8.7835487797808809E-3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2.34227967460825E-3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3.2915193322126245E-2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1.6457596661063063E-3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9.1533824126137607E-3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2.0900223175468097E-2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7.9514231059069039E-3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6.6261859215890635E-4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8.5061735551562236E-3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1.2050412536471319E-2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3.2915193322126252E-2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1.0971731107375377E-3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3.4024694220624895E-2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6.2378606071145423E-3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7.581589473074025E-3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1.0235145788649917E-2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8.7835487797808826E-3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3.6598119915753546E-3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1.8491681641643964E-4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2.0741502908043982E-3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1.8491681641643964E-4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2.1049697602071381E-3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1.8491681641643964E-4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1.1618939964832956E-3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1.8491681641643964E-4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6.8419222074082668E-4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1.8491681641643964E-4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7.1501169014356674E-4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1.8491681641643964E-4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4.3763646551890731E-4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1.8491681641643964E-4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4.6845593492164715E-4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9.803112863022434E-3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8.0058755048016527E-3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9.1617877224508732E-5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4.9168260777153027E-4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1.2460031302533186E-2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3.5303422023844067E-3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1.15438525302881E-2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7.5035041446872694E-3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1.8323575444901746E-4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1.0383359418777659E-3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1.1727088284737116E-2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1.0749830927675699E-2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1.8323575444901746E-4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1.2857042103839389E-3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1.8491681641643964E-4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1.4670067435704212E-3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1.8491681641643964E-4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1.4978262129731613E-3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1.8491681641643964E-4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1.5902846211813804E-3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1.8491681641643964E-4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1.6519235599868607E-3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1.8491681641643964E-4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1.7752014375978207E-3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1.1543852530288098E-2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6.9263115181728604E-2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1.0994145266941048E-2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1.2460031302533188E-2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1.0994145266941048E-2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6.0467798968175841E-3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1.0536055880818506E-2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3.8632204896334524E-3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9.2458408208219819E-5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4.730788553320581E-4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1.8491681641643964E-4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1.9200529437906982E-3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1.8491681641643964E-4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1.9971016172975484E-3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1.8491681641643964E-4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2.0125113519989181E-3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1.2389426699901456E-2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5.3894006144571342E-2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1.2204509883485017E-2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2.2374934786389281E-3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1.2204509883485017E-2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1.1390875891252674E-2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1.1372384209611036E-2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3.4117152628833137E-3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1.1834676250652137E-2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2.1499661855351383E-2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9.3382992290302006E-3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6.2255328193534703E-3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9.0609240044055434E-3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1.0873108805286661E-2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8.7835487797808826E-3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2.3422796746082365E-2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1.8491681641643964E-4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1.038616118872336E-3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1.8491681641643964E-4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1.6272679844646686E-3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1.2093559793635153E-2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4.1722781288041293E-2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1.1543852530288098E-2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5.0215758506753236E-2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2.6477566517883022E-2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4.8542205282785366E-3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2.4131644542345371E-2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2.0109703785287803E-2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2.4224102950553595E-2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2.0186752458794689E-2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2.4686394991594692E-2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2.5097834908121279E-2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2.4316561358761812E-2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2.0263801132301536E-2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2.4095501710045795E-2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2.048117645353895E-2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2.4187119587270302E-2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2.0559051649179781E-2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1.1910324039186135E-2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2.1637088671188149E-2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2.4316561358761812E-2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1.3779384769965044E-2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1.3406469190191873E-2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2.1226909551137128E-2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1.1834676250652137E-2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1.5779568334202857E-2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1.2185177670859661E-2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1.7262335033717859E-2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2.4593936583386475E-2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6.9682820319595089E-3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2.6477566517883022E-2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5.295513303576656E-3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1.8323575444901746E-4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1.5910971344656351E-3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1.8323575444901746E-4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1.6216364268738044E-3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1.8323575444901746E-4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1.6521757192819739E-3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1.8491681641643964E-4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1.9940196703572741E-3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1.8491681641643964E-4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2.024839139760014E-3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1.1372384209611036E-2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8.3397484203814268E-3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1.1372384209611036E-2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3.9803344733638788E-3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2.4593936583386475E-2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6.5583830889030369E-3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1.8491681641643964E-4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2.0433308214016579E-3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1.8491681641643964E-4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1.9200529437906982E-3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1.1818706161961626E-2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7.2882021332096756E-3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1.1372384209611036E-2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5.6861921048055129E-3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8.6910903715726618E-3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4.7800997043649703E-3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1.8323575444901746E-4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1.7376857380248488E-3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1.8323575444901746E-4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1.8048721813228223E-3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1.8491681641643964E-4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1.9138890499101502E-3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1.8491681641643964E-4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2.0525766622224799E-3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1.8491681641643964E-4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2.0833961316252202E-3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1.8491681641643964E-4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2.1142156010279601E-3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1.8491681641643964E-4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2.1450350704306999E-3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1.8491681641643964E-4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2.1758545398334397E-3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1.8491681641643964E-4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2.1758545398334397E-3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1.1372384209611036E-2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1.8953973682685067E-2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1.2112051475276794E-2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6.0560257376383918E-3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1.1910324039186135E-2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3.5730972117558437E-3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1.2389426699901456E-2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4.0472127219678099E-2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1.2204509883485017E-2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8.1363399223233158E-4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1.1834676250652137E-2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1.2820899271539817E-2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1.8491681641643964E-4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1.8676598458060407E-3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1.8491681641643964E-4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1.6981527640909707E-3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1.8491681641643964E-4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1.7443819681950802E-3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1.8491681641643964E-4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1.9108071029698759E-3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1.8491681641643964E-4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1.9416265723726158E-3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1.8491681641643964E-4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1.9200529437906982E-3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1.8491681641643964E-4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1.9816918825961783E-3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1.8491681641643964E-4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2.0125113519989181E-3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1.8323575444901746E-4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2.0247550866616428E-3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2.4593936583386475E-2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7.7880799180723888E-3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1.8491681641643964E-4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2.024839139760014E-3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2.4593936583386475E-2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6.148484145846597E-3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1.1727088284737116E-2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3.7135779568334224E-3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1.8491681641643964E-4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1.9292987846115201E-3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1.8491681641643964E-4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1.9909377234169998E-3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2.4593936583386475E-2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4.5088883736209033E-3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1.8323575444901746E-4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1.9575686433636699E-3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1.8323575444901746E-4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1.9881079357718396E-3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1.8323575444901746E-4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2.0186472281800089E-3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1.8323575444901746E-4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2.0491865205881791E-3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1.2944177149150774E-3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1.5576159836144765E-2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1.8323575444901746E-4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1.9789461480493888E-3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1.8323575444901746E-4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2.0094854404575581E-3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1.8323575444901746E-4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2.0400247328657278E-3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1.8323575444901746E-4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2.0705640252738976E-3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1.8491681641643964E-4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2.1203794949085078E-3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1.8491681641643964E-4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2.1511989643112476E-3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1.8491681641643964E-4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1.9816918825961783E-3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1.8491681641643964E-4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2.0125113519989181E-3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1.8491681641643964E-4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2.0433308214016579E-3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1.8491681641643964E-4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2.0741502908043978E-3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1.8323575444901746E-4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2.0858336714779822E-3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1.8323575444901746E-4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2.1163729638861519E-3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1.2944177149150774E-3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1.5705601607636271E-2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1.2944177149150774E-3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1.4346463006975445E-2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2.4593936583386475E-2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1.1887069348636786E-2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1.3498927598400092E-2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2.3398141170560167E-2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1.2112051475276797E-2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2.1599825130910293E-2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9.803112863022434E-3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1.8625914439742638E-2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8.8760071879891017E-3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1.0947075531853234E-2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8.6910903715726618E-3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9.8499024211156829E-3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8.6910903715726618E-3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1.0574159952080081E-2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9.3382992290302006E-3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7.9998096728692056E-2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7.5815894730740241E-3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1.0993304735957336E-2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8.0438815141151247E-3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4.1560054489594772E-3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9.0609240044055434E-3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4.6814774022761931E-3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8.1363399223233438E-3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5.5733928467914903E-2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1.2460031302533186E-2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1.5367371939790925E-2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1.15438525302881E-2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5.0792951133267622E-2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1.2643267056982205E-2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4.5305040287519562E-2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1.1360616775839083E-2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3.1620383359418774E-2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1.0536055880818506E-2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2.1950116418371877E-2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1.1635470407512609E-2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2.0943846733522682E-2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1.3192974320329256E-2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6.4425691264274526E-2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7.3294301779606988E-3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4.3732266728498836E-2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1.2944177149150774E-3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1.4950524607269143E-2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1.1727088284737116E-2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1.211799122756169E-2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9.0609240044055434E-3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4.8324928023496302E-3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1.1543852530288098E-2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2.5011680482290882E-2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1.4658860355921395E-3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1.1238459606206402E-3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1.2826502811431222E-3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9.6198771085734161E-4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1.2944177149150774E-3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1.5101540007342567E-3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1.4793345313315169E-3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1.725890286553436E-3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1.4793345313315169E-3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3.0326357892296106E-3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1.4658860355921395E-3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6.425467122678879E-3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1.2826502811431222E-3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6.3918739010298915E-3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1.8491681641643964E-4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1.8861515274476845E-3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1.8491681641643964E-4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1.9169709968504243E-3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1.8491681641643964E-4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1.9477904662531641E-3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1.8323575444901746E-4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1.9606225726044868E-3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1.8323575444901746E-4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1.9911618650126565E-3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1.8323575444901746E-4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2.0217011574208263E-3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1.2944177149150774E-3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1.5727175236218194E-2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9.803112863022434E-3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6.045252932197159E-3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9.2989623789925202E-2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5.4243947210789754E-2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2.6477566517883022E-2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6.6193916294708024E-3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9.3382992290302006E-3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2.303447143160782E-2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8.5986319633644427E-3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6.0190423743551004E-3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9.0609240044055434E-3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6.3426468030838698E-3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1.0536055880818506E-2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4.2144223523274014E-3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1.1635470407512609E-2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4.6541881630050427E-3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1.2185177670859661E-2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2.1527147218518724E-2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1.8323575444901746E-4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1.9117597047514153E-3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1.8323575444901746E-4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1.972838289567755E-3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1.8323575444901746E-4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2.0033775819759242E-3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1.8323575444901746E-4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2.033916874384094E-3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1.8323575444901746E-4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2.0644561667922633E-3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1.8323575444901746E-4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2.094995459200433E-3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9.1617877224508732E-5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1.0627673758043014E-3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9.803112863022434E-3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3.5944747164415596E-3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9.0609240044055416E-3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1.3742401406681738E-2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8.5986319633644427E-3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1.031835835603733E-2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7.5815894730740241E-3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1.0993304735957336E-2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8.0438815141151247E-3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1.3272404498289951E-2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8.5986319633644427E-3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6.7355950379688126E-3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9.0609240044055434E-3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5.1345236024964687E-3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1.15438525302881E-2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2.5396475566633821E-2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1.8323575444901746E-4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1.9911618650126565E-3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1.8323575444901746E-4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2.0217011574208258E-3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1.8323575444901746E-4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2.0522404498289955E-3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1.8323575444901746E-4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1.9911618650126565E-3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1.8323575444901746E-4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2.0217011574208258E-3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1.8323575444901746E-4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2.0522404498289955E-3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1.2944177149150774E-3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1.5640880721890522E-2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9.1533824126137607E-3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3.8139093385890655E-3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1.2643267056982205E-2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4.0037012347110346E-3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1.0536055880818506E-2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1.8086895928738425E-2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1.1635470407512609E-2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5.0420371765887949E-3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2.6477566517883022E-2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3.9716349776824393E-3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1.8491681641643964E-4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2.0279210867002882E-3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1.8491681641643964E-4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2.0741502908043978E-3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1.8323575444901746E-4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1.9942157942534735E-3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1.8323575444901746E-4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2.0247550866616428E-3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1.8323575444901746E-4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2.055294379069812E-3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1.4658860355921395E-3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1.7712789596738356E-2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7.1192974320329252E-3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2.6104090584120727E-3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9.1533824126137607E-3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3.6613529650455037E-3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8.5986319633644427E-3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8.1687003651962145E-3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8.7835487797808826E-3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8.344371340791832E-3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1.0536055880818506E-2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1.7911294997391452E-2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1.3192974320329256E-2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1.4732154657701002E-2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1.1543852530288098E-2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1.6546188626746276E-2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2.4593936583386475E-2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5.3286862597337831E-3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1.8323575444901746E-4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1.8690046953799781E-3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1.8323575444901746E-4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1.8995439877881476E-3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1.8323575444901746E-4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1.9300832801963169E-3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1.8323575444901746E-4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1.9606225726044872E-3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1.8323575444901746E-4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1.9911618650126565E-3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1.8323575444901746E-4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2.0217011574208258E-3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1.8323575444901746E-4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2.0522404498289955E-3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1.8323575444901746E-4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2.0827797422371653E-3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1.8323575444901746E-4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2.1133190346453346E-3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5.3138368790215055E-3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8.8563947983691447E-4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2.6477566517883022E-2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6.178098854172683E-3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1.8323575444901746E-4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1.8109800398044562E-3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1.8323575444901746E-4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1.8415193322126257E-3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1.8323575444901746E-4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1.8720586246207952E-3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1.8323575444901746E-4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1.9025979170289645E-3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1.8323575444901746E-4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1.933137209437134E-3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1.8323575444901746E-4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1.9636765018453037E-3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1.8323575444901746E-4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1.9942157942534735E-3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1.8323575444901746E-4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2.0247550866616428E-3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1.8323575444901746E-4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2.055294379069812E-3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1.8323575444901746E-4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2.0858336714779822E-3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1.8323575444901746E-4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2.1163729638861519E-3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1.8323575444901746E-4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2.1469122562943212E-3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1.8323575444901746E-4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2.1774515487024909E-3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1.8323575444901746E-4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2.2079908411106598E-3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1.8491681641643964E-4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1.9816918825961783E-3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1.8491681641643964E-4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2.0125113519989181E-3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1.8491681641643964E-4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2.0433308214016579E-3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1.8491681641643964E-4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1.9724460417753563E-3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1.8491681641643964E-4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2.0032655111780961E-3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1.8491681641643964E-4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2.034084980580836E-3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1.8491681641643964E-4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2.0649044499835758E-3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1.8491681641643964E-4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2.0957239193863161E-3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1.8491681641643964E-4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2.1265433887890559E-3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7.3294301779606988E-3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6.1078584816339132E-3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9.0609240044055434E-3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3.9264004019090668E-3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1.8491681641643964E-4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1.8799876335671361E-3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1.8491681641643964E-4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1.9108071029698759E-3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1.8491681641643964E-4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1.9416265723726158E-3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1.8491681641643964E-4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1.9724460417753563E-3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1.8491681641643964E-4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2.0032655111780961E-3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1.8491681641643964E-4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2.034084980580836E-3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1.8491681641643964E-4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2.0649044499835758E-3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1.8491681641643964E-4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2.0957239193863161E-3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1.8491681641643964E-4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2.1265433887890559E-3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9.1533824126137607E-3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4.1190220856761901E-3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9.1533824126137607E-3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2.7460147237841305E-3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1.8491681641643964E-4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1.8830695805074104E-3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1.8491681641643964E-4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1.9138890499101502E-3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1.8491681641643964E-4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1.9447085193128901E-3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1.8491681641643964E-4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1.9755279887156301E-3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1.8491681641643964E-4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2.00634745811837E-3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1.8491681641643964E-4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2.0371669275211098E-3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1.8491681641643964E-4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2.0679863969238496E-3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1.8491681641643964E-4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2.0988058663265904E-3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1.8491681641643964E-4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2.1296253357293298E-3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1.8491681641643964E-4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1.7906111722991909E-3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1.8491681641643964E-4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1.8522501111046705E-3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1.4793345313315169E-3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7.0021834483025118E-3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2.4686394991594692E-2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7.0356225726044885E-2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1.4793345313315169E-3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1.785063667806697E-2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7.1461944235116804E-3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7.7417106254709786E-3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1.8491681641643964E-4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1.9940196703572741E-3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1.8491681641643964E-4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2.024839139760014E-3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1.8491681641643964E-4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2.0556586091627538E-3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1.8491681641643964E-4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2.0864780785654936E-3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1.8491681641643964E-4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2.1172975479682339E-3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1.8491681641643964E-4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2.1481170173709738E-3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1.8491681641643964E-4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2.1789364867737136E-3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1.8491681641643964E-4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1.6858249763298748E-3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1.8491681641643964E-4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1.7166444457326147E-3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1.8323575444901746E-4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1.7315778795432149E-3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9.1617877224508732E-5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8.1234517805731067E-4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1.8323575444901746E-4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1.6552296485227915E-3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9.1617877224508732E-5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8.4288447046548039E-4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1.8323575444901746E-4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1.7163082333391303E-3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1.8323575444901746E-4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1.9697843603269376E-3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9.1617877224508732E-5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1.0001618263675537E-3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8.6910903715726618E-3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3.7661391610148299E-3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1.3406469190191873E-2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2.5472291461364559E-2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1.3498927598400092E-2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4.949606786080034E-3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1.3192974320329256E-2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1.2973091414990425E-2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7.5815894730740241E-3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3.2853554383320757E-3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1.8491681641643964E-4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1.9786099356559044E-3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1.8491681641643964E-4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2.0094294050586443E-3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1.8491681641643964E-4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2.0402488744613841E-3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1.8491681641643964E-4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1.932380731551794E-3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1.8491681641643964E-4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1.9786099356559044E-3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1.8491681641643964E-4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2.024839139760014E-3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1.0536055880818506E-2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2.1950116418371895E-2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7.1461944235116804E-3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7.1461944235116839E-3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9.803112863022434E-3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1.2744046721929171E-2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9.3382992290302006E-3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3.2684047301605587E-3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1.8491681641643964E-4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1.9447085193128903E-3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1.8491681641643964E-4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2.0371669275211098E-3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1.8491681641643964E-4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1.9200529437906982E-3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1.8491681641643964E-4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1.950872413193438E-3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1.8491681641643964E-4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1.9816918825961783E-3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1.8491681641643964E-4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2.0125113519989181E-3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1.8491681641643964E-4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2.0433308214016579E-3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1.8491681641643964E-4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2.0741502908043978E-3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1.2112051475276797E-2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1.5543799393271883E-2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2.4593936583386475E-2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8.6078778041852686E-3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1.8491681641643964E-4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1.8584140049852185E-3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1.8491681641643964E-4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1.9200529437906982E-3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8.8760071879891017E-3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7.1008057503912795E-3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8.6910903715726618E-3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5.938911753907988E-3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1.8491681641643964E-4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1.8275945355824786E-3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1.8491681641643964E-4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1.8584140049852185E-3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1.8491681641643964E-4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1.8892334743879583E-3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1.8491681641643964E-4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1.9200529437906982E-3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1.8491681641643964E-4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1.950872413193438E-3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1.8491681641643964E-4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1.9816918825961783E-3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6.5964871601646279E-3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9.894730740246941E-3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1.3192974320329256E-2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3.6280679380905449E-2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1.0536055880818506E-2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5.0924270090622736E-3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1.1635470407512609E-2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5.6238106969644236E-3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1.8491681641643964E-4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2.034084980580836E-3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1.8323575444901746E-4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2.0614022375514463E-3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1.8323575444901746E-4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2.1072111761637007E-3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1.2460031302533186E-2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6.2300156512665877E-3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1.0536055880818506E-2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5.4436288717562226E-3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1.1635470407512609E-2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6.2055842173400514E-3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9.3382992290302006E-3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1.3696172202577616E-2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1.3192974320329256E-2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2.9904075126079645E-2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7.1461944235116804E-3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1.1433911077618686E-2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4.8355747492898962E-2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1.3700795122987991E-2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4.9002956350356501E-2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3.5935501323594771E-2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4.8465857051765142E-2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2.4232928525882484E-2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3.4265086081966274E-2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1.9416882113114244E-2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9.803112863022434E-3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8.3326459335690654E-3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7.1461944235116804E-3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3.5492765636774677E-2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1.3192974320329256E-2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2.2867822155237368E-2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1.8491681641643964E-4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1.9940196703572741E-3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1.8491681641643964E-4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2.0864780785654936E-3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1.8323575444901746E-4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2.0217011574208258E-3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1.8323575444901746E-4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2.1133190346453346E-3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8.7036983363283291E-3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7.9783901416342964E-3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1.1834676250652137E-2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1.8146503584333274E-2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9.3382992290302006E-3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7.6262777037079945E-3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1.2460031302533186E-2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1.7028709446795343E-2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1.8491681641643964E-4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1.987855776476726E-3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1.8491681641643964E-4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2.0803141846849455E-3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1.8491681641643964E-4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2.034084980580836E-3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1.8323575444901746E-4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2.1072111761637007E-3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4.33327343342415E-2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1.6610881494792572E-2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1.8491681641643964E-4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1.987855776476726E-3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1.8491681641643964E-4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1.8953973682685062E-3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1.8323575444901746E-4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2.0308629451432766E-3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1.8323575444901746E-4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1.9087057755105986E-3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1.8323575444901746E-4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1.9392450679187679E-3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1.8323575444901746E-4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1.9697843603269376E-3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1.8323575444901746E-4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2.0003236527351073E-3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1.8323575444901746E-4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2.0308629451432766E-3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1.8323575444901746E-4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2.0614022375514463E-3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1.8323575444901746E-4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2.0919415299596161E-3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7.1461944235116804E-3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3.7398417483044462E-2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2.6477566517883022E-2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3.0007908720267425E-2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4.33327343342415E-2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1.2277608061368439E-2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9.2989623789925202E-2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2.634706007381217E-2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1.8491681641643964E-4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9.5540355148493819E-4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1.8491681641643964E-4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1.0478619596931576E-3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1.8323575444901746E-4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1.9087057755105986E-3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1.8323575444901746E-4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1.9881079357718396E-3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1.8323575444901746E-4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2.0491865205881782E-3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1.8491681641643964E-4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1.4331053272274071E-3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1.8491681641643964E-4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1.4793345313315171E-3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9.1617877224508732E-5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1.0474977296002165E-3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1.8323575444901746E-4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1.951460784882036E-3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1.8323575444901746E-4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1.9972697234942904E-3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6.5964871601646279E-3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1.4952037563039823E-2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2.6477566517883022E-2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4.5453155855699201E-2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1.8491681641643964E-4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1.923134890730972E-3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7.1461944235116804E-3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1.7865486058779193E-2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2.6477566517883022E-2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1.9416882113114219E-2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7.1461944235116804E-3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1.3935079125847774E-2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4.8465857051765142E-2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1.2116464262941242E-2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4.33327343342415E-2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1.805530597260056E-2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3.4265086081966274E-2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6.2819324483604612E-3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7.1461944235116804E-3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2.3225131876412966E-2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4.9473653701234714E-3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2.3087705060576185E-3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1.1177381021390065E-2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3.9120833574865085E-3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1.1834676250652137E-2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6.9035611462137537E-3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1.8491681641643964E-4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1.9755279887156301E-3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1.8491681641643964E-4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2.00634745811837E-3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1.8491681641643964E-4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2.0371669275211098E-3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1.8491681641643964E-4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2.0679863969238496E-3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1.8491681641643964E-4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2.0988058663265904E-3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7.1461944235116804E-3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2.405885455915599E-2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1.8491681641643964E-4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1.9786099356559044E-3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7.1461944235116804E-3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2.8584777694046715E-2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2.0522404498289955E-2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2.0522404498290155E-3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1.1452234653063591E-2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1.145223465306355E-3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1.0536055880818506E-2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7.3752391165729557E-3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7.1461944235116804E-3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3.4659042954031646E-2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3.0050663729638865E-2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7.0118215369157104E-3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4.33327343342415E-2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1.4444244778080506E-2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1.2460031302533186E-2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5.8146812745154992E-3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1.15438525302881E-2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9.0426844820590113E-3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1.8323575444901746E-4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7.2988908855525325E-4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1.8323575444901746E-4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1.9911618650126565E-3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1.8323575444901746E-4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2.0217011574208263E-3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1.8323575444901746E-4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2.0522404498289955E-3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1.8323575444901746E-4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2.0827797422371653E-3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7.3294301779606988E-3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1.0016887909879615E-2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1.8323575444901746E-4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1.9697843603269376E-3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1.8323575444901746E-4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2.0003236527351073E-3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1.1452234653063591E-2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3.4356703959190957E-3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1.0536055880818506E-2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7.5508400479199307E-3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9.1617877224508732E-5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9.8947307402469441E-4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1.8323575444901746E-4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2.0094854404575581E-3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1.8323575444901746E-4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2.0400247328657278E-3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1.8323575444901746E-4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2.0705640252738971E-3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1.8323575444901746E-4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2.1011033176820668E-3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1.8491681641643964E-4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2.1511989643112476E-3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1.3192974320329256E-2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6.8163700655034598E-3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3.4265086081966274E-2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6.2819324483605072E-3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1.8323575444901746E-4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1.2215716963267832E-3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1.8323575444901746E-4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1.9056518462697814E-3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1.8323575444901746E-4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1.9361911386779509E-3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1.8323575444901746E-4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1.9667304310861211E-3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1.8323575444901746E-4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1.9972697234942904E-3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1.8323575444901746E-4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2.0278090159024597E-3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1.8323575444901746E-4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2.0583483083106294E-3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1.8323575444901746E-4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2.0888876007187991E-3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1.8323575444901746E-4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2.1194268931269684E-3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1.8323575444901746E-4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2.0614022375514463E-3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1.8323575444901746E-4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2.1072111761637007E-3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1.1452234653063591E-2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1.1261364075512552E-2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1.0536055880818506E-2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1.036045494947155E-2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1.8491681641643964E-4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1.9940196703572741E-3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1.8491681641643964E-4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2.024839139760014E-3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1.8491681641643964E-4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2.0556586091627538E-3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1.8491681641643964E-4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2.0864780785654936E-3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1.2093559793635153E-2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1.5721627731725706E-2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1.2460031302533186E-2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4.5479114254246132E-2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1.1360616775839083E-2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9.2778370336019291E-3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1.0536055880818506E-2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4.3724631905396813E-2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1.1635470407512609E-2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3.1221845593492181E-2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1.2185177670859661E-2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3.2696893416806774E-2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1.3192974320329256E-2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4.1337986203698343E-2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7.1192974320329252E-3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1.8154208451683963E-2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2.3545794446698746E-2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0.29039813150928456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2.2537997797229148E-2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0.27796863949915956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2.3545794446698746E-2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0.2915754212316195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2.2537997797229148E-2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0.27909553938902099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2.4003883832821291E-2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1.4402330299692788E-2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2.382064807837227E-2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1.4292388847023375E-2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8.5986319633644427E-3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7.7387687670280054E-3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7.5815894730740241E-3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1.111966456050857E-2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7.766506289490464E-3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1.3073618920642287E-2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7.581589473074025E-3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1.5289538770699289E-2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1.3192974320329256E-2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1.3632740131006902E-2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1.2093559793635153E-2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3.7691594690162901E-2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8.7835487797808826E-3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5.4165217475315363E-3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7.0545765462871708E-3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1.2463085231774005E-2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2.3545794446698746E-2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0.27666308474871021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2.2537997797229148E-2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0.26482147411744245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1.2643267056982205E-2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2.9711677583908178E-2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1.1360616775839083E-2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2.6697449423221841E-2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1.1635470407512609E-2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7.7569802716750602E-3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1.2185177670859661E-2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8.1234517805730943E-3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1.15438525302881E-2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6.9263115181728511E-3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9.1533824126137607E-3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1.5865862848530511E-2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9.3382992290302006E-3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3.4240430506444063E-2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7.581589473074025E-3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2.1607529998260964E-2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1.8323575444901746E-4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1.9117597047514155E-3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1.8323575444901746E-4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1.942298997159585E-3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1.8323575444901746E-4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1.9728382895677545E-3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1.8323575444901746E-4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2.0033775819759238E-3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1.8323575444901746E-4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2.033916874384094E-3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1.8491681641643964E-4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1.9755279887156301E-3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1.3498927598400092E-2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5.6245531660000367E-3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1.15438525302881E-2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1.4622213205031587E-2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4.33327343342415E-2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2.0944154928216708E-2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9.2989623789925202E-2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4.4944984831797145E-2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1.2826502811431221E-2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2.9287181419434618E-2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1.1635470407512609E-2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4.8481126697969184E-3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2.3545794446698746E-2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0.27077663613703556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2.2537997797229148E-2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0.25918697466813523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1.0536055880818506E-2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1.1414060537553368E-2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9.803112863022434E-3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3.9049066237706022E-2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1.1372384209611036E-2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5.420836473247926E-2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1.8323575444901746E-4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1.9087057755105988E-3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1.8323575444901746E-4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1.9392450679187679E-3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1.8323575444901746E-4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1.9697843603269376E-3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2.3545794446698746E-2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0.28019495391571508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2.2537997797229148E-2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0.26820217378702688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1.6642513477479568E-3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7.8497188568778659E-3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1.6642513477479568E-3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7.8497188568778659E-3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2.3545794446698746E-2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0.28451168289760992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2.2537997797229148E-2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0.27233414004985224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1.6642513477479568E-3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2.0109703785287814E-2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1.6642513477479568E-3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2.0109703785287814E-2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1.15438525302881E-2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9.6198771085734287E-3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1.3192974320329256E-2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1.9349695669816244E-2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1.8323575444901746E-4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1.9239754217146837E-3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1.8323575444901746E-4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1.9545147141228534E-3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2.3545794446698746E-2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0.28922084178694962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2.2537997797229148E-2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0.27684173960929809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1.6642513477479568E-3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2.0442554054837404E-2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1.6642513477479568E-3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2.0442554054837404E-2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1.8491681641643964E-4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1.9816918825961783E-3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1.8491681641643964E-4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2.0125113519989181E-3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1.8491681641643964E-4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2.0433308214016579E-3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1.8491681641643964E-4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2.0741502908043978E-3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1.8491681641643964E-4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2.1049697602071381E-3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2.3545794446698746E-2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0.28608140252738984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2.2537997797229148E-2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0.2738366732363342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1.6642513477479568E-3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2.0220653875137679E-2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1.6642513477479568E-3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2.0220653875137679E-2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1.8491681641643964E-4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1.9354626784920679E-3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1.8491681641643964E-4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1.9662821478948086E-3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1.8491681641643964E-4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1.9971016172975484E-3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1.8491681641643964E-4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2.0279210867002882E-3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1.8491681641643964E-4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2.0587405561030281E-3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1.8491681641643964E-4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2.0895600255057679E-3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1.8491681641643964E-4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2.1203794949085078E-3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4.8465857051765142E-2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8.077642841960957E-3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2.3545794446698746E-2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0.29314514086139942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2.2537997797229148E-2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0.2805980725755029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1.6642513477479568E-3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2.0719929279462063E-2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1.6642513477479568E-3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2.0719929279462063E-2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1.2460031302533186E-2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1.3290700056035401E-2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1.15438525302881E-2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1.2313442698973977E-2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9.3382992290302006E-3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6.5368094603211425E-3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1.15438525302881E-2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2.0778934554518583E-2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1.3498927598400092E-2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6.5244816725600393E-3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1.2460031302533186E-2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1.1006360983904308E-2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1.15438525302881E-2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1.0197069735087817E-2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1.8323575444901746E-4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1.9667304310861211E-3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1.8323575444901746E-4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1.9972697234942904E-3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1.8323575444901746E-4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2.0278090159024597E-3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4.9002956350356501E-2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2.4501478175178296E-2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4.8465857051765142E-2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1.7770814252313888E-2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3.4265086081966274E-2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1.2563864896720968E-2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2.3545794446698746E-2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0.29039813150928451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2.2537997797229148E-2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0.27796863949915945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1.6642513477479568E-3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2.0525766622224797E-2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1.6642513477479568E-3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2.0525766622224797E-2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1.15438525302881E-2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2.4242090313605018E-2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9.0609240044055434E-3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1.0571078005139799E-2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4.9002956350356501E-2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2.2051330357660347E-2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4.8465857051765142E-2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1.5347521399725573E-2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3.4265086081966274E-2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1.0850610592622614E-2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1.8323575444901746E-4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1.9209214924738663E-3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1.8323575444901746E-4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1.951460784882036E-3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1.8323575444901746E-4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1.9820000772902053E-3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1.8323575444901746E-4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2.012539369698375E-3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1.8323575444901746E-4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2.0430786621065443E-3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1.8323575444901746E-4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2.0736179545147145E-3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1.8491681641643964E-4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1.969364094835082E-3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1.8491681641643964E-4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2.015593298939192E-3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2.3545794446698746E-2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0.29118299132417447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2.2537997797229148E-2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0.27871990609240044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1.6642513477479568E-3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2.0581241667149731E-2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1.6642513477479568E-3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2.0581241667149731E-2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4.8355747492898962E-2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1.7730440747396287E-2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4.9002956350356501E-2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3.5118785384422167E-2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4.8465857051765142E-2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2.8271749946862962E-2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3.4265086081966274E-2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1.9987966881146967E-2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1.15438525302881E-2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1.5776598458060394E-2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8.5845950959364689E-2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2.1461487739841325E-2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2.6477566517883022E-2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6.6193916294708024E-3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2.4003883832821284E-2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1.2001941916410663E-2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1.8323575444901746E-4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1.9697843603269376E-3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1.8323575444901746E-4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2.0003236527351073E-3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1.8323575444901746E-4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2.0308629451432766E-3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1.8491681641643964E-4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2.0803141846849455E-3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4.8355747492898962E-2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9.5099636736034679E-2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4.9002956350356501E-2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0.10127277645740347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4.8465857051765142E-2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9.6931714103530325E-2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3.4265086081966274E-2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6.9101256931965352E-2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4.33327343342415E-2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7.3665648368210629E-2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2.4593936583386475E-2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6.1484841458466621E-3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9.2989623789925202E-2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0.1394844356848878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2.3545794446698746E-2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0.28922084178694962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2.2537997797229148E-2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0.27684173960929809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1.6642513477479568E-3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2.0442554054837404E-2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1.6642513477479568E-3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2.0442554054837404E-2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2.4003883832821284E-2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2.2803689641180205E-2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1.8491681641643964E-4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1.9940196703572741E-3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1.8491681641643964E-4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2.024839139760014E-3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1.8323575444901746E-4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2.0369708036249105E-3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1.8323575444901746E-4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2.0675100960330802E-3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2.3545794446698746E-2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0.28333439317527492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2.2537997797229148E-2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0.27120724015999076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1.6642513477479568E-3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2.0026491217900413E-2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1.6642513477479568E-3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2.0026491217900413E-2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1.8491681641643964E-4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1.9385446254323424E-3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1.8491681641643964E-4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1.9847738295364521E-3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2.3545794446698746E-2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0.28529654271249988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2.2537997797229148E-2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0.27308540664309322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1.6642513477479568E-3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2.0165178830212748E-2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1.6642513477479568E-3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2.0165178830212748E-2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1.3498927598400092E-2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2.047337352424014E-2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1.1834676250652137E-2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8.1659266129499752E-2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1.0817633760361718E-2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1.6767332328560675E-2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1.8491681641643964E-4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1.9816918825961783E-3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1.8323575444901746E-4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1.9942157942534735E-3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1.8323575444901746E-4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2.0247550866616428E-3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1.8323575444901746E-4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2.055294379069812E-3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1.8323575444901746E-4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2.0858336714779822E-3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1.4793345313315169E-3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7.692539562923888E-3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1.4793345313315169E-3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7.692539562923888E-3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1.4793345313315169E-3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7.692539562923888E-3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2.3545794446698746E-2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0.28882841187950459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2.2537997797229148E-2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0.27646610631267754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1.6642513477479568E-3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2.0414816532374935E-2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1.6642513477479568E-3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2.0414816532374935E-2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1.4793345313315169E-3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1.8146503584333271E-2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1.4793345313315169E-3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1.8146503584333271E-2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1.8491681641643964E-4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1.9662821478948086E-3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7.1461944235116804E-3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4.7522192916352679E-2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2.8859631325720246E-2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1.010087096400205E-2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1.8323575444901746E-4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1.9484068556412193E-3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1.8323575444901746E-4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1.9789461480493888E-3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1.8323575444901746E-4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2.0094854404575581E-3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1.8323575444901746E-4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2.0400247328657278E-3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2.3545794446698746E-2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0.2876511221571697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2.2537997797229148E-2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0.27533920642281612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1.6642513477479568E-3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2.0331603964987541E-2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1.6642513477479568E-3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2.0331603964987541E-2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1.4793345313315169E-3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1.8072536857766702E-2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1.4793345313315169E-3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1.8072536857766702E-2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7.1461944235116804E-3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8.7302675207234379E-2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1.8491681641643964E-4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1.9539543601337123E-3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1.8491681641643964E-4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1.8614959519254923E-3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1.8323575444901746E-4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1.8751125538616119E-3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1.8323575444901746E-4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1.9056518462697814E-3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1.8323575444901746E-4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1.9361911386779516E-3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1.8323575444901746E-4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1.9667304310861211E-3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1.8323575444901746E-4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1.9972697234942904E-3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1.8323575444901746E-4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2.0278090159024597E-3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1.8323575444901746E-4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2.0583483083106298E-3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2.3545794446698746E-2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0.27744794456360017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2.2537997797229148E-2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0.26557274071068343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1.6642513477479568E-3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1.961042838096342E-2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1.6642513477479568E-3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1.961042838096342E-2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1.4793345313315169E-3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1.7431491894189705E-2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1.4793345313315169E-3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1.7431491894189705E-2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1.8323575444901746E-4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1.9117597047514155E-3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1.8323575444901746E-4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1.942298997159585E-3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1.8323575444901746E-4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1.9728382895677545E-3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1.8323575444901746E-4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2.0033775819759238E-3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2.3545794446698746E-2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0.27313121558170539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2.2537997797229148E-2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0.26144077444785807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1.6642513477479568E-3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1.9305315633876295E-2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1.6642513477479568E-3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1.9305315633876295E-2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1.4793345313315169E-3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1.7160280563445592E-2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1.4793345313315169E-3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1.7160280563445592E-2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4.8355747492898962E-2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1.1283007748343052E-2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4.9002956350356501E-2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1.1434023148416477E-2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4.8465857051765142E-2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1.130869997874516E-2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3.4265086081966274E-2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7.9951867524587685E-3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4.8355747492898962E-2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1.370079512298812E-2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4.8465857051765142E-2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1.3731992831333537E-2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3.4265086081966274E-2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9.7084410565571686E-3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4.9002956350356501E-2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0.15109244874693267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1.8323575444901746E-4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1.8873282708248801E-3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1.8323575444901746E-4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1.9178675632330496E-3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2.3545794446698746E-2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0.28961327169439455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2.2537997797229148E-2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0.27721737290591847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1.6642513477479568E-3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2.0470291577299866E-2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1.6642513477479568E-3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2.0470291577299866E-2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1.4793345313315169E-3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1.8195814735377656E-2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1.4793345313315169E-3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1.8195814735377656E-2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4.9002956350356501E-2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0.19682854134059868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1.8323575444901746E-4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1.9361911386779516E-3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1.8323575444901746E-4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1.9667304310861211E-3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1.8323575444901746E-4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1.9972697234942904E-3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2.3545794446698746E-2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0.29275271095395439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2.2537997797229148E-2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0.28022243927888235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1.6642513477479568E-3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2.0692191756999594E-2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1.6642513477479568E-3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2.0692191756999594E-2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1.4793345313315169E-3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1.8393059339555189E-2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1.4793345313315169E-3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1.8393059339555189E-2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8.8760071879891017E-3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1.198260970378528E-2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8.5061735551562236E-3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1.3893416806755161E-2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1.3192974320329256E-2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2.7485363167352606E-2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1.8491681641643964E-4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1.9755279887156301E-3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1.8491681641643964E-4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2.00634745811837E-3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1.8491681641643964E-4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2.0371669275211098E-3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1.8491681641643964E-4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2.0679863969238496E-3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2.3545794446698746E-2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0.2837268230827199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2.2537997797229148E-2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0.27158287345661125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1.6642513477479568E-3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2.0054228740362879E-2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1.6642513477479568E-3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2.0054228740362879E-2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1.4793345313315169E-3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1.7825981102544779E-2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1.4793345313315169E-3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1.7825981102544779E-2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1.1834676250652137E-2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8.0870287712789621E-3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4.9002956350356501E-2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2.8585057871041257E-2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1.8323575444901746E-4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1.8964900585473311E-3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1.8323575444901746E-4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1.9270293509555001E-3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1.8491681641643964E-4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1.9755279887156301E-3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1.8323575444901746E-4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1.850681119935076E-3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1.8323575444901746E-4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1.8964900585473311E-3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2.3545794446698746E-2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0.28529654271249988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2.2537997797229148E-2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0.27308540664309322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1.6642513477479568E-3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2.0165178830212748E-2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1.6642513477479568E-3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2.0165178830212748E-2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1.4793345313315169E-3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1.792460340463355E-2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1.4793345313315169E-3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1.792460340463355E-2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9.1533824126137607E-3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9.0008260390701898E-3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1.8491681641643964E-4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1.9755279887156301E-3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1.8491681641643964E-4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2.00634745811837E-3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2.3545794446698746E-2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0.27666308474871026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2.2537997797229148E-2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0.2648214741174425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1.6642513477479568E-3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1.9554953336038492E-2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1.6642513477479568E-3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1.9554953336038492E-2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1.4793345313315169E-3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1.7382180743145324E-2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1.4793345313315169E-3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1.7382180743145324E-2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2.5426062257260448E-2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1.5679405058643955E-2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1.1834676250652137E-2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6.3118273336811486E-3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1.3192974320329256E-2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9.4549649295693015E-3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2.3545794446698746E-2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0.26920691650725564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2.2537997797229148E-2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0.25768444148165326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1.6642513477479568E-3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8.6818445307518411E-3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1.6642513477479568E-3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8.6818445307518411E-3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1.4793345313315169E-3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1.4004366896605029E-2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1.4793345313315169E-3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1.4004366896605029E-2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2.2652310011013848E-2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1.5101540007342573E-2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2.2824618862674624E-2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8.3690269163140592E-3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1.8323575444901746E-4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1.7804407473962865E-3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1.8323575444901746E-4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1.8109800398044558E-3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1.8323575444901746E-4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1.8415193322126253E-3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1.8323575444901746E-4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1.8720586246207954E-3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1.8323575444901746E-4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1.9025979170289645E-3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1.8323575444901746E-4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1.9331372094371344E-3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2.3545794446698746E-2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0.28922084178694962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2.2537997797229148E-2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0.27684173960929809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1.3192974320329256E-2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9.4549649295693015E-3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1.8491681641643964E-4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1.969364094835082E-3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1.8491681641643964E-4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2.0001835642378218E-3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1.8491681641643964E-4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2.0310030336405617E-3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1.8323575444901746E-4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2.0430786621065443E-3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1.8491681641643964E-4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1.8769056866268625E-3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1.8491681641643964E-4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1.9077251560296023E-3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1.8323575444901746E-4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1.9209214924738663E-3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1.8323575444901746E-4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1.951460784882036E-3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1.8323575444901746E-4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1.9820000772902053E-3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1.8323575444901746E-4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2.012539369698375E-3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2.3545794446698746E-2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0.28568897261994475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2.2537997797229148E-2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0.27346103993971366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1.8491681641643964E-4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1.9662821478948086E-3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1.8491681641643964E-4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1.9971016172975484E-3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1.8491681641643964E-4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2.0279210867002882E-3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2.3545794446698746E-2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0.2837268230827199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2.2537997797229148E-2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0.27158287345661125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1.8491681641643964E-4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1.9200529437906982E-3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1.8491681641643964E-4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1.9508724131934382E-3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7.1192974320329252E-3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2.7290640156126212E-3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2.3545794446698746E-2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0.28215710345293998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2.2537997797229148E-2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0.27008034027012934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2.0522404498289955E-2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6.8408014994299606E-3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1.8491681641643964E-4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1.8984793152087805E-3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1.8491681641643964E-4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1.9292987846115201E-3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1.8491681641643964E-4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1.96011825401426E-3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1.8323575444901746E-4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1.9728382895677545E-3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2.3545794446698746E-2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0.28294196326782989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2.2537997797229148E-2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0.27083160686337021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1.8491681641643964E-4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1.9416265723726164E-3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2.3545794446698746E-2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0.28568897261994475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2.2537997797229148E-2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0.27346103993971366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1.8491681641643964E-4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1.9508724131934382E-3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2.3545794446698746E-2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0.28686626234227974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2.2537997797229148E-2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0.27458793982957519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1.8323575444901746E-4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1.9331372094371344E-3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2.3545794446698746E-2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0.28725869224972467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2.2537997797229148E-2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0.27496357312619557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2.3545794446698746E-2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0.28490411280505484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2.2537997797229148E-2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0.25993824126137616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2.4003883832821291E-2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2.000323652735107E-2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1.1360616775839083E-2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8.3311189689486614E-2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1.2643267056982205E-2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2.9500956466291809E-2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2.2537997797229148E-2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0.13522798678337486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1.8491681641643964E-4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1.9724460417753563E-3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1.8491681641643964E-4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2.0032655111780961E-3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1.8323575444901746E-4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1.9087057755105986E-3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1.8323575444901746E-4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1.9545147141228534E-3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1.4658860355921395E-3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1.7957103936003711E-2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1.649121790041157E-3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2.0201741928004176E-2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1.1910324039186135E-3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1.4590146948003016E-2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1.1910324039186135E-3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1.4590146948003016E-2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1.2826502811431222E-3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1.5712465944003249E-2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1.1910324039186135E-3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1.4590146948003016E-2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1.1910324039186135E-3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1.4590146948003016E-2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9.1617877224508734E-4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1.1223189960002322E-2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1.4658860355921395E-3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1.7541769559252601E-2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1.649121790041157E-3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1.9734490754159176E-2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1.1910324039186135E-3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1.4252687766892739E-2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1.1910324039186135E-3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1.4252687766892739E-2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1.2826502811431222E-3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1.5349048364346028E-2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1.1910324039186135E-3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1.4252687766892739E-2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1.1910324039186135E-3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1.4252687766892739E-2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9.1617877224508734E-4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1.0963605974532878E-2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1.8491681641643964E-4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1.9447085193128903E-3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1.8491681641643964E-4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1.9755279887156301E-3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2.3545794446698746E-2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0.10006962639846967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2.2537997797229148E-2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9.5786490638223878E-2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1.4658860355921395E-3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1.7859378200297569E-2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1.649121790041157E-3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2.0091800475334765E-2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1.1910324039186135E-3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1.4510744787741777E-2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1.1910324039186135E-3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1.4510744787741777E-2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1.2826502811431222E-3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1.5626955925260373E-2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1.1910324039186135E-3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1.4510744787741777E-2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1.2826502811431222E-3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1.5626955925260373E-2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1.4658860355921395E-3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1.7859378200297569E-2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1.1910324039186135E-3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1.4510744787741777E-2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9.1617877224508734E-4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1.1162111375185982E-2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1.2204509883485017E-2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8.1363399223233473E-3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2.4593936583386475E-2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6.9682820319595089E-3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1.8491681641643964E-4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1.9447085193128903E-3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1.8491681641643964E-4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1.9755279887156301E-3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1.8323575444901746E-4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1.8812204123432458E-3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1.4658860355921395E-3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1.7639495294958746E-2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1.649121790041157E-3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1.9844432206828588E-2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1.1910324039186135E-3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1.4332089927153981E-2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1.1910324039186135E-3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1.4332089927153981E-2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1.2826502811431222E-3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1.5434558383088904E-2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1.1910324039186135E-3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1.4332089927153981E-2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1.2826502811431222E-3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1.5434558383088904E-2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1.4658860355921395E-3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1.7639495294958746E-2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1.1910324039186135E-3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1.4332089927153981E-2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9.1617877224508734E-4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1.1024684559349218E-2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9.2458408208219815E-3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1.7567097559561776E-2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8.7835487797808826E-3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1.4639247966301654E-3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8.5986319633644427E-3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2.8662106544548268E-3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7.1461944235116804E-3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4.1686134137151514E-3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7.5126659324097154E-3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3.2554885707108852E-3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1.8323575444901746E-4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1.9270293509555006E-3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1.4658860355921395E-3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1.7859378200297569E-2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1.649121790041157E-3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2.0091800475334765E-2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1.1910324039186135E-3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1.4510744787741777E-2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1.1910324039186135E-3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1.4510744787741777E-2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1.2826502811431222E-3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1.5626955925260373E-2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1.1910324039186135E-3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1.4510744787741777E-2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1.2826502811431222E-3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1.5626955925260373E-2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1.4658860355921395E-3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1.7859378200297569E-2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1.1910324039186135E-3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1.4510744787741777E-2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9.1617877224508734E-4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1.1162111375185982E-2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1.8491681641643964E-4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1923</v>
      </c>
      <c r="AI996" s="32" t="s">
        <v>367</v>
      </c>
      <c r="AJ996" s="34">
        <f ca="1">IFERROR(PA[[#This Row],[Breakdown Time]]*PA[[#This Row],[Plant Equivalent Weightage]],"")</f>
        <v>1.8892334743879587E-3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1.8491681641643964E-4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1924</v>
      </c>
      <c r="AI997" s="32" t="s">
        <v>367</v>
      </c>
      <c r="AJ997" s="34">
        <f ca="1">IFERROR(PA[[#This Row],[Breakdown Time]]*PA[[#This Row],[Plant Equivalent Weightage]],"")</f>
        <v>1.9200529437906982E-3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1.8491681641643964E-4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1925</v>
      </c>
      <c r="AI998" s="32" t="s">
        <v>367</v>
      </c>
      <c r="AJ998" s="34">
        <f ca="1">IFERROR(PA[[#This Row],[Breakdown Time]]*PA[[#This Row],[Plant Equivalent Weightage]],"")</f>
        <v>1.9508724131934382E-3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1.8491681641643964E-4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1926</v>
      </c>
      <c r="AI999" s="32" t="s">
        <v>367</v>
      </c>
      <c r="AJ999" s="34">
        <f ca="1">IFERROR(PA[[#This Row],[Breakdown Time]]*PA[[#This Row],[Plant Equivalent Weightage]],"")</f>
        <v>1.8892334743879587E-3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1.8323575444901746E-4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1.9025979170289645E-3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1.8323575444901746E-4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1927</v>
      </c>
      <c r="AI1001" s="32" t="s">
        <v>367</v>
      </c>
      <c r="AJ1001" s="34">
        <f ca="1">IFERROR(PA[[#This Row],[Breakdown Time]]*PA[[#This Row],[Plant Equivalent Weightage]],"")</f>
        <v>1.9331372094371344E-3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1.8323575444901746E-4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1928</v>
      </c>
      <c r="AI1002" s="32" t="s">
        <v>367</v>
      </c>
      <c r="AJ1002" s="34">
        <f ca="1">IFERROR(PA[[#This Row],[Breakdown Time]]*PA[[#This Row],[Plant Equivalent Weightage]],"")</f>
        <v>1.9636765018453033E-3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1.4658860355921395E-3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1.7297455219987247E-2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1.649121790041157E-3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1.9459637122485652E-2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1.1910324039186135E-3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1.4054182366239639E-2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1.1910324039186135E-3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1.4054182366239639E-2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1.2826502811431222E-3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1.5135273317488844E-2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1.1910324039186135E-3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1.4054182366239639E-2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1.2826502811431222E-3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1.5135273317488844E-2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1.4658860355921395E-3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1.7297455219987247E-2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1.1910324039186135E-3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1.4054182366239639E-2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9.1617877224508734E-4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1.0810909512492032E-2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1.8323575444901746E-4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1930</v>
      </c>
      <c r="AI1013" s="32" t="s">
        <v>367</v>
      </c>
      <c r="AJ1013" s="34">
        <f ca="1">IFERROR(PA[[#This Row],[Breakdown Time]]*PA[[#This Row],[Plant Equivalent Weightage]],"")</f>
        <v>1.9178675632330498E-3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1.8491681641643964E-4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1931</v>
      </c>
      <c r="AI1014" s="32" t="s">
        <v>367</v>
      </c>
      <c r="AJ1014" s="34">
        <f ca="1">IFERROR(PA[[#This Row],[Breakdown Time]]*PA[[#This Row],[Plant Equivalent Weightage]],"")</f>
        <v>1.9662821478948086E-3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1.8491681641643964E-4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1.9971016172975484E-3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1.4658860355921395E-3</v>
      </c>
      <c r="W1016" s="35" t="s">
        <v>433</v>
      </c>
      <c r="X1016" s="38"/>
      <c r="Y1016" s="354" t="s">
        <v>1909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1929</v>
      </c>
      <c r="AI1016" s="32" t="s">
        <v>367</v>
      </c>
      <c r="AJ1016" s="34">
        <f ca="1">IFERROR(PA[[#This Row],[Breakdown Time]]*PA[[#This Row],[Plant Equivalent Weightage]],"")</f>
        <v>7.2805673101076279E-3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1.649121790041157E-3</v>
      </c>
      <c r="W1017" s="35" t="s">
        <v>433</v>
      </c>
      <c r="X1017" s="38"/>
      <c r="Y1017" s="354" t="s">
        <v>1909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1929</v>
      </c>
      <c r="AI1017" s="32" t="s">
        <v>367</v>
      </c>
      <c r="AJ1017" s="175">
        <f ca="1">IFERROR(PA[[#This Row],[Breakdown Time]]*PA[[#This Row],[Plant Equivalent Weightage]],"")</f>
        <v>9.8397600139122406E-3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1.1910324039186135E-3</v>
      </c>
      <c r="W1018" s="35" t="s">
        <v>433</v>
      </c>
      <c r="X1018" s="38"/>
      <c r="Y1018" s="354" t="s">
        <v>1909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1910</v>
      </c>
      <c r="AI1018" s="353" t="s">
        <v>552</v>
      </c>
      <c r="AJ1018" s="34">
        <f ca="1">IFERROR(PA[[#This Row],[Breakdown Time]]*PA[[#This Row],[Plant Equivalent Weightage]],"")</f>
        <v>1.3458666164280333E-2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1.2826502811431222E-3</v>
      </c>
      <c r="W1019" s="35" t="s">
        <v>433</v>
      </c>
      <c r="X1019" s="38"/>
      <c r="Y1019" s="354" t="s">
        <v>1909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1910</v>
      </c>
      <c r="AI1019" s="353" t="s">
        <v>552</v>
      </c>
      <c r="AJ1019" s="34">
        <f ca="1">IFERROR(PA[[#This Row],[Breakdown Time]]*PA[[#This Row],[Plant Equivalent Weightage]],"")</f>
        <v>1.4493948176917282E-2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1.8323575444901746E-4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1.9636765018453037E-3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1.8323575444901746E-4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1.9942157942534735E-3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1.8323575444901746E-4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2.0247550866616428E-3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1.8323575444901746E-4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2.055294379069812E-3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1.1910324039186135E-3</v>
      </c>
      <c r="W1024" s="35" t="s">
        <v>433</v>
      </c>
      <c r="X1024" s="38"/>
      <c r="Y1024" s="354" t="s">
        <v>1909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1910</v>
      </c>
      <c r="AI1024" s="353" t="s">
        <v>552</v>
      </c>
      <c r="AJ1024" s="34">
        <f ca="1">IFERROR(PA[[#This Row],[Breakdown Time]]*PA[[#This Row],[Plant Equivalent Weightage]],"")</f>
        <v>1.4649698568198944E-2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1.2826502811431222E-3</v>
      </c>
      <c r="W1025" s="35" t="s">
        <v>433</v>
      </c>
      <c r="X1025" s="38"/>
      <c r="Y1025" s="354" t="s">
        <v>1909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1910</v>
      </c>
      <c r="AI1025" s="353" t="s">
        <v>552</v>
      </c>
      <c r="AJ1025" s="175">
        <f ca="1">IFERROR(PA[[#This Row],[Breakdown Time]]*PA[[#This Row],[Plant Equivalent Weightage]],"")</f>
        <v>1.5776598458060401E-2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1.8491681641643964E-4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1.8830695805074104E-3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1.8491681641643964E-4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1.9138890499101504E-3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1.8323575444901746E-4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1.8659507661391611E-3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1.8323575444901746E-4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1.8964900585473311E-3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1.8323575444901746E-4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1.9270293509555001E-3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1.1910324039186135E-3</v>
      </c>
      <c r="W1031" s="35" t="s">
        <v>433</v>
      </c>
      <c r="X1031" s="38"/>
      <c r="Y1031" s="354" t="s">
        <v>1909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1910</v>
      </c>
      <c r="AI1031" s="353" t="s">
        <v>552</v>
      </c>
      <c r="AJ1031" s="175">
        <f ca="1">IFERROR(PA[[#This Row],[Breakdown Time]]*PA[[#This Row],[Plant Equivalent Weightage]],"")</f>
        <v>1.3895378045717159E-2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1.2826502811431222E-3</v>
      </c>
      <c r="W1032" s="35" t="s">
        <v>433</v>
      </c>
      <c r="X1032" s="38"/>
      <c r="Y1032" s="354" t="s">
        <v>1909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1910</v>
      </c>
      <c r="AI1032" s="353" t="s">
        <v>552</v>
      </c>
      <c r="AJ1032" s="175">
        <f ca="1">IFERROR(PA[[#This Row],[Breakdown Time]]*PA[[#This Row],[Plant Equivalent Weightage]],"")</f>
        <v>1.4964253280003094E-2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1.8323575444901746E-4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1.8354114737309918E-3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1.1910324039186135E-3</v>
      </c>
      <c r="W1034" s="35" t="s">
        <v>433</v>
      </c>
      <c r="X1034" s="38"/>
      <c r="Y1034" s="354" t="s">
        <v>1909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1910</v>
      </c>
      <c r="AI1034" s="353" t="s">
        <v>552</v>
      </c>
      <c r="AJ1034" s="34">
        <f ca="1">IFERROR(PA[[#This Row],[Breakdown Time]]*PA[[#This Row],[Plant Equivalent Weightage]],"")</f>
        <v>1.3617470484802814E-2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1.2826502811431222E-3</v>
      </c>
      <c r="W1035" s="35" t="s">
        <v>433</v>
      </c>
      <c r="X1035" s="38"/>
      <c r="Y1035" s="354" t="s">
        <v>1909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1910</v>
      </c>
      <c r="AI1035" s="353" t="s">
        <v>552</v>
      </c>
      <c r="AJ1035" s="34">
        <f ca="1">IFERROR(PA[[#This Row],[Breakdown Time]]*PA[[#This Row],[Plant Equivalent Weightage]],"")</f>
        <v>1.466496821440303E-2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1.8323575444901746E-4</v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1" t="s">
        <v>664</v>
      </c>
      <c r="AI1036" s="32" t="s">
        <v>367</v>
      </c>
      <c r="AJ1036" s="34">
        <f ca="1">IFERROR(PA[[#This Row],[Breakdown Time]]*PA[[#This Row],[Plant Equivalent Weightage]],"")</f>
        <v>1.9300832801963175E-3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1.8323575444901746E-4</v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1" t="s">
        <v>575</v>
      </c>
      <c r="AI1037" s="32" t="s">
        <v>367</v>
      </c>
      <c r="AJ1037" s="34">
        <f ca="1">IFERROR(PA[[#This Row],[Breakdown Time]]*PA[[#This Row],[Plant Equivalent Weightage]],"")</f>
        <v>1.9300832801963175E-3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1.8323575444901746E-4</v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1" t="s">
        <v>575</v>
      </c>
      <c r="AI1038" s="32" t="s">
        <v>367</v>
      </c>
      <c r="AJ1038" s="175">
        <f ca="1">IFERROR(PA[[#This Row],[Breakdown Time]]*PA[[#This Row],[Plant Equivalent Weightage]],"")</f>
        <v>1.9606225726044872E-3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9">
        <f ca="1">IFERROR(_xlfn.XLOOKUP(PA[[#This Row],[Affected Equipment ]],'Basic Data'!N:N,'Basic Data'!R:R),"")</f>
        <v>1.8323575444901746E-4</v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1" t="s">
        <v>566</v>
      </c>
      <c r="AI1039" s="32" t="s">
        <v>367</v>
      </c>
      <c r="AJ1039" s="34">
        <f ca="1">IFERROR(PA[[#This Row],[Breakdown Time]]*PA[[#This Row],[Plant Equivalent Weightage]],"")</f>
        <v>1.9911618650126565E-3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9">
        <f ca="1">IFERROR(_xlfn.XLOOKUP(PA[[#This Row],[Affected Equipment ]],'Basic Data'!N:N,'Basic Data'!R:R),"")</f>
        <v>1.8323575444901746E-4</v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1" t="s">
        <v>457</v>
      </c>
      <c r="AI1040" s="32" t="s">
        <v>367</v>
      </c>
      <c r="AJ1040" s="34">
        <f ca="1">IFERROR(PA[[#This Row],[Breakdown Time]]*PA[[#This Row],[Plant Equivalent Weightage]],"")</f>
        <v>2.0217011574208258E-3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9">
        <f ca="1">IFERROR(_xlfn.XLOOKUP(PA[[#This Row],[Affected Equipment ]],'Basic Data'!N:N,'Basic Data'!R:R),"")</f>
        <v>1.1910324039186135E-3</v>
      </c>
      <c r="W1041" s="35" t="s">
        <v>433</v>
      </c>
      <c r="X1041" s="38"/>
      <c r="Y1041" s="354" t="s">
        <v>1909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2" t="s">
        <v>1910</v>
      </c>
      <c r="AI1041" s="353" t="s">
        <v>552</v>
      </c>
      <c r="AJ1041" s="34">
        <f ca="1">IFERROR(PA[[#This Row],[Breakdown Time]]*PA[[#This Row],[Plant Equivalent Weightage]],"")</f>
        <v>1.3736573725194675E-2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60">
        <f ca="1">IFERROR(_xlfn.XLOOKUP(PA[[#This Row],[Affected Equipment ]],'Basic Data'!N:N,'Basic Data'!R:R),"")</f>
        <v>1.2826502811431222E-3</v>
      </c>
      <c r="W1042" s="35" t="s">
        <v>433</v>
      </c>
      <c r="X1042" s="38"/>
      <c r="Y1042" s="354" t="s">
        <v>1909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2" t="s">
        <v>1910</v>
      </c>
      <c r="AI1042" s="353" t="s">
        <v>552</v>
      </c>
      <c r="AJ1042" s="175">
        <f ca="1">IFERROR(PA[[#This Row],[Breakdown Time]]*PA[[#This Row],[Plant Equivalent Weightage]],"")</f>
        <v>1.4793233242517342E-2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363</v>
      </c>
      <c r="F1043" s="36" t="s">
        <v>363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411</v>
      </c>
      <c r="M1043" s="32" t="s">
        <v>403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9">
        <f ca="1">IFERROR(_xlfn.XLOOKUP(PA[[#This Row],[Affected Equipment ]],'Basic Data'!N:N,'Basic Data'!R:R),"")</f>
        <v>2.6905396788591964E-2</v>
      </c>
      <c r="W1043" s="35" t="s">
        <v>474</v>
      </c>
      <c r="X1043" s="38"/>
      <c r="Y1043" s="373" t="s">
        <v>438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71" t="s">
        <v>1936</v>
      </c>
      <c r="AI1043" s="374" t="s">
        <v>367</v>
      </c>
      <c r="AJ1043" s="34">
        <f ca="1">IFERROR(PA[[#This Row],[Breakdown Time]]*PA[[#This Row],[Plant Equivalent Weightage]],"")</f>
        <v>0.13856279346124861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363</v>
      </c>
      <c r="F1044" s="36" t="s">
        <v>363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424</v>
      </c>
      <c r="M1044" s="32" t="s">
        <v>483</v>
      </c>
      <c r="N1044" s="36" t="s">
        <v>416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9">
        <f ca="1">IFERROR(_xlfn.XLOOKUP(PA[[#This Row],[Affected Equipment ]],'Basic Data'!N:N,'Basic Data'!R:R),"")</f>
        <v>1.1635470407512609E-2</v>
      </c>
      <c r="W1044" s="35" t="s">
        <v>413</v>
      </c>
      <c r="X1044" s="38"/>
      <c r="Y1044" s="373" t="s">
        <v>438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494</v>
      </c>
      <c r="AI1044" s="32" t="s">
        <v>367</v>
      </c>
      <c r="AJ1044" s="34">
        <f ca="1">IFERROR(PA[[#This Row],[Breakdown Time]]*PA[[#This Row],[Plant Equivalent Weightage]],"")</f>
        <v>8.3387537920507036E-3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363</v>
      </c>
      <c r="F1045" s="36" t="s">
        <v>363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473</v>
      </c>
      <c r="M1045" s="32" t="s">
        <v>403</v>
      </c>
      <c r="N1045" s="36" t="s">
        <v>412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9">
        <f ca="1">IFERROR(_xlfn.XLOOKUP(PA[[#This Row],[Affected Equipment ]],'Basic Data'!N:N,'Basic Data'!R:R),"")</f>
        <v>1.2093559793635153E-2</v>
      </c>
      <c r="W1045" s="35" t="s">
        <v>413</v>
      </c>
      <c r="X1045" s="38"/>
      <c r="Y1045" s="373" t="s">
        <v>438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1937</v>
      </c>
      <c r="AI1045" s="32" t="s">
        <v>367</v>
      </c>
      <c r="AJ1045" s="34">
        <f ca="1">IFERROR(PA[[#This Row],[Breakdown Time]]*PA[[#This Row],[Plant Equivalent Weightage]],"")</f>
        <v>1.87450176801345E-2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363</v>
      </c>
      <c r="F1046" s="36" t="s">
        <v>363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424</v>
      </c>
      <c r="M1046" s="32" t="s">
        <v>483</v>
      </c>
      <c r="N1046" s="36" t="s">
        <v>416</v>
      </c>
      <c r="O1046" s="35" t="s">
        <v>440</v>
      </c>
      <c r="P1046" s="37" t="s">
        <v>471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9">
        <f ca="1">IFERROR(_xlfn.XLOOKUP(PA[[#This Row],[Affected Equipment ]],'Basic Data'!N:N,'Basic Data'!R:R),"")</f>
        <v>1.8323575444901746E-4</v>
      </c>
      <c r="W1046" s="35" t="s">
        <v>447</v>
      </c>
      <c r="X1046" s="38"/>
      <c r="Y1046" s="38" t="s">
        <v>469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71" t="s">
        <v>566</v>
      </c>
      <c r="AI1046" s="32" t="s">
        <v>367</v>
      </c>
      <c r="AJ1046" s="34">
        <f ca="1">IFERROR(PA[[#This Row],[Breakdown Time]]*PA[[#This Row],[Plant Equivalent Weightage]],"")</f>
        <v>1.9148136339922326E-3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363</v>
      </c>
      <c r="F1047" s="36" t="s">
        <v>363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582</v>
      </c>
      <c r="M1047" s="32" t="s">
        <v>410</v>
      </c>
      <c r="N1047" s="36" t="s">
        <v>416</v>
      </c>
      <c r="O1047" s="35" t="s">
        <v>472</v>
      </c>
      <c r="P1047" s="37" t="s">
        <v>471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9">
        <f ca="1">IFERROR(_xlfn.XLOOKUP(PA[[#This Row],[Affected Equipment ]],'Basic Data'!N:N,'Basic Data'!R:R),"")</f>
        <v>1.8323575444901746E-4</v>
      </c>
      <c r="W1047" s="35" t="s">
        <v>481</v>
      </c>
      <c r="X1047" s="38"/>
      <c r="Y1047" s="38" t="s">
        <v>469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71" t="s">
        <v>667</v>
      </c>
      <c r="AI1047" s="32" t="s">
        <v>367</v>
      </c>
      <c r="AJ1047" s="34">
        <f ca="1">IFERROR(PA[[#This Row],[Breakdown Time]]*PA[[#This Row],[Plant Equivalent Weightage]],"")</f>
        <v>1.9453529264004022E-3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363</v>
      </c>
      <c r="F1048" s="36" t="s">
        <v>363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674</v>
      </c>
      <c r="M1048" s="32" t="s">
        <v>403</v>
      </c>
      <c r="N1048" s="36" t="s">
        <v>412</v>
      </c>
      <c r="O1048" s="35" t="s">
        <v>405</v>
      </c>
      <c r="P1048" s="37" t="s">
        <v>471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9">
        <f ca="1">IFERROR(_xlfn.XLOOKUP(PA[[#This Row],[Affected Equipment ]],'Basic Data'!N:N,'Basic Data'!R:R),"")</f>
        <v>1.8323575444901746E-4</v>
      </c>
      <c r="W1048" s="35" t="s">
        <v>407</v>
      </c>
      <c r="X1048" s="38"/>
      <c r="Y1048" s="38" t="s">
        <v>469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71" t="s">
        <v>460</v>
      </c>
      <c r="AI1048" s="32" t="s">
        <v>367</v>
      </c>
      <c r="AJ1048" s="34">
        <f ca="1">IFERROR(PA[[#This Row],[Breakdown Time]]*PA[[#This Row],[Plant Equivalent Weightage]],"")</f>
        <v>1.9148136339922326E-3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363</v>
      </c>
      <c r="F1049" s="36" t="s">
        <v>363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674</v>
      </c>
      <c r="M1049" s="32" t="s">
        <v>403</v>
      </c>
      <c r="N1049" s="36" t="s">
        <v>412</v>
      </c>
      <c r="O1049" s="35" t="s">
        <v>405</v>
      </c>
      <c r="P1049" s="37" t="s">
        <v>471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60">
        <f ca="1">IFERROR(_xlfn.XLOOKUP(PA[[#This Row],[Affected Equipment ]],'Basic Data'!N:N,'Basic Data'!R:R),"")</f>
        <v>1.8323575444901746E-4</v>
      </c>
      <c r="W1049" s="35" t="s">
        <v>447</v>
      </c>
      <c r="X1049" s="39"/>
      <c r="Y1049" s="38" t="s">
        <v>469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71" t="s">
        <v>457</v>
      </c>
      <c r="AI1049" s="32" t="s">
        <v>367</v>
      </c>
      <c r="AJ1049" s="175">
        <f ca="1">IFERROR(PA[[#This Row],[Breakdown Time]]*PA[[#This Row],[Plant Equivalent Weightage]],"")</f>
        <v>1.9453529264004022E-3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363</v>
      </c>
      <c r="F1050" s="36" t="s">
        <v>363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674</v>
      </c>
      <c r="M1050" s="32" t="s">
        <v>403</v>
      </c>
      <c r="N1050" s="36" t="s">
        <v>404</v>
      </c>
      <c r="O1050" s="35" t="s">
        <v>456</v>
      </c>
      <c r="P1050" s="37" t="s">
        <v>471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9">
        <f ca="1">IFERROR(_xlfn.XLOOKUP(PA[[#This Row],[Affected Equipment ]],'Basic Data'!N:N,'Basic Data'!R:R),"")</f>
        <v>1.8323575444901746E-4</v>
      </c>
      <c r="W1050" s="35" t="s">
        <v>407</v>
      </c>
      <c r="X1050" s="38"/>
      <c r="Y1050" s="38" t="s">
        <v>469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71" t="s">
        <v>460</v>
      </c>
      <c r="AI1050" s="32" t="s">
        <v>367</v>
      </c>
      <c r="AJ1050" s="34">
        <f ca="1">IFERROR(PA[[#This Row],[Breakdown Time]]*PA[[#This Row],[Plant Equivalent Weightage]],"")</f>
        <v>1.9758922188085714E-3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363</v>
      </c>
      <c r="F1051" s="36" t="s">
        <v>363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674</v>
      </c>
      <c r="M1051" s="32" t="s">
        <v>410</v>
      </c>
      <c r="N1051" s="36" t="s">
        <v>443</v>
      </c>
      <c r="O1051" s="35" t="s">
        <v>440</v>
      </c>
      <c r="P1051" s="37" t="s">
        <v>471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9">
        <f ca="1">IFERROR(_xlfn.XLOOKUP(PA[[#This Row],[Affected Equipment ]],'Basic Data'!N:N,'Basic Data'!R:R),"")</f>
        <v>1.8323575444901746E-4</v>
      </c>
      <c r="W1051" s="35" t="s">
        <v>447</v>
      </c>
      <c r="X1051" s="38"/>
      <c r="Y1051" s="38" t="s">
        <v>469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71" t="s">
        <v>457</v>
      </c>
      <c r="AI1051" s="32" t="s">
        <v>367</v>
      </c>
      <c r="AJ1051" s="34">
        <f ca="1">IFERROR(PA[[#This Row],[Breakdown Time]]*PA[[#This Row],[Plant Equivalent Weightage]],"")</f>
        <v>2.0064315112167412E-3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363</v>
      </c>
      <c r="F1052" s="36" t="s">
        <v>363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510</v>
      </c>
      <c r="M1052" s="32" t="s">
        <v>403</v>
      </c>
      <c r="N1052" s="36" t="s">
        <v>412</v>
      </c>
      <c r="O1052" s="35" t="s">
        <v>472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9">
        <f ca="1">IFERROR(_xlfn.XLOOKUP(PA[[#This Row],[Affected Equipment ]],'Basic Data'!N:N,'Basic Data'!R:R),"")</f>
        <v>1.1910324039186135E-3</v>
      </c>
      <c r="W1052" s="35" t="s">
        <v>433</v>
      </c>
      <c r="X1052" s="38"/>
      <c r="Y1052" s="354" t="s">
        <v>1909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2" t="s">
        <v>1910</v>
      </c>
      <c r="AI1052" s="353" t="s">
        <v>552</v>
      </c>
      <c r="AJ1052" s="34">
        <f ca="1">IFERROR(PA[[#This Row],[Breakdown Time]]*PA[[#This Row],[Plant Equivalent Weightage]],"")</f>
        <v>1.4292388847023361E-2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363</v>
      </c>
      <c r="F1053" s="36" t="s">
        <v>363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510</v>
      </c>
      <c r="M1053" s="32" t="s">
        <v>403</v>
      </c>
      <c r="N1053" s="36" t="s">
        <v>412</v>
      </c>
      <c r="O1053" s="35" t="s">
        <v>446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60">
        <f ca="1">IFERROR(_xlfn.XLOOKUP(PA[[#This Row],[Affected Equipment ]],'Basic Data'!N:N,'Basic Data'!R:R),"")</f>
        <v>1.2826502811431222E-3</v>
      </c>
      <c r="W1053" s="35" t="s">
        <v>433</v>
      </c>
      <c r="X1053" s="38"/>
      <c r="Y1053" s="354" t="s">
        <v>1909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2" t="s">
        <v>1910</v>
      </c>
      <c r="AI1053" s="353" t="s">
        <v>552</v>
      </c>
      <c r="AJ1053" s="175">
        <f ca="1">IFERROR(PA[[#This Row],[Breakdown Time]]*PA[[#This Row],[Plant Equivalent Weightage]],"")</f>
        <v>1.5391803373717466E-2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363</v>
      </c>
      <c r="F1054" s="36" t="s">
        <v>363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411</v>
      </c>
      <c r="M1054" s="32" t="s">
        <v>403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9">
        <f ca="1">IFERROR(_xlfn.XLOOKUP(PA[[#This Row],[Affected Equipment ]],'Basic Data'!N:N,'Basic Data'!R:R),"")</f>
        <v>2.6905396788591964E-2</v>
      </c>
      <c r="W1054" s="35" t="s">
        <v>474</v>
      </c>
      <c r="X1054" s="38"/>
      <c r="Y1054" s="373" t="s">
        <v>438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1937</v>
      </c>
      <c r="AI1054" s="32" t="s">
        <v>367</v>
      </c>
      <c r="AJ1054" s="34">
        <f ca="1">IFERROR(PA[[#This Row],[Breakdown Time]]*PA[[#This Row],[Plant Equivalent Weightage]],"")</f>
        <v>4.9326560779085274E-2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075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363</v>
      </c>
      <c r="F1055" s="36" t="s">
        <v>363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473</v>
      </c>
      <c r="M1055" s="32" t="s">
        <v>403</v>
      </c>
      <c r="N1055" s="36" t="s">
        <v>412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9">
        <f ca="1">IFERROR(_xlfn.XLOOKUP(PA[[#This Row],[Affected Equipment ]],'Basic Data'!N:N,'Basic Data'!R:R),"")</f>
        <v>1.2093559793635153E-2</v>
      </c>
      <c r="W1055" s="35" t="s">
        <v>413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561</v>
      </c>
      <c r="AI1055" s="32" t="s">
        <v>367</v>
      </c>
      <c r="AJ1055" s="34">
        <f ca="1">IFERROR(PA[[#This Row],[Breakdown Time]]*PA[[#This Row],[Plant Equivalent Weightage]],"")</f>
        <v>1.3706034432786505E-2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363</v>
      </c>
      <c r="F1056" s="36" t="s">
        <v>363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418</v>
      </c>
      <c r="M1056" s="32" t="s">
        <v>403</v>
      </c>
      <c r="N1056" s="36" t="s">
        <v>443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9">
        <f ca="1">IFERROR(_xlfn.XLOOKUP(PA[[#This Row],[Affected Equipment ]],'Basic Data'!N:N,'Basic Data'!R:R),"")</f>
        <v>8.5986319633644427E-3</v>
      </c>
      <c r="W1056" s="35" t="s">
        <v>413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561</v>
      </c>
      <c r="AI1056" s="32" t="s">
        <v>367</v>
      </c>
      <c r="AJ1056" s="34">
        <f ca="1">IFERROR(PA[[#This Row],[Breakdown Time]]*PA[[#This Row],[Plant Equivalent Weightage]],"")</f>
        <v>3.1528317199002961E-3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363</v>
      </c>
      <c r="F1057" s="36" t="s">
        <v>363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424</v>
      </c>
      <c r="M1057" s="32" t="s">
        <v>483</v>
      </c>
      <c r="N1057" s="36" t="s">
        <v>416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9">
        <f ca="1">IFERROR(_xlfn.XLOOKUP(PA[[#This Row],[Affected Equipment ]],'Basic Data'!N:N,'Basic Data'!R:R),"")</f>
        <v>1.1635470407512609E-2</v>
      </c>
      <c r="W1057" s="35" t="s">
        <v>413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561</v>
      </c>
      <c r="AI1057" s="32" t="s">
        <v>367</v>
      </c>
      <c r="AJ1057" s="34">
        <f ca="1">IFERROR(PA[[#This Row],[Breakdown Time]]*PA[[#This Row],[Plant Equivalent Weightage]],"")</f>
        <v>3.2967166154619096E-3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363</v>
      </c>
      <c r="F1058" s="36" t="s">
        <v>363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424</v>
      </c>
      <c r="M1058" s="32" t="s">
        <v>483</v>
      </c>
      <c r="N1058" s="36" t="s">
        <v>416</v>
      </c>
      <c r="O1058" s="35" t="s">
        <v>526</v>
      </c>
      <c r="P1058" s="37" t="s">
        <v>471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9">
        <f ca="1">IFERROR(_xlfn.XLOOKUP(PA[[#This Row],[Affected Equipment ]],'Basic Data'!N:N,'Basic Data'!R:R),"")</f>
        <v>1.8323575444901746E-4</v>
      </c>
      <c r="W1058" s="35" t="s">
        <v>447</v>
      </c>
      <c r="X1058" s="38"/>
      <c r="Y1058" s="38" t="s">
        <v>469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71" t="s">
        <v>648</v>
      </c>
      <c r="AI1058" s="32" t="s">
        <v>367</v>
      </c>
      <c r="AJ1058" s="34">
        <f ca="1">IFERROR(PA[[#This Row],[Breakdown Time]]*PA[[#This Row],[Plant Equivalent Weightage]],"")</f>
        <v>1.8781664831024291E-3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363</v>
      </c>
      <c r="F1059" s="36" t="s">
        <v>363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510</v>
      </c>
      <c r="M1059" s="32" t="s">
        <v>403</v>
      </c>
      <c r="N1059" s="36" t="s">
        <v>412</v>
      </c>
      <c r="O1059" s="35" t="s">
        <v>472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9">
        <f ca="1">IFERROR(_xlfn.XLOOKUP(PA[[#This Row],[Affected Equipment ]],'Basic Data'!N:N,'Basic Data'!R:R),"")</f>
        <v>1.1910324039186135E-3</v>
      </c>
      <c r="W1059" s="35" t="s">
        <v>433</v>
      </c>
      <c r="X1059" s="38"/>
      <c r="Y1059" s="354" t="s">
        <v>1909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2" t="s">
        <v>1910</v>
      </c>
      <c r="AI1059" s="353" t="s">
        <v>552</v>
      </c>
      <c r="AJ1059" s="34">
        <f ca="1">IFERROR(PA[[#This Row],[Breakdown Time]]*PA[[#This Row],[Plant Equivalent Weightage]],"")</f>
        <v>1.4014481286109017E-2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363</v>
      </c>
      <c r="F1060" s="36" t="s">
        <v>363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510</v>
      </c>
      <c r="M1060" s="32" t="s">
        <v>403</v>
      </c>
      <c r="N1060" s="36" t="s">
        <v>412</v>
      </c>
      <c r="O1060" s="35" t="s">
        <v>446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60">
        <f ca="1">IFERROR(_xlfn.XLOOKUP(PA[[#This Row],[Affected Equipment ]],'Basic Data'!N:N,'Basic Data'!R:R),"")</f>
        <v>1.2826502811431222E-3</v>
      </c>
      <c r="W1060" s="35" t="s">
        <v>433</v>
      </c>
      <c r="X1060" s="38"/>
      <c r="Y1060" s="354" t="s">
        <v>1909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2" t="s">
        <v>1910</v>
      </c>
      <c r="AI1060" s="353" t="s">
        <v>552</v>
      </c>
      <c r="AJ1060" s="175">
        <f ca="1">IFERROR(PA[[#This Row],[Breakdown Time]]*PA[[#This Row],[Plant Equivalent Weightage]],"")</f>
        <v>1.5092518308117404E-2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363</v>
      </c>
      <c r="F1061" s="36" t="s">
        <v>363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411</v>
      </c>
      <c r="M1061" s="32" t="s">
        <v>403</v>
      </c>
      <c r="N1061" s="36" t="s">
        <v>412</v>
      </c>
      <c r="O1061" s="35" t="s">
        <v>526</v>
      </c>
      <c r="P1061" s="37" t="s">
        <v>406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9">
        <f ca="1">IFERROR(_xlfn.XLOOKUP(PA[[#This Row],[Affected Equipment ]],'Basic Data'!N:N,'Basic Data'!R:R),"")</f>
        <v>1.8491681641643964E-4</v>
      </c>
      <c r="W1061" s="35" t="s">
        <v>447</v>
      </c>
      <c r="X1061" s="38"/>
      <c r="Y1061" s="38" t="s">
        <v>469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71" t="s">
        <v>1938</v>
      </c>
      <c r="AI1061" s="32" t="s">
        <v>367</v>
      </c>
      <c r="AJ1061" s="34">
        <f ca="1">IFERROR(PA[[#This Row],[Breakdown Time]]*PA[[#This Row],[Plant Equivalent Weightage]],"")</f>
        <v>1.9108071029698764E-3</v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363</v>
      </c>
      <c r="F1062" s="36" t="s">
        <v>363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411</v>
      </c>
      <c r="M1062" s="32" t="s">
        <v>403</v>
      </c>
      <c r="N1062" s="36" t="s">
        <v>412</v>
      </c>
      <c r="O1062" s="35" t="s">
        <v>526</v>
      </c>
      <c r="P1062" s="37" t="s">
        <v>406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9">
        <f ca="1">IFERROR(_xlfn.XLOOKUP(PA[[#This Row],[Affected Equipment ]],'Basic Data'!N:N,'Basic Data'!R:R),"")</f>
        <v>1.8491681641643964E-4</v>
      </c>
      <c r="W1062" s="35" t="s">
        <v>447</v>
      </c>
      <c r="X1062" s="38"/>
      <c r="Y1062" s="38" t="s">
        <v>469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71" t="s">
        <v>1938</v>
      </c>
      <c r="AI1062" s="32" t="s">
        <v>367</v>
      </c>
      <c r="AJ1062" s="34">
        <f ca="1">IFERROR(PA[[#This Row],[Breakdown Time]]*PA[[#This Row],[Plant Equivalent Weightage]],"")</f>
        <v>1.9416265723726162E-3</v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363</v>
      </c>
      <c r="F1063" s="36" t="s">
        <v>363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608</v>
      </c>
      <c r="M1063" s="32" t="s">
        <v>403</v>
      </c>
      <c r="N1063" s="36" t="s">
        <v>443</v>
      </c>
      <c r="O1063" s="35" t="s">
        <v>405</v>
      </c>
      <c r="P1063" s="37" t="s">
        <v>471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9">
        <f ca="1">IFERROR(_xlfn.XLOOKUP(PA[[#This Row],[Affected Equipment ]],'Basic Data'!N:N,'Basic Data'!R:R),"")</f>
        <v>1.8323575444901746E-4</v>
      </c>
      <c r="W1063" s="35" t="s">
        <v>447</v>
      </c>
      <c r="X1063" s="38"/>
      <c r="Y1063" s="38" t="s">
        <v>469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71" t="s">
        <v>593</v>
      </c>
      <c r="AI1063" s="32" t="s">
        <v>367</v>
      </c>
      <c r="AJ1063" s="34">
        <f ca="1">IFERROR(PA[[#This Row],[Breakdown Time]]*PA[[#This Row],[Plant Equivalent Weightage]],"")</f>
        <v>1.9545147141228529E-3</v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363</v>
      </c>
      <c r="F1064" s="36" t="s">
        <v>363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418</v>
      </c>
      <c r="M1064" s="32" t="s">
        <v>403</v>
      </c>
      <c r="N1064" s="36" t="s">
        <v>443</v>
      </c>
      <c r="O1064" s="35" t="s">
        <v>446</v>
      </c>
      <c r="P1064" s="37" t="s">
        <v>406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9">
        <f ca="1">IFERROR(_xlfn.XLOOKUP(PA[[#This Row],[Affected Equipment ]],'Basic Data'!N:N,'Basic Data'!R:R),"")</f>
        <v>1.8491681641643964E-4</v>
      </c>
      <c r="W1064" s="35" t="s">
        <v>447</v>
      </c>
      <c r="X1064" s="38"/>
      <c r="Y1064" s="38" t="s">
        <v>469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71" t="s">
        <v>593</v>
      </c>
      <c r="AI1064" s="32" t="s">
        <v>367</v>
      </c>
      <c r="AJ1064" s="34">
        <f ca="1">IFERROR(PA[[#This Row],[Breakdown Time]]*PA[[#This Row],[Plant Equivalent Weightage]],"")</f>
        <v>1.9108071029698764E-3</v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363</v>
      </c>
      <c r="F1065" s="36" t="s">
        <v>363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418</v>
      </c>
      <c r="M1065" s="32" t="s">
        <v>403</v>
      </c>
      <c r="N1065" s="36" t="s">
        <v>443</v>
      </c>
      <c r="O1065" s="35" t="s">
        <v>446</v>
      </c>
      <c r="P1065" s="37" t="s">
        <v>406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9">
        <f ca="1">IFERROR(_xlfn.XLOOKUP(PA[[#This Row],[Affected Equipment ]],'Basic Data'!N:N,'Basic Data'!R:R),"")</f>
        <v>1.8491681641643964E-4</v>
      </c>
      <c r="W1065" s="35" t="s">
        <v>447</v>
      </c>
      <c r="X1065" s="38"/>
      <c r="Y1065" s="38" t="s">
        <v>469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71" t="s">
        <v>593</v>
      </c>
      <c r="AI1065" s="32" t="s">
        <v>367</v>
      </c>
      <c r="AJ1065" s="34">
        <f ca="1">IFERROR(PA[[#This Row],[Breakdown Time]]*PA[[#This Row],[Plant Equivalent Weightage]],"")</f>
        <v>1.9416265723726162E-3</v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363</v>
      </c>
      <c r="F1066" s="36" t="s">
        <v>363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510</v>
      </c>
      <c r="M1066" s="32" t="s">
        <v>410</v>
      </c>
      <c r="N1066" s="36" t="s">
        <v>412</v>
      </c>
      <c r="O1066" s="35" t="s">
        <v>472</v>
      </c>
      <c r="P1066" s="37" t="s">
        <v>471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60">
        <f ca="1">IFERROR(_xlfn.XLOOKUP(PA[[#This Row],[Affected Equipment ]],'Basic Data'!N:N,'Basic Data'!R:R),"")</f>
        <v>1.8323575444901746E-4</v>
      </c>
      <c r="W1066" s="37" t="s">
        <v>407</v>
      </c>
      <c r="X1066" s="39"/>
      <c r="Y1066" s="38" t="s">
        <v>469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71" t="s">
        <v>1927</v>
      </c>
      <c r="AI1066" s="32" t="s">
        <v>367</v>
      </c>
      <c r="AJ1066" s="175">
        <f ca="1">IFERROR(PA[[#This Row],[Breakdown Time]]*PA[[#This Row],[Plant Equivalent Weightage]],"")</f>
        <v>1.8934361293065139E-3</v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363</v>
      </c>
      <c r="F1067" s="36" t="s">
        <v>363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510</v>
      </c>
      <c r="M1067" s="32" t="s">
        <v>410</v>
      </c>
      <c r="N1067" s="36" t="s">
        <v>412</v>
      </c>
      <c r="O1067" s="35" t="s">
        <v>458</v>
      </c>
      <c r="P1067" s="37" t="s">
        <v>471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9">
        <f ca="1">IFERROR(_xlfn.XLOOKUP(PA[[#This Row],[Affected Equipment ]],'Basic Data'!N:N,'Basic Data'!R:R),"")</f>
        <v>1.8323575444901746E-4</v>
      </c>
      <c r="W1067" s="37" t="s">
        <v>407</v>
      </c>
      <c r="X1067" s="38"/>
      <c r="Y1067" s="38" t="s">
        <v>469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71" t="s">
        <v>1927</v>
      </c>
      <c r="AI1067" s="32" t="s">
        <v>367</v>
      </c>
      <c r="AJ1067" s="34">
        <f ca="1">IFERROR(PA[[#This Row],[Breakdown Time]]*PA[[#This Row],[Plant Equivalent Weightage]],"")</f>
        <v>1.9239754217146834E-3</v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363</v>
      </c>
      <c r="F1068" s="36" t="s">
        <v>363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674</v>
      </c>
      <c r="M1068" s="32" t="s">
        <v>403</v>
      </c>
      <c r="N1068" s="36" t="s">
        <v>404</v>
      </c>
      <c r="O1068" s="35" t="s">
        <v>456</v>
      </c>
      <c r="P1068" s="37" t="s">
        <v>471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9">
        <f ca="1">IFERROR(_xlfn.XLOOKUP(PA[[#This Row],[Affected Equipment ]],'Basic Data'!N:N,'Basic Data'!R:R),"")</f>
        <v>1.8323575444901746E-4</v>
      </c>
      <c r="W1068" s="35" t="s">
        <v>447</v>
      </c>
      <c r="X1068" s="38"/>
      <c r="Y1068" s="38" t="s">
        <v>469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71" t="s">
        <v>688</v>
      </c>
      <c r="AI1068" s="32" t="s">
        <v>367</v>
      </c>
      <c r="AJ1068" s="34">
        <f ca="1">IFERROR(PA[[#This Row],[Breakdown Time]]*PA[[#This Row],[Plant Equivalent Weightage]],"")</f>
        <v>1.9545147141228529E-3</v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363</v>
      </c>
      <c r="F1069" s="36" t="s">
        <v>363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510</v>
      </c>
      <c r="M1069" s="32" t="s">
        <v>403</v>
      </c>
      <c r="N1069" s="36" t="s">
        <v>412</v>
      </c>
      <c r="O1069" s="35" t="s">
        <v>472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9">
        <f ca="1">IFERROR(_xlfn.XLOOKUP(PA[[#This Row],[Affected Equipment ]],'Basic Data'!N:N,'Basic Data'!R:R),"")</f>
        <v>1.1910324039186135E-3</v>
      </c>
      <c r="W1069" s="35" t="s">
        <v>433</v>
      </c>
      <c r="X1069" s="38"/>
      <c r="Y1069" s="354" t="s">
        <v>1909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2" t="s">
        <v>1910</v>
      </c>
      <c r="AI1069" s="353" t="s">
        <v>552</v>
      </c>
      <c r="AJ1069" s="34">
        <f ca="1">IFERROR(PA[[#This Row],[Breakdown Time]]*PA[[#This Row],[Plant Equivalent Weightage]],"")</f>
        <v>1.4113733986435567E-2</v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363</v>
      </c>
      <c r="F1070" s="36" t="s">
        <v>363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510</v>
      </c>
      <c r="M1070" s="32" t="s">
        <v>403</v>
      </c>
      <c r="N1070" s="36" t="s">
        <v>412</v>
      </c>
      <c r="O1070" s="35" t="s">
        <v>446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9">
        <f ca="1">IFERROR(_xlfn.XLOOKUP(PA[[#This Row],[Affected Equipment ]],'Basic Data'!N:N,'Basic Data'!R:R),"")</f>
        <v>1.2826502811431222E-3</v>
      </c>
      <c r="W1070" s="35" t="s">
        <v>433</v>
      </c>
      <c r="X1070" s="38"/>
      <c r="Y1070" s="354" t="s">
        <v>1909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2" t="s">
        <v>1910</v>
      </c>
      <c r="AI1070" s="353" t="s">
        <v>552</v>
      </c>
      <c r="AJ1070" s="34">
        <f ca="1">IFERROR(PA[[#This Row],[Breakdown Time]]*PA[[#This Row],[Plant Equivalent Weightage]],"")</f>
        <v>1.5199405831545996E-2</v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30">
        <v>45864</v>
      </c>
      <c r="C1071" s="182">
        <f>YEAR(PA[[#This Row],[Date]])+IF(MONTH(PA[[#This Row],[Date]])&gt;=4,1,0)</f>
        <v>2026</v>
      </c>
      <c r="D1071" s="32">
        <f>YEAR(PA[[#This Row],[Date]])</f>
        <v>2025</v>
      </c>
      <c r="E1071" s="36" t="s">
        <v>363</v>
      </c>
      <c r="F1071" s="36" t="s">
        <v>363</v>
      </c>
      <c r="G1071" s="216">
        <v>45839</v>
      </c>
      <c r="H1071" s="174">
        <f>DAY(EOMONTH(PA[[#This Row],[Month Year]],0))</f>
        <v>31</v>
      </c>
      <c r="I1071" s="33">
        <v>0.2673611111111111</v>
      </c>
      <c r="J1071" s="33">
        <v>0.76875000000000004</v>
      </c>
      <c r="K1071" s="34">
        <f>IFERROR((PA[[#This Row],[Sunset Time (POA&lt;20 W/m2)]]-PA[[#This Row],[Sunrise Time (POA&gt;20 W/m2)]])*24,"")</f>
        <v>12.033333333333333</v>
      </c>
      <c r="L1071" s="32" t="s">
        <v>424</v>
      </c>
      <c r="M1071" s="32" t="s">
        <v>483</v>
      </c>
      <c r="N1071" s="36" t="s">
        <v>412</v>
      </c>
      <c r="O1071" s="35" t="s">
        <v>470</v>
      </c>
      <c r="P1071" s="37" t="s">
        <v>471</v>
      </c>
      <c r="Q1071" s="36"/>
      <c r="R1071" s="174">
        <f>IF((PA[[#This Row],[String Type(If String BD)]]&amp;PA[[#This Row],[Equipment (If any BD other than PV  array and inv)]])="",1,0)</f>
        <v>0</v>
      </c>
      <c r="S1071" s="174">
        <f>IF(PA[[#This Row],[String Type(If String BD)]]="",1,0)</f>
        <v>0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1" s="175">
        <f>IFERROR(_xlfn.XLOOKUP(PA[[#This Row],[Affected Equipment ]],'Basic Data'!N:N,'Basic Data'!Q:Q),"")</f>
        <v>31.610000000000003</v>
      </c>
      <c r="V1071" s="360">
        <f ca="1">IFERROR(_xlfn.XLOOKUP(PA[[#This Row],[Affected Equipment ]],'Basic Data'!N:N,'Basic Data'!R:R),"")</f>
        <v>1.8323575444901746E-4</v>
      </c>
      <c r="W1071" s="37" t="s">
        <v>407</v>
      </c>
      <c r="X1071" s="39"/>
      <c r="Y1071" s="38" t="s">
        <v>469</v>
      </c>
      <c r="Z1071" s="45">
        <v>0.2673611111111111</v>
      </c>
      <c r="AA1071" s="46">
        <v>0.2673611111111111</v>
      </c>
      <c r="AB1071" s="47">
        <v>0.2673611111111111</v>
      </c>
      <c r="AC1071" s="45">
        <v>0.70833333333333337</v>
      </c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10.583333333333334</v>
      </c>
      <c r="AG1071" s="176">
        <f>IFERROR((PA[[#This Row],[Work Completion time on fault]]-PA[[#This Row],[Fault Time]])*24,"")</f>
        <v>10.583333333333334</v>
      </c>
      <c r="AH1071" s="371" t="s">
        <v>460</v>
      </c>
      <c r="AI1071" s="32" t="s">
        <v>367</v>
      </c>
      <c r="AJ1071" s="175">
        <f ca="1">IFERROR(PA[[#This Row],[Breakdown Time]]*PA[[#This Row],[Plant Equivalent Weightage]],"")</f>
        <v>1.9392450679187683E-3</v>
      </c>
      <c r="AK1071" s="37">
        <v>2716</v>
      </c>
      <c r="AL1071" s="277">
        <f>IFERROR((_xlfn.XLOOKUP($G1071,'Modelling New'!$D:$D,'Modelling New'!$O:$O)*PA[[#This Row],[Lost PoA(Wh/m2)]]*PA[[#This Row],[DC Capacity Affected (kW)]])/1000,"")</f>
        <v>71.062352161015326</v>
      </c>
    </row>
    <row r="1072" spans="1:38">
      <c r="A1072" s="173">
        <f t="shared" si="18"/>
        <v>1071</v>
      </c>
      <c r="B1072" s="30">
        <v>45864</v>
      </c>
      <c r="C1072" s="183">
        <f>YEAR(PA[[#This Row],[Date]])+IF(MONTH(PA[[#This Row],[Date]])&gt;=4,1,0)</f>
        <v>2026</v>
      </c>
      <c r="D1072" s="32">
        <f>YEAR(PA[[#This Row],[Date]])</f>
        <v>2025</v>
      </c>
      <c r="E1072" s="36" t="s">
        <v>363</v>
      </c>
      <c r="F1072" s="36" t="s">
        <v>363</v>
      </c>
      <c r="G1072" s="216">
        <v>45839</v>
      </c>
      <c r="H1072" s="31">
        <f>DAY(EOMONTH(PA[[#This Row],[Month Year]],0))</f>
        <v>31</v>
      </c>
      <c r="I1072" s="33">
        <v>0.2673611111111111</v>
      </c>
      <c r="J1072" s="33">
        <v>0.76875000000000004</v>
      </c>
      <c r="K1072" s="34">
        <f>IFERROR((PA[[#This Row],[Sunset Time (POA&lt;20 W/m2)]]-PA[[#This Row],[Sunrise Time (POA&gt;20 W/m2)]])*24,"")</f>
        <v>12.033333333333333</v>
      </c>
      <c r="L1072" s="32" t="s">
        <v>424</v>
      </c>
      <c r="M1072" s="32" t="s">
        <v>403</v>
      </c>
      <c r="N1072" s="36" t="s">
        <v>412</v>
      </c>
      <c r="O1072" s="35" t="s">
        <v>470</v>
      </c>
      <c r="P1072" s="37" t="s">
        <v>471</v>
      </c>
      <c r="Q1072" s="32"/>
      <c r="R1072" s="31">
        <f>IF((PA[[#This Row],[String Type(If String BD)]]&amp;PA[[#This Row],[Equipment (If any BD other than PV  array and inv)]])="",1,0)</f>
        <v>0</v>
      </c>
      <c r="S1072" s="31">
        <f>IF(PA[[#This Row],[String Type(If String BD)]]="",1,0)</f>
        <v>0</v>
      </c>
      <c r="T10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2" s="34">
        <f>IFERROR(_xlfn.XLOOKUP(PA[[#This Row],[Affected Equipment ]],'Basic Data'!N:N,'Basic Data'!Q:Q),"")</f>
        <v>31.610000000000003</v>
      </c>
      <c r="V1072" s="178">
        <f ca="1">IFERROR(_xlfn.XLOOKUP(PA[[#This Row],[Affected Equipment ]],'Basic Data'!N:N,'Basic Data'!R:R),"")</f>
        <v>1.8323575444901746E-4</v>
      </c>
      <c r="W1072" s="37" t="s">
        <v>407</v>
      </c>
      <c r="X1072" s="39"/>
      <c r="Y1072" s="38" t="s">
        <v>469</v>
      </c>
      <c r="Z1072" s="44">
        <v>0.2673611111111111</v>
      </c>
      <c r="AA1072" s="40">
        <v>0.2673611111111111</v>
      </c>
      <c r="AB1072" s="41">
        <v>0.2673611111111111</v>
      </c>
      <c r="AC1072" s="45">
        <v>0.71527777777777779</v>
      </c>
      <c r="AD1072" s="42">
        <f>IF(PA[[#This Row],[Acknowledgement Time ]]="NA","",(PA[[#This Row],[Acknowledgement Time ]]-PA[[#This Row],[Fault Time]])*24)</f>
        <v>0</v>
      </c>
      <c r="AE1072" s="42">
        <f>IF(PA[[#This Row],[Work Start time on Fault]]="NA","",(PA[[#This Row],[Work Start time on Fault]]-PA[[#This Row],[Fault Time]])*24)</f>
        <v>0</v>
      </c>
      <c r="AF1072" s="43">
        <f>IF(PA[[#This Row],[Status]]="Open","",(PA[[#This Row],[Work Completion time on fault]]-PA[[#This Row],[Fault Time]])*24)</f>
        <v>10.75</v>
      </c>
      <c r="AG1072" s="42">
        <f>IFERROR((PA[[#This Row],[Work Completion time on fault]]-PA[[#This Row],[Fault Time]])*24,"")</f>
        <v>10.75</v>
      </c>
      <c r="AH1072" s="371" t="s">
        <v>460</v>
      </c>
      <c r="AI1072" s="32" t="s">
        <v>367</v>
      </c>
      <c r="AJ1072" s="34">
        <f ca="1">IFERROR(PA[[#This Row],[Breakdown Time]]*PA[[#This Row],[Plant Equivalent Weightage]],"")</f>
        <v>1.9697843603269376E-3</v>
      </c>
      <c r="AK1072" s="35">
        <v>2723</v>
      </c>
      <c r="AL1072" s="49">
        <f>IFERROR((_xlfn.XLOOKUP($G1072,'Modelling New'!$D:$D,'Modelling New'!$O:$O)*PA[[#This Row],[Lost PoA(Wh/m2)]]*PA[[#This Row],[DC Capacity Affected (kW)]])/1000,"")</f>
        <v>71.245502553182888</v>
      </c>
    </row>
    <row r="1073" spans="1:38">
      <c r="A1073" s="173">
        <f t="shared" si="18"/>
        <v>1072</v>
      </c>
      <c r="B1073" s="30">
        <v>45864</v>
      </c>
      <c r="C1073" s="183">
        <f>YEAR(PA[[#This Row],[Date]])+IF(MONTH(PA[[#This Row],[Date]])&gt;=4,1,0)</f>
        <v>2026</v>
      </c>
      <c r="D1073" s="32">
        <f>YEAR(PA[[#This Row],[Date]])</f>
        <v>2025</v>
      </c>
      <c r="E1073" s="36" t="s">
        <v>363</v>
      </c>
      <c r="F1073" s="36" t="s">
        <v>363</v>
      </c>
      <c r="G1073" s="216">
        <v>45839</v>
      </c>
      <c r="H1073" s="31">
        <f>DAY(EOMONTH(PA[[#This Row],[Month Year]],0))</f>
        <v>31</v>
      </c>
      <c r="I1073" s="33">
        <v>0.2673611111111111</v>
      </c>
      <c r="J1073" s="33">
        <v>0.76875000000000004</v>
      </c>
      <c r="K1073" s="34">
        <f>IFERROR((PA[[#This Row],[Sunset Time (POA&lt;20 W/m2)]]-PA[[#This Row],[Sunrise Time (POA&gt;20 W/m2)]])*24,"")</f>
        <v>12.033333333333333</v>
      </c>
      <c r="L1073" s="32" t="s">
        <v>510</v>
      </c>
      <c r="M1073" s="32" t="s">
        <v>403</v>
      </c>
      <c r="N1073" s="36" t="s">
        <v>412</v>
      </c>
      <c r="O1073" s="35" t="s">
        <v>472</v>
      </c>
      <c r="P1073" s="35"/>
      <c r="Q1073" s="32"/>
      <c r="R1073" s="31">
        <f>IF((PA[[#This Row],[String Type(If String BD)]]&amp;PA[[#This Row],[Equipment (If any BD other than PV  array and inv)]])="",1,0)</f>
        <v>1</v>
      </c>
      <c r="S1073" s="31">
        <f>IF(PA[[#This Row],[String Type(If String BD)]]="",1,0)</f>
        <v>1</v>
      </c>
      <c r="T10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73" s="34">
        <f>IFERROR(_xlfn.XLOOKUP(PA[[#This Row],[Affected Equipment ]],'Basic Data'!N:N,'Basic Data'!Q:Q),"")</f>
        <v>205.465</v>
      </c>
      <c r="V1073" s="178">
        <f ca="1">IFERROR(_xlfn.XLOOKUP(PA[[#This Row],[Affected Equipment ]],'Basic Data'!N:N,'Basic Data'!R:R),"")</f>
        <v>1.1910324039186135E-3</v>
      </c>
      <c r="W1073" s="35" t="s">
        <v>433</v>
      </c>
      <c r="X1073" s="38"/>
      <c r="Y1073" s="354" t="s">
        <v>1909</v>
      </c>
      <c r="Z1073" s="41">
        <v>0.2673611111111111</v>
      </c>
      <c r="AA1073" s="41">
        <v>0.2673611111111111</v>
      </c>
      <c r="AB1073" s="41">
        <v>0.2673611111111111</v>
      </c>
      <c r="AC1073" s="44">
        <v>0.76875000000000004</v>
      </c>
      <c r="AD1073" s="42">
        <f>IF(PA[[#This Row],[Acknowledgement Time ]]="NA","",(PA[[#This Row],[Acknowledgement Time ]]-PA[[#This Row],[Fault Time]])*24)</f>
        <v>0</v>
      </c>
      <c r="AE1073" s="42">
        <f>IF(PA[[#This Row],[Work Start time on Fault]]="NA","",(PA[[#This Row],[Work Start time on Fault]]-PA[[#This Row],[Fault Time]])*24)</f>
        <v>0</v>
      </c>
      <c r="AF1073" s="43" t="str">
        <f>IF(PA[[#This Row],[Status]]="Open","",(PA[[#This Row],[Work Completion time on fault]]-PA[[#This Row],[Fault Time]])*24)</f>
        <v/>
      </c>
      <c r="AG1073" s="42">
        <f>IFERROR((PA[[#This Row],[Work Completion time on fault]]-PA[[#This Row],[Fault Time]])*24,"")</f>
        <v>12.033333333333333</v>
      </c>
      <c r="AH1073" s="352" t="s">
        <v>1910</v>
      </c>
      <c r="AI1073" s="353" t="s">
        <v>552</v>
      </c>
      <c r="AJ1073" s="34">
        <f ca="1">IFERROR(PA[[#This Row],[Breakdown Time]]*PA[[#This Row],[Plant Equivalent Weightage]],"")</f>
        <v>1.4332089927153981E-2</v>
      </c>
      <c r="AK1073" s="35">
        <v>2779</v>
      </c>
      <c r="AL1073" s="49">
        <f>IFERROR((_xlfn.XLOOKUP($G1073,'Modelling New'!$D:$D,'Modelling New'!$O:$O)*PA[[#This Row],[Lost PoA(Wh/m2)]]*PA[[#This Row],[DC Capacity Affected (kW)]])/1000,"")</f>
        <v>472.61958698840215</v>
      </c>
    </row>
    <row r="1074" spans="1:38">
      <c r="A1074" s="173">
        <f t="shared" si="18"/>
        <v>1073</v>
      </c>
      <c r="B1074" s="30">
        <v>45864</v>
      </c>
      <c r="C1074" s="183">
        <f>YEAR(PA[[#This Row],[Date]])+IF(MONTH(PA[[#This Row],[Date]])&gt;=4,1,0)</f>
        <v>2026</v>
      </c>
      <c r="D1074" s="32">
        <f>YEAR(PA[[#This Row],[Date]])</f>
        <v>2025</v>
      </c>
      <c r="E1074" s="36" t="s">
        <v>363</v>
      </c>
      <c r="F1074" s="36" t="s">
        <v>363</v>
      </c>
      <c r="G1074" s="216">
        <v>45839</v>
      </c>
      <c r="H1074" s="31">
        <f>DAY(EOMONTH(PA[[#This Row],[Month Year]],0))</f>
        <v>31</v>
      </c>
      <c r="I1074" s="33">
        <v>0.2673611111111111</v>
      </c>
      <c r="J1074" s="33">
        <v>0.76875000000000004</v>
      </c>
      <c r="K1074" s="34">
        <f>IFERROR((PA[[#This Row],[Sunset Time (POA&lt;20 W/m2)]]-PA[[#This Row],[Sunrise Time (POA&gt;20 W/m2)]])*24,"")</f>
        <v>12.033333333333333</v>
      </c>
      <c r="L1074" s="32" t="s">
        <v>510</v>
      </c>
      <c r="M1074" s="32" t="s">
        <v>403</v>
      </c>
      <c r="N1074" s="36" t="s">
        <v>412</v>
      </c>
      <c r="O1074" s="35" t="s">
        <v>446</v>
      </c>
      <c r="P1074" s="35"/>
      <c r="Q1074" s="32"/>
      <c r="R1074" s="31">
        <f>IF((PA[[#This Row],[String Type(If String BD)]]&amp;PA[[#This Row],[Equipment (If any BD other than PV  array and inv)]])="",1,0)</f>
        <v>1</v>
      </c>
      <c r="S1074" s="31">
        <f>IF(PA[[#This Row],[String Type(If String BD)]]="",1,0)</f>
        <v>1</v>
      </c>
      <c r="T10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4" s="34">
        <f>IFERROR(_xlfn.XLOOKUP(PA[[#This Row],[Affected Equipment ]],'Basic Data'!N:N,'Basic Data'!Q:Q),"")</f>
        <v>221.27</v>
      </c>
      <c r="V1074" s="178">
        <f ca="1">IFERROR(_xlfn.XLOOKUP(PA[[#This Row],[Affected Equipment ]],'Basic Data'!N:N,'Basic Data'!R:R),"")</f>
        <v>1.2826502811431222E-3</v>
      </c>
      <c r="W1074" s="35" t="s">
        <v>433</v>
      </c>
      <c r="X1074" s="38"/>
      <c r="Y1074" s="354" t="s">
        <v>1909</v>
      </c>
      <c r="Z1074" s="41">
        <v>0.2673611111111111</v>
      </c>
      <c r="AA1074" s="41">
        <v>0.2673611111111111</v>
      </c>
      <c r="AB1074" s="41">
        <v>0.2673611111111111</v>
      </c>
      <c r="AC1074" s="44">
        <v>0.76875000000000004</v>
      </c>
      <c r="AD1074" s="42">
        <f>IF(PA[[#This Row],[Acknowledgement Time ]]="NA","",(PA[[#This Row],[Acknowledgement Time ]]-PA[[#This Row],[Fault Time]])*24)</f>
        <v>0</v>
      </c>
      <c r="AE1074" s="42">
        <f>IF(PA[[#This Row],[Work Start time on Fault]]="NA","",(PA[[#This Row],[Work Start time on Fault]]-PA[[#This Row],[Fault Time]])*24)</f>
        <v>0</v>
      </c>
      <c r="AF1074" s="43" t="str">
        <f>IF(PA[[#This Row],[Status]]="Open","",(PA[[#This Row],[Work Completion time on fault]]-PA[[#This Row],[Fault Time]])*24)</f>
        <v/>
      </c>
      <c r="AG1074" s="42">
        <f>IFERROR((PA[[#This Row],[Work Completion time on fault]]-PA[[#This Row],[Fault Time]])*24,"")</f>
        <v>12.033333333333333</v>
      </c>
      <c r="AH1074" s="352" t="s">
        <v>1910</v>
      </c>
      <c r="AI1074" s="353" t="s">
        <v>552</v>
      </c>
      <c r="AJ1074" s="34">
        <f ca="1">IFERROR(PA[[#This Row],[Breakdown Time]]*PA[[#This Row],[Plant Equivalent Weightage]],"")</f>
        <v>1.5434558383088904E-2</v>
      </c>
      <c r="AK1074" s="35">
        <v>2779</v>
      </c>
      <c r="AL1074" s="49">
        <f>IFERROR((_xlfn.XLOOKUP($G1074,'Modelling New'!$D:$D,'Modelling New'!$O:$O)*PA[[#This Row],[Lost PoA(Wh/m2)]]*PA[[#This Row],[DC Capacity Affected (kW)]])/1000,"")</f>
        <v>508.97493983366383</v>
      </c>
    </row>
    <row r="1075" spans="1:38">
      <c r="A1075" s="173">
        <f t="shared" si="18"/>
        <v>1074</v>
      </c>
      <c r="B1075" s="134"/>
      <c r="C1075" s="182">
        <f>YEAR(PA[[#This Row],[Date]])+IF(MONTH(PA[[#This Row],[Date]])&gt;=4,1,0)</f>
        <v>1900</v>
      </c>
      <c r="D1075" s="32">
        <f>YEAR(PA[[#This Row],[Date]])</f>
        <v>1900</v>
      </c>
      <c r="E1075" s="36" t="s">
        <v>363</v>
      </c>
      <c r="F1075" s="36" t="s">
        <v>363</v>
      </c>
      <c r="G1075" s="216">
        <v>45839</v>
      </c>
      <c r="H1075" s="174">
        <f>DAY(EOMONTH(PA[[#This Row],[Month Year]],0))</f>
        <v>31</v>
      </c>
      <c r="I1075" s="33"/>
      <c r="J1075" s="33"/>
      <c r="K1075" s="34"/>
      <c r="L1075" s="36"/>
      <c r="M1075" s="36"/>
      <c r="N1075" s="36"/>
      <c r="O1075" s="37"/>
      <c r="P1075" s="37"/>
      <c r="Q1075" s="36"/>
      <c r="R1075" s="174">
        <f>IF((PA[[#This Row],[String Type(If String BD)]]&amp;PA[[#This Row],[Equipment (If any BD other than PV  array and inv)]])="",1,0)</f>
        <v>1</v>
      </c>
      <c r="S1075" s="174">
        <f>IF(PA[[#This Row],[String Type(If String BD)]]="",1,0)</f>
        <v>1</v>
      </c>
      <c r="T107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/>
      </c>
      <c r="U1075" s="175" t="str">
        <f>IFERROR(_xlfn.XLOOKUP(PA[[#This Row],[Affected Equipment ]],'Basic Data'!N:N,'Basic Data'!Q:Q),"")</f>
        <v/>
      </c>
      <c r="V1075" s="179" t="str">
        <f>IFERROR(_xlfn.XLOOKUP(PA[[#This Row],[Affected Equipment ]],'Basic Data'!N:N,'Basic Data'!R:R),"")</f>
        <v/>
      </c>
      <c r="W1075" s="37"/>
      <c r="X1075" s="39"/>
      <c r="Y1075" s="39"/>
      <c r="Z1075" s="45"/>
      <c r="AA1075" s="46"/>
      <c r="AB1075" s="47"/>
      <c r="AC1075" s="45"/>
      <c r="AD1075" s="176">
        <f>IF(PA[[#This Row],[Acknowledgement Time ]]="NA","",(PA[[#This Row],[Acknowledgement Time ]]-PA[[#This Row],[Fault Time]])*24)</f>
        <v>0</v>
      </c>
      <c r="AE1075" s="176">
        <f>IF(PA[[#This Row],[Work Start time on Fault]]="NA","",(PA[[#This Row],[Work Start time on Fault]]-PA[[#This Row],[Fault Time]])*24)</f>
        <v>0</v>
      </c>
      <c r="AF1075" s="177">
        <f>IF(PA[[#This Row],[Status]]="Open","",(PA[[#This Row],[Work Completion time on fault]]-PA[[#This Row],[Fault Time]])*24)</f>
        <v>0</v>
      </c>
      <c r="AG1075" s="176">
        <f>IFERROR((PA[[#This Row],[Work Completion time on fault]]-PA[[#This Row],[Fault Time]])*24,"")</f>
        <v>0</v>
      </c>
      <c r="AH1075" s="37"/>
      <c r="AI1075" s="36"/>
      <c r="AJ1075" s="175" t="str">
        <f>IFERROR(PA[[#This Row],[Breakdown Time]]*PA[[#This Row],[Plant Equivalent Weightage]],"")</f>
        <v/>
      </c>
      <c r="AK1075" s="37"/>
      <c r="AL1075" s="277" t="str">
        <f>IFERROR((_xlfn.XLOOKUP($G1075,'Modelling New'!$D:$D,'Modelling New'!$O:$O)*PA[[#This Row],[Lost PoA(Wh/m2)]]*PA[[#This Row],[DC Capacity Affected (kW)]])/1000,"")</f>
        <v/>
      </c>
    </row>
  </sheetData>
  <phoneticPr fontId="4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N967:N1074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O1058:O1074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 P1071:P1072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Q2:Q1075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W2:W1075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M847:M1074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26</v>
      </c>
      <c r="R29" s="261">
        <f t="shared" si="15"/>
        <v>118.4258064516129</v>
      </c>
      <c r="S29" s="269">
        <f>SUMIF($F$2:F37,F29,$R$2:R37)</f>
        <v>670.72580645161293</v>
      </c>
      <c r="T29" s="260">
        <f t="shared" si="16"/>
        <v>732.91663763834072</v>
      </c>
      <c r="U29" s="261">
        <f t="shared" si="17"/>
        <v>19055.832578596859</v>
      </c>
      <c r="V29" s="269">
        <f>SUMIF($F$2:F37,F29,$U$2:U37)</f>
        <v>100140.47814131959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0.1834494004148193</v>
      </c>
      <c r="Z29" s="260">
        <f>IFERROR(AVERAGEIF('Daily KPI'!$D:$D,Modelling_New[[#This Row],[Month]],'Daily KPI'!AB:AB),"")</f>
        <v>169.3096774193549</v>
      </c>
      <c r="AA29" s="263">
        <f>IFERROR(AVERAGEIF($F$2:F29,F29,$Z$2:Z29),"")</f>
        <v>160.01091666666667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19787995.186772607</v>
      </c>
      <c r="AN29" s="273">
        <f>SUMIF($F$2:F29,F29,$AM$2:AM29)</f>
        <v>87359559.100074351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670.72580645161293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100140.47814131959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0.1834494004148193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160.01091666666667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87359559.100074351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670.72580645161293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100140.47814131959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0.1834494004148193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160.01091666666667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87359559.100074351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670.72580645161293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100140.47814131959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0.15095264948419418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160.01091666666667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87359559.100074351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670.72580645161293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100140.47814131959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0.15095264948419418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160.01091666666667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87359559.100074351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670.72580645161293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100140.47814131959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0.15095264948419418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160.01091666666667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87359559.100074351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670.72580645161293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100140.47814131959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0.15095264948419418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160.01091666666667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87359559.100074351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670.72580645161293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100140.47814131959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0.15095264948419418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160.01091666666667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87359559.100074351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670.72580645161293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100140.47814131959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0.15095264948419418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160.01091666666667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87359559.100074351</v>
      </c>
      <c r="AO37" s="274">
        <f t="shared" si="26"/>
        <v>169675.49366685937</v>
      </c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7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" sqref="K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98" activePane="bottomRight" state="frozen"/>
      <selection pane="topRight" activeCell="Z69" sqref="Z69"/>
      <selection pane="bottomLeft" activeCell="Z69" sqref="Z69"/>
      <selection pane="bottomRight" activeCell="A119" sqref="A11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42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42</v>
      </c>
      <c r="AE117" s="113" t="s">
        <v>835</v>
      </c>
      <c r="AF117" s="372" t="s">
        <v>1934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2" t="s">
        <v>1935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6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232"/>
      <c r="F123" s="113"/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232"/>
      <c r="F124" s="113"/>
      <c r="G124" s="4" t="str">
        <f>TEXT(GC[[#This Row],[Date]],"mmm-yy")</f>
        <v>Jul-25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232"/>
      <c r="F125" s="113"/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232"/>
      <c r="F126" s="113"/>
      <c r="G126" s="4" t="str">
        <f>TEXT(GC[[#This Row],[Date]],"mmm-yy")</f>
        <v>Jul-25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" zoomScale="85" zoomScaleNormal="85" workbookViewId="0">
      <selection activeCell="Q100" sqref="Q100:Q10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1.2022955191003422E-2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1.223981218480088E-2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1.2296968291693234E-2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172510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1.1834676250652135E-2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1.2204509883485013E-2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1.2019593067068575E-2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1.2481885108109676E-2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1.2204509883485017E-2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1.2112051475276794E-2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1.2204509883485017E-2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1.1818706161961626E-2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1.1910324039186135E-2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1.1727088284737116E-2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1.2826502811431221E-2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8.978551968001857E-3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8.5204625818793133E-3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8.7036983363283291E-3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8.0623731957567678E-3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1.15438525302881E-2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1.1177381021390065E-2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9.803112863022434E-3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1.1372384209611036E-2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1.2204509883485017E-2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1.2389426699901456E-2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1.3498927598400092E-2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1.3406469190191873E-2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1.2112051475276797E-2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1.3314010781983651E-2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1.2093559793635153E-2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1.15438525302881E-2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1.0817633760361718E-2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1.1834676250652137E-2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9.0609240044055416E-3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9.0609240044055416E-3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7.766506289490464E-3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8.1363399223233438E-3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8.5061735551562219E-3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8.8760071879891017E-3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8.6910903715726618E-3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8.6910903715726618E-3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9.3382992290302006E-3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7.5815894730740241E-3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8.0438815141151247E-3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9.0609240044055434E-3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9.2458408208219815E-3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3.1435858790794732E-3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8.7835487797808826E-3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8.5986319633644427E-3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7.1192974320329252E-3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8.043881514115123E-3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8.5986319633644427E-3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8.7835487797808809E-3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9.1533824126137607E-3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7.9514231059069039E-3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7.6740478812822449E-3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8.1363399223233438E-3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8.5061735551562236E-3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8.1363399223233438E-3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7.9514231059069039E-3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8.321256738739782E-3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8.5986319633644427E-3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7.581589473074025E-3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8.7835487797808826E-3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9.0609240044055434E-3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1.2460031302533186E-2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1.15438525302881E-2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1.2643267056982205E-2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1.1360616775839083E-2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1.1452234653063591E-2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1.0536055880818506E-2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1.1635470407512609E-2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1.2185177670859661E-2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8.6120804591038203E-3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7.1461944235116804E-3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7.695901686858732E-3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6.5964871601646279E-3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5.3138368790215055E-3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4.9473653701234714E-3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1.1727088284737116E-2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1.1910324039186137E-2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1.081090951249203E-2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1.2093559793635153E-2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1.3192974320329256E-2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7.3294301779606988E-3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7.1461944235116804E-3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7.5126659324097154E-3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7.1461944235116804E-3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7.0545765462871708E-3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5.863544142368558E-3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7.3294301779606988E-3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7.329430177960697E-3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7.3294301779606988E-3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1.15438525302881E-2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1.2001941916410642E-2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1.1543852530288098E-2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1.0994145266941048E-2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1880.7950000000001</v>
      </c>
      <c r="R100" s="11">
        <f t="shared" ca="1" si="7"/>
        <v>1.0902527389716539E-2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829.40000000000009</v>
      </c>
      <c r="R101" s="11">
        <f t="shared" ca="1" si="7"/>
        <v>4.8078372268274307E-3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669.90000000000009</v>
      </c>
      <c r="R102" s="11">
        <f t="shared" ca="1" si="7"/>
        <v>3.8832531447452329E-3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2041.6000000000001</v>
      </c>
      <c r="R103" s="11">
        <f t="shared" ca="1" si="7"/>
        <v>1.1834676250652137E-2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2.4262767375804305E-2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2.4131644542345371E-2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2.4224102950553595E-2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2.4686394991594692E-2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2.4316561358761812E-2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2.4095501710045795E-2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2.4187119587270302E-2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3.4265086081966274E-2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2.4278737464494812E-2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2.2824618862674624E-2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2.4593936583386475E-2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2.6905396788591964E-2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2.5426062257260448E-2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2.3637412323923253E-2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2.2652310011013848E-2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3.4024694220624895E-2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3.476436148629064E-2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3.4024694220624881E-2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2.9771607443046771E-2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3.2545359689293375E-2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3.2915193322126245E-2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3.2915193322126252E-2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3.4024694220624895E-2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2.4003883832821284E-2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2.4003883832821291E-2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2.1988290533882095E-2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2.382064807837227E-2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3.0050663729638865E-2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5.3138368790215055E-3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4.9473653701234714E-3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2.3637412323923253E-2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2.2904469306127186E-2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2.0522404498289955E-2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2.8859631325720246E-2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2.7851834676250655E-2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2.3545794446698746E-2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2.2537997797229148E-2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2710.1950000000006</v>
      </c>
      <c r="R141" s="11">
        <f t="shared" ca="1" si="7"/>
        <v>1.5710364616543973E-2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2711.4999999999995</v>
      </c>
      <c r="R142" s="11">
        <f t="shared" ca="1" si="7"/>
        <v>1.5717929395397366E-2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1.270882847371167E-3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1.270882847371167E-3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1.270882847371167E-3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1.270882847371167E-3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1.270882847371167E-3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1.270882847371167E-3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1.4658860355921395E-3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1.4658860355921395E-3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1.4658860355921395E-3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1.4658860355921395E-3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1.4658860355921395E-3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1.270882847371167E-3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1.270882847371167E-3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1.4524375398527621E-3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1.2826502811431222E-3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1.4658860355921395E-3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1.2826502811431222E-3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1.2826502811431222E-3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1.4793345313315169E-3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1.2944177149150774E-3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1.2944177149150774E-3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1.2944177149150774E-3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1.2944177149150774E-3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1.2944177149150774E-3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1.2944177149150774E-3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1.4793345313315169E-3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1.2944177149150774E-3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1.4793345313315169E-3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1.4793345313315169E-3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1.4793345313315169E-3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1.2944177149150774E-3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1.2944177149150774E-3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1.2019593067068575E-3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1.2944177149150774E-3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1.2944177149150774E-3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1.2944177149150774E-3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1.2944177149150774E-3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1.4793345313315169E-3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1.2944177149150774E-3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1.4793345313315169E-3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1.4793345313315169E-3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1.1095008984986377E-3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1.2944177149150774E-3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1.2944177149150774E-3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1.2944177149150774E-3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1.4793345313315169E-3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1.2944177149150774E-3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1.2944177149150774E-3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1.2944177149150774E-3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1.2944177149150774E-3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1.4793345313315169E-3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1.2944177149150774E-3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1.2944177149150774E-3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1.4793345313315169E-3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1.4793345313315169E-3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1.4793345313315169E-3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1.2944177149150774E-3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1.2944177149150774E-3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1.4793345313315169E-3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1.2944177149150774E-3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1.2944177149150774E-3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1.2944177149150774E-3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1.2944177149150774E-3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1.2944177149150774E-3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1.2944177149150774E-3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1.2944177149150774E-3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1.4793345313315169E-3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1.4793345313315169E-3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1.4793345313315169E-3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1.3868761231232971E-3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1.2944177149150774E-3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1.4793345313315169E-3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1.4793345313315169E-3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1.4793345313315169E-3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1.2944177149150774E-3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1.4793345313315169E-3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1.2944177149150774E-3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1.2944177149150774E-3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1.2944177149150774E-3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1.2944177149150774E-3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1.2944177149150774E-3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1.6642513477479568E-3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1.5717929395397366E-3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1.1095008984986377E-3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1.4793345313315169E-3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1.1095008984986377E-3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1.2944177149150774E-3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1.2944177149150774E-3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1.2944177149150774E-3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1.2944177149150774E-3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1.2826502811431222E-3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1.0994145266941047E-3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1.2826502811431222E-3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1.4658860355921395E-3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1.2826502811431222E-3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1.4658860355921395E-3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1.2826502811431222E-3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1.4658860355921395E-3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1.2826502811431222E-3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1.2826502811431222E-3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1.4658860355921395E-3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1.4658860355921395E-3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1.649121790041157E-3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1.2826502811431222E-3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1.2826502811431222E-3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1.2826502811431222E-3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1.2826502811431222E-3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1.1910324039186135E-3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1.2826502811431222E-3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1.2826502811431222E-3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1.2826502811431222E-3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1.649121790041157E-3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1.4658860355921395E-3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1.4658860355921395E-3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1.4658860355921395E-3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1.2826502811431222E-3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1.2826502811431222E-3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1.4658860355921395E-3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1.2826502811431222E-3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1.2826502811431222E-3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1.0994145266941047E-3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1.0994145266941047E-3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1.0994145266941047E-3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1.4658860355921395E-3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1.4658860355921395E-3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1.4658860355921395E-3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1.649121790041157E-3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1.4658860355921395E-3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1.4658860355921395E-3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1.4658860355921395E-3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1.4658860355921395E-3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1.4658860355921395E-3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1.3742681583676307E-3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1.2826502811431222E-3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1.4658860355921395E-3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1.4658860355921395E-3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1.4658860355921395E-3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1.4658860355921395E-3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1.4658860355921395E-3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1.3742681583676307E-3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1.4658860355921395E-3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1.4658860355921395E-3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1.4658860355921395E-3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1.4658860355921395E-3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1.649121790041157E-3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1.2826502811431222E-3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1.0994145266941047E-3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1.2826502811431222E-3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1.4658860355921395E-3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1.2826502811431222E-3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1.649121790041157E-3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1.5575039128166482E-3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1.4658860355921395E-3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1.2826502811431222E-3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1.649121790041157E-3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1.4658860355921395E-3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1.649121790041157E-3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1.649121790041157E-3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1.0994145266941047E-3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1.3742681583676307E-3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1.4658860355921395E-3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1.649121790041157E-3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1.4658860355921395E-3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1.649121790041157E-3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1.5575039128166482E-3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1.649121790041157E-3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1.5575039128166482E-3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1.649121790041157E-3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1.649121790041157E-3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1.649121790041157E-3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1.649121790041157E-3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1.649121790041157E-3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1.649121790041157E-3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1.3868761231232971E-3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1.6642513477479568E-3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1.6642513477479568E-3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1.6642513477479568E-3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1.6642513477479568E-3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1.6642513477479568E-3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1.6642513477479568E-3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1.1095008984986377E-3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1.2944177149150774E-3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1.4793345313315169E-3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1.2944177149150774E-3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1.4793345313315169E-3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1.4793345313315169E-3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1.4793345313315169E-3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1.2944177149150774E-3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1.2944177149150774E-3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1.2944177149150774E-3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1.2944177149150774E-3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1.2944177149150774E-3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1.4793345313315169E-3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1.2944177149150774E-3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1.2944177149150774E-3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1.4793345313315169E-3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1.4793345313315169E-3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1.4793345313315169E-3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1.4793345313315169E-3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1.6642513477479568E-3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1.2944177149150774E-3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1.4793345313315169E-3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1.4793345313315169E-3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1.6642513477479568E-3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1.2944177149150774E-3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1.4793345313315169E-3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1.6642513477479568E-3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1.6642513477479568E-3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1.4793345313315169E-3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1.4793345313315169E-3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1.4793345313315169E-3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1.4793345313315169E-3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1.4793345313315169E-3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1.4793345313315169E-3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1.2019593067068575E-3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1.6642513477479568E-3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1.6642513477479568E-3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1.6642513477479568E-3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1.6642513477479568E-3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1.3868761231232971E-3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1.4793345313315169E-3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1.1095008984986377E-3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1.6642513477479568E-3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1.4793345313315169E-3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1.6642513477479568E-3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1.6642513477479568E-3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1.6642513477479568E-3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1.6642513477479568E-3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1.6642513477479568E-3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1.6642513477479568E-3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1.6642513477479568E-3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1.6642513477479568E-3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1.4658860355921395E-3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1.4658860355921395E-3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1.4658860355921395E-3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1.4658860355921395E-3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1.4658860355921395E-3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1.4658860355921395E-3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1.649121790041157E-3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1.649121790041157E-3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1.649121790041157E-3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1.2826502811431222E-3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1.4658860355921395E-3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1.2826502811431222E-3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1.4658860355921395E-3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1.4658860355921395E-3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1.4658860355921395E-3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1.4658860355921395E-3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1.4793345313315169E-3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1.4793345313315169E-3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1.4793345313315169E-3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1.4793345313315169E-3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1.4793345313315169E-3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1.4793345313315169E-3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1.3868761231232971E-3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5.5475044924931886E-4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1.4793345313315169E-3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1.4793345313315169E-3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1.4793345313315169E-3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1.4793345313315169E-3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1.4793345313315169E-3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1.4793345313315169E-3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1.4793345313315169E-3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1.4793345313315169E-3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1.4793345313315169E-3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1.4793345313315169E-3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1.2944177149150774E-3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1.4793345313315169E-3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1.6642513477479568E-3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1.6642513477479568E-3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1.4793345313315169E-3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1.6642513477479568E-3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1.6642513477479568E-3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1.4793345313315169E-3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1.4793345313315169E-3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1.2944177149150774E-3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1.2944177149150774E-3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1.3868761231232971E-3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1.4793345313315169E-3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1.4793345313315169E-3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9.2458408208219813E-4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1.2019593067068575E-3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1.2944177149150774E-3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1.4793345313315169E-3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1.3868761231232971E-3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1.2019593067068575E-3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1.1095008984986377E-3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1.6642513477479568E-3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1.4793345313315169E-3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1.6642513477479568E-3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1.2944177149150774E-3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1.2944177149150774E-3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1.4793345313315169E-3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1.2944177149150774E-3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1.4793345313315169E-3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1.4793345313315169E-3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1.4793345313315169E-3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1.4793345313315169E-3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1.4793345313315169E-3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1.4793345313315169E-3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1.4793345313315169E-3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1.4793345313315169E-3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1.4793345313315169E-3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1.4793345313315169E-3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1.4793345313315169E-3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1.2944177149150774E-3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1.4793345313315169E-3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1.4793345313315169E-3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1.4793345313315169E-3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1.4793345313315169E-3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1.2944177149150774E-3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1.4793345313315169E-3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1.4793345313315169E-3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1.4793345313315169E-3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1.6642513477479568E-3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1.6642513477479568E-3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1.3868761231232971E-3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1.6642513477479568E-3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1.5717929395397366E-3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1.4793345313315169E-3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1.4793345313315169E-3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1.2944177149150774E-3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7.3966726566575844E-4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1.017042490290418E-3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1.4793345313315169E-3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9.2458408208219813E-4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1.4793345313315169E-3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1.4793345313315169E-3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1.1095008984986377E-3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1.5717929395397366E-3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1.4793345313315169E-3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1.4793345313315169E-3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1.4793345313315169E-3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1.4793345313315169E-3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1.6642513477479568E-3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1.4793345313315169E-3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1.4793345313315169E-3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1.6642513477479568E-3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1.4793345313315169E-3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1.6642513477479568E-3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1.4793345313315169E-3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1.4793345313315169E-3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1.6642513477479568E-3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1.4793345313315169E-3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1.2019593067068575E-3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1.4793345313315169E-3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1.4793345313315169E-3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1.4793345313315169E-3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1.4793345313315169E-3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1.6642513477479568E-3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1.1095008984986377E-3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1.6642513477479568E-3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1.4793345313315169E-3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1.3868761231232971E-3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1.4793345313315169E-3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1.4793345313315169E-3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1.6642513477479568E-3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1.4793345313315169E-3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1.3868761231232971E-3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1.1095008984986377E-3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1.4793345313315169E-3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1.2944177149150774E-3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1.3868761231232971E-3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1.4793345313315169E-3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1.1095008984986377E-3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1.4793345313315169E-3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1.2944177149150774E-3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1.4793345313315169E-3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1.4793345313315169E-3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1.4793345313315169E-3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1.2944177149150774E-3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1.2019593067068575E-3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1.6642513477479568E-3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1.4793345313315169E-3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1.6642513477479568E-3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1.3868761231232971E-3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1.5717929395397366E-3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1.2944177149150774E-3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1.3868761231232971E-3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1.4793345313315169E-3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1.5717929395397366E-3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1.4793345313315169E-3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1.2944177149150774E-3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1.6642513477479568E-3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1.6642513477479568E-3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1.6642513477479568E-3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1.4793345313315169E-3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1.4793345313315169E-3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9.2458408208219813E-4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1.1095008984986377E-3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1.2944177149150774E-3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9.2458408208219813E-4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1.5717929395397366E-3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1.5717929395397366E-3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1.4793345313315169E-3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1.017042490290418E-3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1.1095008984986377E-3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1.2944177149150774E-3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1.4793345313315169E-3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1.4793345313315169E-3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1.2019593067068575E-3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1.1095008984986377E-3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1.5717929395397366E-3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1.6642513477479568E-3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1.4793345313315169E-3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1.4793345313315169E-3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1.4793345313315169E-3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1.2944177149150774E-3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1.1095008984986377E-3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1.3868761231232971E-3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1.3868761231232971E-3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1.2944177149150774E-3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1.4793345313315169E-3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1.1095008984986377E-3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1.4793345313315169E-3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1.6642513477479568E-3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1.6642513477479568E-3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1.6642513477479568E-3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1.4793345313315169E-3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1.4793345313315169E-3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1.4793345313315169E-3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1.4793345313315169E-3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1.4793345313315169E-3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1.2019593067068575E-3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1.3868761231232971E-3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1.2944177149150774E-3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1.3868761231232971E-3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1.4793345313315169E-3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1.2944177149150774E-3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1.4793345313315169E-3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1.4793345313315169E-3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1.4793345313315169E-3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1.2944177149150774E-3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1.2944177149150774E-3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1.4793345313315169E-3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1.1095008984986377E-3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1.2944177149150774E-3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1.1095008984986377E-3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1.4793345313315169E-3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1.4793345313315169E-3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1.4793345313315169E-3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1.3868761231232971E-3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1.4793345313315169E-3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1.4793345313315169E-3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1.4793345313315169E-3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1.2944177149150774E-3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1.6642513477479568E-3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1.4793345313315169E-3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1.6642513477479568E-3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1.4793345313315169E-3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1.1910324039186135E-3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1.2826502811431222E-3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1.4658860355921395E-3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1.2826502811431222E-3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1.2826502811431222E-3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1.2826502811431222E-3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1.649121790041157E-3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1.649121790041157E-3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1.3742681583676307E-3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1.4658860355921395E-3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1.2826502811431222E-3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1.649121790041157E-3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1.4658860355921395E-3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1.4658860355921395E-3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1.4658860355921395E-3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1.2826502811431222E-3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1.4658860355921395E-3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1.1910324039186135E-3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1.1910324039186135E-3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1.2826502811431222E-3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1.4658860355921395E-3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1.4658860355921395E-3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1.4658860355921395E-3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1.4658860355921395E-3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1.4658860355921395E-3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1.649121790041157E-3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1.4658860355921395E-3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6.4132514057156111E-4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1.2826502811431222E-3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1.2826502811431222E-3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1.2826502811431222E-3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1.3742681583676307E-3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1.4658860355921395E-3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1.2826502811431222E-3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1.2826502811431222E-3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1.3742681583676307E-3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1.2826502811431222E-3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8.2456089502057849E-4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1.2826502811431222E-3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1.2826502811431222E-3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1.2826502811431222E-3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1.2826502811431222E-3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1.4658860355921395E-3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1.3742681583676307E-3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1.649121790041157E-3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1.2826502811431222E-3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1.4658860355921395E-3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9.1617877224508734E-4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1.2826502811431222E-3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1.4658860355921395E-3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1.3742681583676307E-3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1.0994145266941047E-3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1.5575039128166482E-3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1.2826502811431222E-3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1.2826502811431222E-3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1.2826502811431222E-3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1.2826502811431222E-3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1.1910324039186135E-3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8.2456089502057849E-4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1.4658860355921395E-3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1.4658860355921395E-3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1.4658860355921395E-3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1.1910324039186135E-3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1.2826502811431222E-3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1.4658860355921395E-3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1.2826502811431222E-3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1.4658860355921395E-3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1.3742681583676307E-3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1.3742681583676307E-3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1.2826502811431222E-3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1.2826502811431222E-3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1.4658860355921395E-3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3.6647150889803487E-4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1.4658860355921395E-3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1.007796649469596E-3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1.007796649469596E-3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1.2826502811431222E-3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1.4658860355921395E-3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1.3742681583676307E-3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1.2826502811431222E-3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1.3742681583676307E-3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9.1617877224508734E-4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1.4658860355921395E-3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1.4658860355921395E-3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1.4658860355921395E-3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1.2826502811431222E-3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1.4658860355921395E-3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1.007796649469596E-3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1.3742681583676307E-3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1.649121790041157E-3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1.649121790041157E-3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1.4658860355921395E-3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1.4658860355921395E-3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1.2826502811431222E-3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1.4658860355921395E-3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1.2826502811431222E-3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1.2826502811431222E-3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1.2826502811431222E-3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1.0994145266941047E-3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1.2826502811431222E-3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1.2826502811431222E-3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1.2826502811431222E-3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1.2826502811431222E-3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1.2826502811431222E-3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1.0994145266941047E-3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1.4658860355921395E-3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1.4658860355921395E-3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1.649121790041157E-3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9.1617877224508734E-4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1.2826502811431222E-3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1.0994145266941047E-3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9.1617877224508734E-4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1.4658860355921395E-3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1.4658860355921395E-3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1.3742681583676307E-3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1.4658860355921395E-3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1.4658860355921395E-3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1.4658860355921395E-3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1.1910324039186135E-3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1.0994145266941047E-3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1.3742681583676307E-3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1.2826502811431222E-3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1.1910324039186135E-3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1.2826502811431222E-3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9.1617877224508734E-4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1.0994145266941047E-3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1.1910324039186135E-3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1.3742681583676307E-3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1.649121790041157E-3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1.1910324039186135E-3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1.1910324039186135E-3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9.1617877224508734E-4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1.649121790041157E-3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1.0994145266941047E-3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1.4658860355921395E-3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1.4658860355921395E-3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1.4658860355921395E-3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1.4658860355921395E-3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1.649121790041157E-3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1.4658860355921395E-3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1.649121790041157E-3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1.649121790041157E-3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9.1617877224508734E-4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1.649121790041157E-3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1.2826502811431222E-3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1.4658860355921395E-3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1.2826502811431222E-3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1.4658860355921395E-3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1.2826502811431222E-3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5.4970726334705236E-4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1.4658860355921395E-3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1.2826502811431222E-3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1.4658860355921395E-3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1.4658860355921395E-3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1.4658860355921395E-3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1.4658860355921395E-3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1.2826502811431222E-3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1.4658860355921395E-3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1.3742681583676307E-3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1.4658860355921395E-3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1.649121790041157E-3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1.5575039128166482E-3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1.3742681583676307E-3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1.2826502811431222E-3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1.2826502811431222E-3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1.5575039128166482E-3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1.649121790041157E-3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1.3742681583676307E-3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1.4658860355921395E-3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1.5575039128166482E-3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1.2826502811431222E-3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1.3742681583676307E-3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1.4658860355921395E-3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1.4658860355921395E-3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1.4658860355921395E-3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1.4658860355921395E-3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1.5575039128166482E-3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1.4658860355921395E-3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1.4658860355921395E-3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1.3742681583676307E-3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1.4658860355921395E-3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1.4658860355921395E-3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1.4658860355921395E-3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1.4658860355921395E-3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1.3742681583676307E-3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1.5575039128166482E-3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1.4658860355921395E-3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1.4658860355921395E-3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1.4658860355921395E-3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1.4658860355921395E-3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1.4658860355921395E-3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7.3294301779606975E-4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1.1910324039186135E-3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1.2826502811431222E-3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1.2826502811431222E-3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1.007796649469596E-3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1.4658860355921395E-3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1.4658860355921395E-3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1.4658860355921395E-3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1.649121790041157E-3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1.1910324039186135E-3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1.1910324039186135E-3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1.2826502811431222E-3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1.4658860355921395E-3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1.4658860355921395E-3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1.2826502811431222E-3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1.1910324039186135E-3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1.4658860355921395E-3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1.4658860355921395E-3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7.3294301779606975E-4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6.4132514057156111E-4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1.4658860355921395E-3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1.649121790041157E-3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1.4658860355921395E-3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1.649121790041157E-3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1.1910324039186135E-3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1.2826502811431222E-3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1.4658860355921395E-3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1.1910324039186135E-3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1.2826502811431222E-3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1.0994145266941047E-3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1.2826502811431222E-3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1.4658860355921395E-3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1.4658860355921395E-3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1.0994145266941047E-3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1.1910324039186135E-3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9.1617877224508734E-4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252.88</v>
      </c>
      <c r="R843" s="11">
        <f t="shared" ca="1" si="42"/>
        <v>1.4658860355921395E-3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237.07499999999999</v>
      </c>
      <c r="R844" s="11">
        <f t="shared" ca="1" si="42"/>
        <v>1.3742681583676307E-3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205.465</v>
      </c>
      <c r="R845" s="11">
        <f t="shared" ca="1" si="42"/>
        <v>1.1910324039186135E-3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221.27</v>
      </c>
      <c r="R846" s="11">
        <f t="shared" ca="1" si="42"/>
        <v>1.2826502811431222E-3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221.27</v>
      </c>
      <c r="R847" s="11">
        <f t="shared" ca="1" si="42"/>
        <v>1.2826502811431222E-3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221.27</v>
      </c>
      <c r="R848" s="11">
        <f t="shared" ca="1" si="42"/>
        <v>1.2826502811431222E-3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126.44</v>
      </c>
      <c r="R849" s="11">
        <f t="shared" ca="1" si="42"/>
        <v>7.3294301779606975E-4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189.66</v>
      </c>
      <c r="R850" s="11">
        <f t="shared" ca="1" si="42"/>
        <v>1.0994145266941047E-3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205.465</v>
      </c>
      <c r="R851" s="11">
        <f t="shared" ca="1" si="42"/>
        <v>1.1910324039186135E-3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223.3</v>
      </c>
      <c r="R852" s="11">
        <f t="shared" ca="1" si="42"/>
        <v>1.2944177149150774E-3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159.5</v>
      </c>
      <c r="R853" s="11">
        <f t="shared" ca="1" si="42"/>
        <v>9.2458408208219813E-4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223.3</v>
      </c>
      <c r="R854" s="11">
        <f t="shared" ca="1" si="42"/>
        <v>1.2944177149150774E-3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223.3</v>
      </c>
      <c r="R855" s="11">
        <f t="shared" ca="1" si="42"/>
        <v>1.2944177149150774E-3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0</v>
      </c>
      <c r="R859" s="11">
        <f t="shared" ca="1" si="42"/>
        <v>0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223.3</v>
      </c>
      <c r="R867" s="11">
        <f t="shared" ca="1" si="44"/>
        <v>1.2944177149150774E-3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223.3</v>
      </c>
      <c r="R868" s="11">
        <f t="shared" ca="1" si="44"/>
        <v>1.2944177149150774E-3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1.2944177149150774E-3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175.45</v>
      </c>
      <c r="R870" s="11">
        <f t="shared" ca="1" si="44"/>
        <v>1.017042490290418E-3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223.3</v>
      </c>
      <c r="R871" s="11">
        <f t="shared" ca="1" si="44"/>
        <v>1.2944177149150774E-3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>
        <f t="shared" ca="1" si="44"/>
        <v>1.2944177149150774E-3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239.25</v>
      </c>
      <c r="R873" s="11">
        <f t="shared" ca="1" si="44"/>
        <v>1.3868761231232971E-3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>
        <f t="shared" ca="1" si="44"/>
        <v>1.2944177149150774E-3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255.2</v>
      </c>
      <c r="R875" s="11">
        <f t="shared" ca="1" si="44"/>
        <v>1.4793345313315169E-3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191.4</v>
      </c>
      <c r="R876" s="11">
        <f t="shared" ca="1" si="44"/>
        <v>1.1095008984986377E-3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255.2</v>
      </c>
      <c r="R877" s="11">
        <f t="shared" ca="1" si="44"/>
        <v>1.4793345313315169E-3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255.2</v>
      </c>
      <c r="R878" s="11">
        <f t="shared" ca="1" si="44"/>
        <v>1.4793345313315169E-3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2.4262767375804305E-2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4.8355747492898962E-2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4.9002956350356501E-2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4.8465857051765142E-2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3.4265086081966274E-2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4.33327343342415E-2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2.4593936583386475E-2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9.2989623789925202E-2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6.6385137093501842E-2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5.1314416555561994E-2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5.3995710393600377E-2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6.4258593704712777E-2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8.5845950959364689E-2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2.6477566517883022E-2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2.4262767375804305E-2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4.8355747492898962E-2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4.9002956350356501E-2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4.8465857051765142E-2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3.4265086081966274E-2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4.33327343342415E-2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2.4593936583386475E-2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9.2989623789925202E-2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6.9251347747956674E-2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6.4905802562170337E-2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6.7494637992000464E-2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6.7679554808416906E-2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8.5845950959364689E-2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2.6477566517883022E-2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2.4262767375804305E-2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4.8355747492898962E-2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4.9002956350356501E-2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4.8465857051765142E-2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3.4265086081966274E-2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4.33327343342415E-2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2.4593936583386475E-2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9.2989623789925202E-2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6.6385137093501842E-2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5.1314416555561994E-2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5.3995710393600377E-2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6.4258593704712777E-2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8.5845950959364689E-2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2.6477566517883022E-2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0.16696391513535447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0.20468358356037328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0.24113152860703727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0.1123235174772477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172510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172510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172510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9.0777346240797631E-5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9.1617877224508732E-5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9.2458408208219819E-5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1.8155469248159526E-4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1.8323575444901746E-4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1.8491681641643964E-4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2.4262767375804305E-2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0.1797214944061214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9.1251405715610689E-2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2.4593936583386468E-2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0.275346356732943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0.13228218653991072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2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Props1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2025-07-27T03:41:23Z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