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senvionwindtechnologypvtltd-my.sharepoint.com/personal/mukesh_nakum_senvion_in/Documents/Desktop/DGR/JULY -2025/26-07-2025/"/>
    </mc:Choice>
  </mc:AlternateContent>
  <xr:revisionPtr revIDLastSave="0" documentId="8_{CF76E33F-368D-4382-8D2C-C926C3BE82B6}" xr6:coauthVersionLast="47" xr6:coauthVersionMax="47" xr10:uidLastSave="{00000000-0000-0000-0000-000000000000}"/>
  <bookViews>
    <workbookView xWindow="-108" yWindow="-108" windowWidth="23256" windowHeight="12456"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1"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25" i="18" l="1"/>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W1629" i="18" s="1"/>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c r="B124" i="1"/>
  <c r="C124" i="1"/>
  <c r="D124" i="1"/>
  <c r="E124" i="1"/>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W1608" i="18" s="1"/>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BN124" i="1" l="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X157" i="19"/>
  <c r="X156" i="19"/>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Q157" i="19"/>
  <c r="E155" i="19"/>
  <c r="H155" i="19"/>
  <c r="I155" i="19"/>
  <c r="J155" i="19"/>
  <c r="O155" i="19"/>
  <c r="P155" i="19"/>
  <c r="Q155" i="19"/>
  <c r="X155" i="19" s="1"/>
  <c r="T155" i="19"/>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T154" i="19" s="1"/>
  <c r="O154" i="19"/>
  <c r="P154" i="19"/>
  <c r="Q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7" i="19" l="1"/>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BN44" i="1" l="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<sst xmlns="http://schemas.openxmlformats.org/spreadsheetml/2006/main" count="17576" uniqueCount="2117">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</sst>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0">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77">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xf numFmtId="1" fontId="59" fillId="0" borderId="1" xfId="0" applyNumberFormat="1" applyFont="1" applyFill="1" applyBorder="1" applyAlignment="1">
      <alignment horizontal="center"/>
    </xf>
    <xf numFmtId="164" fontId="59" fillId="0" borderId="1" xfId="0" applyNumberFormat="1" applyFont="1" applyFill="1" applyBorder="1" applyAlignment="1">
      <alignment horizontal="center"/>
    </xf>
    <xf numFmtId="9" fontId="7" fillId="7" borderId="5" xfId="2" applyNumberFormat="1" applyFont="1" applyFill="1" applyBorder="1" applyAlignment="1">
      <alignment horizontal="center"/>
    </xf>
    <xf numFmtId="10" fontId="59" fillId="0" borderId="0" xfId="0" applyNumberFormat="1" applyFont="1" applyFill="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4"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29" totalsRowShown="0" headerRowDxfId="157">
  <autoFilter ref="A1:AD1629"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7" totalsRowShown="0" headerRowDxfId="126" dataDxfId="124" headerRowBorderDxfId="125" headerRowCellStyle="Normal 26 2 2">
  <autoFilter ref="A1:AA157"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topLeftCell="A8" zoomScale="70" zoomScaleNormal="70" workbookViewId="0">
      <selection activeCell="J33" sqref="J33"/>
    </sheetView>
  </sheetViews>
  <sheetFormatPr defaultColWidth="9" defaultRowHeight="14.4"/>
  <cols>
    <col min="1" max="1" width="30.88671875" style="37" bestFit="1" customWidth="1"/>
    <col min="2" max="2" width="22.44140625" style="38" customWidth="1"/>
    <col min="3" max="3" width="13.44140625" style="38" customWidth="1"/>
    <col min="4" max="4" width="12" style="39" customWidth="1"/>
    <col min="5" max="5" width="22.109375" style="37" customWidth="1"/>
    <col min="6" max="6" width="31.44140625" style="38" customWidth="1"/>
    <col min="7" max="7" width="11.44140625" style="38" customWidth="1"/>
    <col min="8" max="8" width="14.44140625" style="38" customWidth="1"/>
    <col min="9" max="9" width="11" style="38" customWidth="1"/>
    <col min="10" max="10" width="11.44140625" style="38" customWidth="1"/>
    <col min="11" max="11" width="10.441406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45864</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37">
        <v>1</v>
      </c>
      <c r="B10" s="56" t="s">
        <v>13</v>
      </c>
      <c r="C10" s="57">
        <f>_xlfn.XLOOKUP($B$4,'Daily KPI'!$A:$A,'Daily KPI'!$AD:$AD)/1000</f>
        <v>963.88316796059144</v>
      </c>
      <c r="D10" s="58">
        <f>_xlfn.XLOOKUP($B$4,'Daily KPI'!$A:$A,'Daily KPI'!$AA:$AA)/1000</f>
        <v>913.5</v>
      </c>
      <c r="E10" s="59">
        <f>D10/C10-1</f>
        <v>-5.2271032045505539E-2</v>
      </c>
      <c r="F10" s="234"/>
    </row>
    <row r="11" spans="1:18">
      <c r="A11" s="638"/>
      <c r="B11" s="60" t="s">
        <v>14</v>
      </c>
      <c r="C11" s="61">
        <f>MonthlyKPI!$E$4</f>
        <v>25060.962366975378</v>
      </c>
      <c r="D11" s="62">
        <f>MonthlyKPI!F4</f>
        <v>15831</v>
      </c>
      <c r="E11" s="63">
        <f>D11/C11-1</f>
        <v>-0.36830039612279053</v>
      </c>
      <c r="F11" s="235"/>
    </row>
    <row r="12" spans="1:18" ht="15" thickBot="1">
      <c r="A12" s="639"/>
      <c r="B12" s="64" t="s">
        <v>15</v>
      </c>
      <c r="C12" s="65">
        <f>AnnualKPI!$E$4</f>
        <v>98212.230400078843</v>
      </c>
      <c r="D12" s="66">
        <f>AnnualKPI!F4</f>
        <v>79762.05</v>
      </c>
      <c r="E12" s="67">
        <f>D12/C12-1</f>
        <v>-0.18786031357723887</v>
      </c>
      <c r="F12" s="236"/>
    </row>
    <row r="13" spans="1:18">
      <c r="A13" s="637">
        <v>2</v>
      </c>
      <c r="B13" s="56" t="s">
        <v>16</v>
      </c>
      <c r="C13" s="68">
        <f>_xlfn.XLOOKUP($B$3,'Modelling New'!$D:$D,'Modelling New'!$J:$J)</f>
        <v>8.18</v>
      </c>
      <c r="D13" s="69">
        <f>_xlfn.XLOOKUP($B$4,'Daily KPI'!$A:$A,'Daily KPI'!$M:$M)</f>
        <v>7.7040544865477774</v>
      </c>
      <c r="E13" s="59">
        <f t="shared" ref="E13:E39" si="0">(D13-C13)/(C13)</f>
        <v>-5.8184048099293686E-2</v>
      </c>
      <c r="F13" s="234"/>
    </row>
    <row r="14" spans="1:18">
      <c r="A14" s="638"/>
      <c r="B14" s="60" t="s">
        <v>17</v>
      </c>
      <c r="C14" s="70">
        <f>MonthlyKPI!C4</f>
        <v>8.18</v>
      </c>
      <c r="D14" s="71">
        <f>MonthlyKPI!D4</f>
        <v>6.5303062460949111</v>
      </c>
      <c r="E14" s="63">
        <f t="shared" si="0"/>
        <v>-0.20167405304463187</v>
      </c>
      <c r="F14" s="235"/>
    </row>
    <row r="15" spans="1:18" ht="15" thickBot="1">
      <c r="A15" s="639"/>
      <c r="B15" s="64" t="s">
        <v>18</v>
      </c>
      <c r="C15" s="72">
        <f>AnnualKPI!C4</f>
        <v>7.2925000000000004</v>
      </c>
      <c r="D15" s="73">
        <f>AnnualKPI!D4</f>
        <v>6.775772414216414</v>
      </c>
      <c r="E15" s="67">
        <f t="shared" si="0"/>
        <v>-7.085739949037867E-2</v>
      </c>
      <c r="F15" s="236"/>
    </row>
    <row r="16" spans="1:18">
      <c r="A16" s="637">
        <v>3</v>
      </c>
      <c r="B16" s="56" t="s">
        <v>19</v>
      </c>
      <c r="C16" s="74">
        <f>_xlfn.XLOOKUP($B$3,'Modelling New'!$D:$D,'Modelling New'!$AE:$AE)</f>
        <v>0.96029999999999993</v>
      </c>
      <c r="D16" s="75">
        <f>_xlfn.XLOOKUP($B$4,'Daily KPI'!$A:$A,'Daily KPI'!$O:$O)</f>
        <v>0.99901400452772426</v>
      </c>
      <c r="E16" s="59">
        <f t="shared" si="0"/>
        <v>4.0314489771659204E-2</v>
      </c>
      <c r="F16" s="234"/>
      <c r="H16" s="100"/>
    </row>
    <row r="17" spans="1:6">
      <c r="A17" s="638"/>
      <c r="B17" s="60" t="s">
        <v>20</v>
      </c>
      <c r="C17" s="76">
        <f>_xlfn.XLOOKUP($B$3,'Modelling New'!$D:$D,'Modelling New'!$AE:$AE)</f>
        <v>0.96029999999999993</v>
      </c>
      <c r="D17" s="77">
        <f>MonthlyKPI!P4</f>
        <v>0.96870333579868306</v>
      </c>
      <c r="E17" s="63">
        <f t="shared" si="0"/>
        <v>8.7507401839874328E-3</v>
      </c>
      <c r="F17" s="235"/>
    </row>
    <row r="18" spans="1:6" ht="15" thickBot="1">
      <c r="A18" s="639"/>
      <c r="B18" s="64" t="s">
        <v>21</v>
      </c>
      <c r="C18" s="78">
        <f>_xlfn.XLOOKUP($B$3,'Modelling New'!$D:$D,'Modelling New'!$AE:$AE)</f>
        <v>0.96029999999999993</v>
      </c>
      <c r="D18" s="79">
        <f>AnnualKPI!P4</f>
        <v>0.9460901638119652</v>
      </c>
      <c r="E18" s="67">
        <f t="shared" si="0"/>
        <v>-1.4797288543199762E-2</v>
      </c>
      <c r="F18" s="236"/>
    </row>
    <row r="19" spans="1:6">
      <c r="A19" s="637">
        <v>4</v>
      </c>
      <c r="B19" s="56" t="s">
        <v>22</v>
      </c>
      <c r="C19" s="74">
        <f>_xlfn.XLOOKUP($B$3,'Modelling New'!$D:$D,'Modelling New'!$AF:$AF)</f>
        <v>0.995</v>
      </c>
      <c r="D19" s="75">
        <f>_xlfn.XLOOKUP($B$4,'Daily KPI'!$A:$A,'Daily KPI'!$R:$R)</f>
        <v>1</v>
      </c>
      <c r="E19" s="59">
        <f t="shared" si="0"/>
        <v>5.0251256281407079E-3</v>
      </c>
      <c r="F19" s="234"/>
    </row>
    <row r="20" spans="1:6">
      <c r="A20" s="638"/>
      <c r="B20" s="60" t="s">
        <v>23</v>
      </c>
      <c r="C20" s="76">
        <f>_xlfn.XLOOKUP($B$3,'Modelling New'!$D:$D,'Modelling New'!$AF:$AF)</f>
        <v>0.995</v>
      </c>
      <c r="D20" s="77">
        <f>MonthlyKPI!J4</f>
        <v>1</v>
      </c>
      <c r="E20" s="63">
        <f t="shared" si="0"/>
        <v>5.0251256281407079E-3</v>
      </c>
      <c r="F20" s="235"/>
    </row>
    <row r="21" spans="1:6" ht="15" thickBot="1">
      <c r="A21" s="639"/>
      <c r="B21" s="64" t="s">
        <v>24</v>
      </c>
      <c r="C21" s="78">
        <f>_xlfn.XLOOKUP($B$3,'Modelling New'!$D:$D,'Modelling New'!$AF:$AF)</f>
        <v>0.995</v>
      </c>
      <c r="D21" s="79">
        <f>AnnualKPI!J4</f>
        <v>1</v>
      </c>
      <c r="E21" s="67">
        <f t="shared" si="0"/>
        <v>5.0251256281407079E-3</v>
      </c>
      <c r="F21" s="236"/>
    </row>
    <row r="22" spans="1:6">
      <c r="A22" s="637">
        <v>5</v>
      </c>
      <c r="B22" s="56" t="s">
        <v>25</v>
      </c>
      <c r="C22" s="74">
        <f>_xlfn.XLOOKUP($B$3,'Modelling New'!$D:$D,'Modelling New'!$AI:$AI)</f>
        <v>0.99</v>
      </c>
      <c r="D22" s="75">
        <f>_xlfn.XLOOKUP($B$4,'Daily KPI'!$A:$A,'Daily KPI'!$Q:$Q)</f>
        <v>1</v>
      </c>
      <c r="E22" s="59">
        <f t="shared" si="0"/>
        <v>1.0101010101010111E-2</v>
      </c>
      <c r="F22" s="234"/>
    </row>
    <row r="23" spans="1:6">
      <c r="A23" s="638"/>
      <c r="B23" s="60" t="s">
        <v>26</v>
      </c>
      <c r="C23" s="76">
        <f>_xlfn.XLOOKUP($B$3,'Modelling New'!$D:$D,'Modelling New'!$AI:$AI)</f>
        <v>0.99</v>
      </c>
      <c r="D23" s="77">
        <f>MonthlyKPI!N4</f>
        <v>0.99601098237620123</v>
      </c>
      <c r="E23" s="63">
        <f t="shared" si="0"/>
        <v>6.071699369900237E-3</v>
      </c>
      <c r="F23" s="235"/>
    </row>
    <row r="24" spans="1:6" ht="15" thickBot="1">
      <c r="A24" s="639"/>
      <c r="B24" s="64" t="s">
        <v>27</v>
      </c>
      <c r="C24" s="78">
        <f>_xlfn.XLOOKUP($B$3,'Modelling New'!$D:$D,'Modelling New'!$AI:$AI)</f>
        <v>0.99</v>
      </c>
      <c r="D24" s="79">
        <f>AnnualKPI!N4</f>
        <v>0.97464565773540401</v>
      </c>
      <c r="E24" s="67">
        <f t="shared" si="0"/>
        <v>-1.5509436630905028E-2</v>
      </c>
      <c r="F24" s="236"/>
    </row>
    <row r="25" spans="1:6">
      <c r="A25" s="637">
        <v>6</v>
      </c>
      <c r="B25" s="56" t="s">
        <v>28</v>
      </c>
      <c r="C25" s="75">
        <f>_xlfn.XLOOKUP($B$3,'Modelling New'!$D:$D,'Modelling New'!$AH:$AH)</f>
        <v>0.97</v>
      </c>
      <c r="D25" s="75">
        <f>_xlfn.XLOOKUP($B$4,'Daily KPI'!$A:$A,'Daily KPI'!$P:$P)</f>
        <v>0.99901400452772426</v>
      </c>
      <c r="E25" s="59">
        <f t="shared" ref="E25:E27" si="1">(D25-C25)/(C25)</f>
        <v>2.9911344873942567E-2</v>
      </c>
      <c r="F25" s="234"/>
    </row>
    <row r="26" spans="1:6">
      <c r="A26" s="638"/>
      <c r="B26" s="60" t="s">
        <v>29</v>
      </c>
      <c r="C26" s="77">
        <f>_xlfn.XLOOKUP($B$3,'Modelling New'!$D:$D,'Modelling New'!$AH:$AH)</f>
        <v>0.97</v>
      </c>
      <c r="D26" s="77">
        <f>MonthlyKPI!$L$4</f>
        <v>0.97258298647232799</v>
      </c>
      <c r="E26" s="63">
        <f t="shared" si="1"/>
        <v>2.662872651884556E-3</v>
      </c>
      <c r="F26" s="235"/>
    </row>
    <row r="27" spans="1:6" ht="15" thickBot="1">
      <c r="A27" s="639"/>
      <c r="B27" s="64" t="s">
        <v>30</v>
      </c>
      <c r="C27" s="79">
        <f>_xlfn.XLOOKUP($B$3,'Modelling New'!$D:$D,'Modelling New'!$AH:$AH)</f>
        <v>0.97</v>
      </c>
      <c r="D27" s="79">
        <f>AnnualKPI!$L$4</f>
        <v>0.97070166609084607</v>
      </c>
      <c r="E27" s="67">
        <f t="shared" si="1"/>
        <v>7.2336710396504961E-4</v>
      </c>
      <c r="F27" s="236"/>
    </row>
    <row r="28" spans="1:6">
      <c r="A28" s="637">
        <v>7</v>
      </c>
      <c r="B28" s="56" t="s">
        <v>31</v>
      </c>
      <c r="C28" s="74">
        <f>_xlfn.XLOOKUP($B$4,'Daily KPI'!$A:$A,'Daily KPI'!$AF:$AF)</f>
        <v>0.57210539408867012</v>
      </c>
      <c r="D28" s="75">
        <f>_xlfn.XLOOKUP($B$4,'Daily KPI'!$A:$A,'Daily KPI'!$W:$W)</f>
        <v>0.54220085470085466</v>
      </c>
      <c r="E28" s="59">
        <f t="shared" si="0"/>
        <v>-5.2271032045505546E-2</v>
      </c>
      <c r="F28" s="234"/>
    </row>
    <row r="29" spans="1:6">
      <c r="A29" s="638"/>
      <c r="B29" s="60" t="s">
        <v>32</v>
      </c>
      <c r="C29" s="76">
        <f>MonthlyKPI!$G$4</f>
        <v>0.57210539408867012</v>
      </c>
      <c r="D29" s="77">
        <f>MonthlyKPI!H4</f>
        <v>0.36139875082182771</v>
      </c>
      <c r="E29" s="63">
        <f t="shared" si="0"/>
        <v>-0.36830039612279059</v>
      </c>
      <c r="F29" s="235"/>
    </row>
    <row r="30" spans="1:6" ht="15" thickBot="1">
      <c r="A30" s="639"/>
      <c r="B30" s="64" t="s">
        <v>33</v>
      </c>
      <c r="C30" s="78">
        <f>AnnualKPI!$G$4</f>
        <v>0.49823170266515099</v>
      </c>
      <c r="D30" s="79">
        <f>AnnualKPI!H4</f>
        <v>0.40463373876835418</v>
      </c>
      <c r="E30" s="67">
        <f t="shared" si="0"/>
        <v>-0.18786031357723867</v>
      </c>
      <c r="F30" s="236"/>
    </row>
    <row r="31" spans="1:6">
      <c r="A31" s="637">
        <v>8</v>
      </c>
      <c r="B31" s="56" t="s">
        <v>34</v>
      </c>
      <c r="C31" s="210">
        <f>_xlfn.XLOOKUP($B$4,'Daily KPI'!$A:$A,'Daily KPI'!$AP:$AP)</f>
        <v>0.05</v>
      </c>
      <c r="D31" s="211">
        <f>_xlfn.XLOOKUP($B$4,'Daily KPI'!$A:$A,'Daily KPI'!$AN:$AN)</f>
        <v>2.8532536449969691E-2</v>
      </c>
      <c r="E31" s="59">
        <f>-(D31-C31)/(C31)</f>
        <v>0.42934927100060621</v>
      </c>
      <c r="F31" s="237"/>
    </row>
    <row r="32" spans="1:6">
      <c r="A32" s="638"/>
      <c r="B32" s="60" t="s">
        <v>35</v>
      </c>
      <c r="C32" s="212">
        <f>_xlfn.XLOOKUP($B$3,'Modelling New'!$D:$D,'Modelling New'!$AK:$AK)</f>
        <v>0.05</v>
      </c>
      <c r="D32" s="213">
        <f>MonthlyKPI!$U$4</f>
        <v>2.5917054478969328E-2</v>
      </c>
      <c r="E32" s="63">
        <f t="shared" ref="E32:E33" si="2">-(D32-C32)/(C32)</f>
        <v>0.48165891042061348</v>
      </c>
      <c r="F32" s="238"/>
    </row>
    <row r="33" spans="1:7" ht="15" thickBot="1">
      <c r="A33" s="639"/>
      <c r="B33" s="64" t="s">
        <v>36</v>
      </c>
      <c r="C33" s="214">
        <f>_xlfn.XLOOKUP($B$3,'Modelling New'!$D:$D,'Modelling New'!$AK:$AK)</f>
        <v>0.05</v>
      </c>
      <c r="D33" s="215">
        <f>AnnualKPI!$R$4</f>
        <v>3.43142594698315E-2</v>
      </c>
      <c r="E33" s="67">
        <f t="shared" si="2"/>
        <v>0.31371481060337003</v>
      </c>
      <c r="F33" s="239"/>
      <c r="G33" s="209"/>
    </row>
    <row r="34" spans="1:7">
      <c r="A34" s="637">
        <v>9</v>
      </c>
      <c r="B34" s="56" t="s">
        <v>37</v>
      </c>
      <c r="C34" s="74">
        <f>_xlfn.XLOOKUP($B$4,'Daily KPI'!$A:$A,'Daily KPI'!$AQ:$AQ)</f>
        <v>0.05</v>
      </c>
      <c r="D34" s="211">
        <f>_xlfn.XLOOKUP($B$4,'Daily KPI'!$A:$A,'Daily KPI'!$AO:$AO)</f>
        <v>5.2639817936256444E-3</v>
      </c>
      <c r="E34" s="59">
        <f>-(D34-C34)/(C34)</f>
        <v>0.89472036412748712</v>
      </c>
      <c r="F34" s="237"/>
      <c r="G34" s="209"/>
    </row>
    <row r="35" spans="1:7">
      <c r="A35" s="638"/>
      <c r="B35" s="60" t="s">
        <v>38</v>
      </c>
      <c r="C35" s="76">
        <f>_xlfn.XLOOKUP($B$3,'Modelling New'!$D:$D,'Modelling New'!$AL:$AL)</f>
        <v>0.05</v>
      </c>
      <c r="D35" s="217">
        <f>MonthlyKPI!$V$4</f>
        <v>8.7776447094182371E-3</v>
      </c>
      <c r="E35" s="63">
        <f>-(D35-C35)/(C35)</f>
        <v>0.82444710581163538</v>
      </c>
      <c r="F35" s="238"/>
      <c r="G35" s="209"/>
    </row>
    <row r="36" spans="1:7" ht="15" thickBot="1">
      <c r="A36" s="639"/>
      <c r="B36" s="64" t="s">
        <v>39</v>
      </c>
      <c r="C36" s="78">
        <f>_xlfn.XLOOKUP($B$3,'Modelling New'!$D:$D,'Modelling New'!$AL:$AL)</f>
        <v>0.05</v>
      </c>
      <c r="D36" s="215">
        <f>AnnualKPI!$S$4</f>
        <v>7.9531023515452947E-3</v>
      </c>
      <c r="E36" s="67">
        <f>-(D36-C36)/(C36)</f>
        <v>0.84093795296909413</v>
      </c>
      <c r="F36" s="239"/>
      <c r="G36" s="209"/>
    </row>
    <row r="37" spans="1:7">
      <c r="A37" s="637">
        <v>10</v>
      </c>
      <c r="B37" s="56" t="s">
        <v>40</v>
      </c>
      <c r="C37" s="201">
        <f>IFERROR(_xlfn.XLOOKUP($B$4,'Daily KPI'!$A:$A,'Daily KPI'!$AI:$AI),"")</f>
        <v>973.81</v>
      </c>
      <c r="D37" s="202">
        <f>IFERROR(_xlfn.XLOOKUP($B$4,'Daily KPI'!A:A,'Daily KPI'!$X:$X)/1000,"")</f>
        <v>940.33</v>
      </c>
      <c r="E37" s="59">
        <f t="shared" si="0"/>
        <v>-3.4380423285856485E-2</v>
      </c>
      <c r="F37" s="237"/>
      <c r="G37" s="209"/>
    </row>
    <row r="38" spans="1:7">
      <c r="A38" s="638"/>
      <c r="B38" s="60" t="s">
        <v>41</v>
      </c>
      <c r="C38" s="203">
        <f>MonthlyKPI!$T$4</f>
        <v>17226.570000000003</v>
      </c>
      <c r="D38" s="204">
        <f>IFERROR(SUMIF('Daily KPI'!D:D,$B$3,'Daily KPI'!$X:$X)/1000,"")</f>
        <v>16255.295</v>
      </c>
      <c r="E38" s="63">
        <f t="shared" si="0"/>
        <v>-5.6382379080687745E-2</v>
      </c>
      <c r="F38" s="238"/>
      <c r="G38" s="209"/>
    </row>
    <row r="39" spans="1:7" ht="15" thickBot="1">
      <c r="A39" s="639"/>
      <c r="B39" s="64" t="s">
        <v>42</v>
      </c>
      <c r="C39" s="205">
        <f>AnnualKPI!$Q$4</f>
        <v>86650.774499999985</v>
      </c>
      <c r="D39" s="206">
        <f>IFERROR(SUMIFS('Daily KPI'!$X:$X,'Daily KPI'!$A:$A,"&gt;="&amp;O2Summary!$B$6,'Daily KPI'!$A:$A,"&lt;="&amp;O2Summary!$B$4)/1000,"")</f>
        <v>82395.221999999994</v>
      </c>
      <c r="E39" s="67">
        <f t="shared" si="0"/>
        <v>-4.9111534484899397E-2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4140625" defaultRowHeight="29.25" customHeight="1"/>
  <cols>
    <col min="1" max="1" width="15" bestFit="1" customWidth="1"/>
    <col min="2" max="3" width="12.44140625" customWidth="1"/>
    <col min="4" max="4" width="12" customWidth="1"/>
    <col min="5" max="5" width="14.44140625" customWidth="1"/>
    <col min="6" max="16" width="12.44140625" customWidth="1"/>
    <col min="17" max="17" width="12" customWidth="1"/>
    <col min="18" max="18" width="14.44140625" bestFit="1" customWidth="1"/>
    <col min="19" max="19" width="10.109375" customWidth="1"/>
    <col min="20" max="20" width="12.44140625" customWidth="1"/>
  </cols>
  <sheetData>
    <row r="1" spans="1:22" ht="29.25" customHeight="1">
      <c r="A1" s="32" t="s">
        <v>43</v>
      </c>
      <c r="B1" s="33">
        <f>O2Summary!B4</f>
        <v>45864</v>
      </c>
      <c r="C1" s="34">
        <v>0</v>
      </c>
      <c r="D1" s="34">
        <v>0</v>
      </c>
      <c r="E1" s="34">
        <v>0</v>
      </c>
      <c r="F1" s="34">
        <v>0</v>
      </c>
    </row>
    <row r="2" spans="1:22" ht="29.25" customHeight="1">
      <c r="A2" s="640" t="s">
        <v>64</v>
      </c>
      <c r="B2" s="641"/>
      <c r="C2" s="641"/>
      <c r="D2" s="641"/>
      <c r="E2" s="641"/>
      <c r="F2" s="641"/>
      <c r="G2" s="641"/>
      <c r="H2" s="641"/>
      <c r="I2" s="641"/>
      <c r="J2" s="641"/>
      <c r="K2" s="641"/>
      <c r="L2" s="641"/>
      <c r="M2" s="641"/>
      <c r="N2" s="641"/>
      <c r="O2" s="641"/>
      <c r="P2" s="641"/>
      <c r="Q2" s="641"/>
      <c r="R2" s="641"/>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26</v>
      </c>
      <c r="C4" s="117">
        <f>IFERROR(_xlfn.XLOOKUP($A$4,'Modelling New'!$D:$D,'Modelling New'!$AC:$AC),"")</f>
        <v>8.18</v>
      </c>
      <c r="D4" s="118">
        <f>AVERAGEIF('Daily KPI'!$D:$D,$A$4,'Daily KPI'!$M:$M)</f>
        <v>6.5303062460949111</v>
      </c>
      <c r="E4" s="116">
        <f>IFERROR(_xlfn.XLOOKUP($A$4,'Modelling New'!$D:$D,'Modelling New'!$U:$U),"")</f>
        <v>25060.962366975378</v>
      </c>
      <c r="F4" s="119">
        <f>SUMIFS('Daily KPI'!$AA:$AA,'Daily KPI'!$D:$D,$A$4)/1000</f>
        <v>15831</v>
      </c>
      <c r="G4" s="120">
        <f>IFERROR(_xlfn.XLOOKUP($A$4,'Modelling New'!$D:$D,'Modelling New'!$X:$X),"")</f>
        <v>0.57210539408867012</v>
      </c>
      <c r="H4" s="121">
        <f>F4/(24*B4*(_xlfn.XLOOKUP($B$1,'Daily KPI'!$A:$A,'Daily KPI'!$AR:$AR)))</f>
        <v>0.36139875082182771</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0.97258298647232799</v>
      </c>
      <c r="M4" s="120">
        <f>_xlfn.XLOOKUP($A$4,'Modelling New'!$D:$D,'Modelling New'!$AI:$AI)</f>
        <v>0.99</v>
      </c>
      <c r="N4" s="121">
        <f>AVERAGEIFS('Daily KPI'!$Q:$Q,'Daily KPI'!$A:$A,"&lt;="&amp;MonthlyKPI!$B$1,'Daily KPI'!$D:$D,$A$4)</f>
        <v>0.99601098237620123</v>
      </c>
      <c r="O4" s="120">
        <f>K4*M4</f>
        <v>0.96029999999999993</v>
      </c>
      <c r="P4" s="122">
        <f>L4*N4</f>
        <v>0.96870333579868306</v>
      </c>
      <c r="Q4" s="116">
        <f>SUMIFS('Daily KPI'!$X:$X,'Daily KPI'!$D:$D,$A$4)/1000</f>
        <v>16255.295</v>
      </c>
      <c r="R4" s="122">
        <f>Q4/F4-1</f>
        <v>2.6801528646326789E-2</v>
      </c>
      <c r="S4" s="116">
        <f>SUMIFS(Input_Raw!BQ:BQ,Input_Raw!A:A,"&gt;="&amp;A4,Input_Raw!A:A,"&lt;="&amp;B1)</f>
        <v>17226.570000000003</v>
      </c>
      <c r="T4" s="119">
        <f>SUMIFS('Daily KPI'!$AI:$AI,'Daily KPI'!$D:$D,$A$4)</f>
        <v>17226.570000000003</v>
      </c>
      <c r="U4" s="200">
        <f>IFERROR(AVERAGEIFS('Daily KPI'!$AN:$AN,'Daily KPI'!$D:$D,MonthlyKPI!$A$4,'Daily KPI'!$A:$A,"&lt;="&amp;MonthlyKPI!$B$1),"")</f>
        <v>2.5917054478969328E-2</v>
      </c>
      <c r="V4" s="199">
        <f>AVERAGEIFS('Daily KPI'!$AO:$AO,'Daily KPI'!$A:$A,"&lt;="&amp;MonthlyKPI!$B$1,'Daily KPI'!$D:$D,$A$4)</f>
        <v>8.7776447094182371E-3</v>
      </c>
    </row>
    <row r="6" spans="1:22" ht="29.25" customHeight="1">
      <c r="Q6" s="2"/>
    </row>
    <row r="7" spans="1:22" ht="29.25" customHeight="1">
      <c r="A7" s="32" t="s">
        <v>69</v>
      </c>
      <c r="B7" s="33">
        <f>B8-6</f>
        <v>45858</v>
      </c>
      <c r="D7" s="36"/>
      <c r="F7" s="36"/>
    </row>
    <row r="8" spans="1:22" ht="29.25" customHeight="1">
      <c r="A8" s="32" t="s">
        <v>70</v>
      </c>
      <c r="B8" s="33">
        <f>B1</f>
        <v>45864</v>
      </c>
    </row>
    <row r="9" spans="1:22" ht="29.25" customHeight="1">
      <c r="A9" s="640" t="s">
        <v>71</v>
      </c>
      <c r="B9" s="641"/>
      <c r="C9" s="641"/>
      <c r="D9" s="641"/>
      <c r="E9" s="641"/>
      <c r="F9" s="641"/>
      <c r="G9" s="641"/>
      <c r="H9" s="641"/>
      <c r="I9" s="641"/>
      <c r="J9" s="641"/>
      <c r="K9" s="641"/>
      <c r="L9" s="641"/>
      <c r="M9" s="641"/>
      <c r="N9" s="641"/>
      <c r="O9" s="641"/>
      <c r="P9" s="641"/>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6.1881306452189824</v>
      </c>
      <c r="E11" s="116">
        <f>SUMIFS('Daily KPI'!$AD:$AD,'Daily KPI'!$A:$A,"&gt;="&amp;$B$7,'Daily KPI'!$A:$A,"&lt;="&amp;$B$8)/1000</f>
        <v>6747.1821757241405</v>
      </c>
      <c r="F11" s="119">
        <f>SUMIFS('Daily KPI'!$AA:$AA,'Daily KPI'!$A:$A,"&gt;="&amp;$B$7,'Daily KPI'!$A:$A,"&lt;="&amp;$B$8)/1000</f>
        <v>3923.55</v>
      </c>
      <c r="G11" s="120">
        <f>E11/(24*$B$11*'Basic Data'!$K$3)</f>
        <v>0.57210539408866989</v>
      </c>
      <c r="H11" s="121">
        <f>F11/(24*B11*'Basic Data'!$K$3)</f>
        <v>0.33268467643467631</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0.98955288761329385</v>
      </c>
      <c r="M11" s="120">
        <f>_xlfn.XLOOKUP($A$4,'Modelling New'!$D:$D,'Modelling New'!$AI:$AI)</f>
        <v>0.99</v>
      </c>
      <c r="N11" s="121">
        <f>AVERAGEIFS('Daily KPI'!$Q:$Q,'Daily KPI'!$A:$A,"&gt;="&amp;$B$7,'Daily KPI'!$A:$A,"&lt;="&amp;$B$8)</f>
        <v>0.99821961758240418</v>
      </c>
      <c r="O11" s="120">
        <f>K11*M11</f>
        <v>0.96029999999999993</v>
      </c>
      <c r="P11" s="122">
        <f>L11*N11</f>
        <v>0.98779110505090595</v>
      </c>
      <c r="Q11" s="116">
        <f>SUMIFS(Input_Raw!BQ:BQ,Input_Raw!A:A,"&gt;="&amp;B7,Input_Raw!A:A,"&lt;="&amp;B8)</f>
        <v>4183.369999999999</v>
      </c>
    </row>
    <row r="14" spans="1:22" ht="29.25" customHeight="1">
      <c r="A14" s="32" t="s">
        <v>69</v>
      </c>
      <c r="B14" s="33">
        <f>B15-29</f>
        <v>45835</v>
      </c>
      <c r="D14" s="36"/>
      <c r="F14" s="36"/>
    </row>
    <row r="15" spans="1:22" ht="29.25" customHeight="1">
      <c r="A15" s="32" t="s">
        <v>70</v>
      </c>
      <c r="B15" s="33">
        <f>B8</f>
        <v>45864</v>
      </c>
    </row>
    <row r="16" spans="1:22" ht="29.25" customHeight="1">
      <c r="A16" s="640" t="s">
        <v>72</v>
      </c>
      <c r="B16" s="641"/>
      <c r="C16" s="641"/>
      <c r="D16" s="641"/>
      <c r="E16" s="641"/>
      <c r="F16" s="641"/>
      <c r="G16" s="641"/>
      <c r="H16" s="641"/>
      <c r="I16" s="641"/>
      <c r="J16" s="641"/>
      <c r="K16" s="641"/>
      <c r="L16" s="641"/>
      <c r="M16" s="641"/>
      <c r="N16" s="641"/>
      <c r="O16" s="641"/>
      <c r="P16" s="641"/>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6.8678407142079188</v>
      </c>
      <c r="E18" s="116">
        <f>SUMIFS('Daily KPI'!$AD:$AD,'Daily KPI'!$A:$A,"&gt;="&amp;$B$14,'Daily KPI'!$A:$A,"&lt;="&amp;$B$15)/1000</f>
        <v>28267.41546443351</v>
      </c>
      <c r="F18" s="119">
        <f>SUMIFS('Daily KPI'!$X:$X,'Daily KPI'!$A:$A,"&gt;="&amp;$B$14,'Daily KPI'!$A:$A,"&lt;="&amp;$B$15)/1000</f>
        <v>21210.652999999998</v>
      </c>
      <c r="G18" s="120">
        <f>E18/(24*$B$18*'Basic Data'!$K$3)</f>
        <v>0.55926352216748765</v>
      </c>
      <c r="H18" s="121">
        <f>F18/(24*B18*'Basic Data'!$K$3)</f>
        <v>0.41964729740424161</v>
      </c>
      <c r="I18" s="120">
        <v>0.997</v>
      </c>
      <c r="J18" s="121">
        <f>AVERAGEIFS('Daily KPI'!$R:$R,'Daily KPI'!$A:$A,"&gt;="&amp;$B$14,'Daily KPI'!$A:$A,"&lt;="&amp;$B$15)</f>
        <v>1</v>
      </c>
      <c r="K18" s="120">
        <v>0.98599999999999999</v>
      </c>
      <c r="L18" s="121">
        <f>AVERAGEIFS('Daily KPI'!$P:$P,'Daily KPI'!$A:$A,"&gt;="&amp;$B$14,'Daily KPI'!$A:$A,"&lt;="&amp;$B$15)</f>
        <v>0.96933743034133679</v>
      </c>
      <c r="M18" s="120">
        <v>0.995</v>
      </c>
      <c r="N18" s="121">
        <f>AVERAGEIFS('Daily KPI'!$Q:$Q,'Daily KPI'!$A:$A,"&gt;="&amp;$B$14,'Daily KPI'!$A:$A,"&lt;="&amp;$B$15)</f>
        <v>0.99654285139270771</v>
      </c>
      <c r="O18" s="120">
        <f>K18*M18</f>
        <v>0.98107</v>
      </c>
      <c r="P18" s="122">
        <f>L18*N18</f>
        <v>0.96598628679403598</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I109" sqref="I109"/>
    </sheetView>
  </sheetViews>
  <sheetFormatPr defaultColWidth="8.88671875" defaultRowHeight="14.4"/>
  <cols>
    <col min="1" max="1" width="9.88671875" style="164" bestFit="1" customWidth="1"/>
    <col min="2" max="5" width="9" style="164" customWidth="1"/>
    <col min="6" max="9" width="10.109375" style="164" customWidth="1"/>
    <col min="10" max="12" width="11.109375" style="164" customWidth="1"/>
    <col min="13" max="13" width="15.109375" style="164" bestFit="1" customWidth="1"/>
    <col min="14" max="39" width="11.109375" style="164" customWidth="1"/>
    <col min="40" max="40" width="11.109375" style="178" customWidth="1"/>
    <col min="41" max="43" width="11.109375" style="164" customWidth="1"/>
    <col min="44" max="16384" width="8.88671875" style="164"/>
  </cols>
  <sheetData>
    <row r="1" spans="1:45" ht="57.6">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t="str">
        <f>IFERROR(_xlfn.XLOOKUP($A122,Input_Raw!$A:$A,Input_Raw!BG:BG),"")</f>
        <v/>
      </c>
      <c r="N122" s="170" t="str">
        <f>IFERROR(_xlfn.XLOOKUP($A122,Input_Raw!$A:$A,Input_Raw!BH:BH),"")</f>
        <v/>
      </c>
      <c r="O122" s="173" t="str">
        <f t="shared" si="9"/>
        <v/>
      </c>
      <c r="P122" s="173" t="str">
        <f>IFERROR(1-SUMIF(WTG_BD!$F:$F,$A122,WTG_BD!$AA:$AA)/($AA122+SUMIF(WTG_BD!$F:$F,$A122,WTG_BD!$AA:$AA)),"")</f>
        <v/>
      </c>
      <c r="Q122" s="173" t="str">
        <f>IFERROR(1-SUMIF(IGA_BD!$F:$F,$A122,IGA_BD!$X:$X)/($AA122+SUMIF(IGA_BD!$F:$F,$A122,IGA_BD!$X:$X)),"")</f>
        <v/>
      </c>
      <c r="R122" s="173" t="str">
        <f>IFERROR(1-SUMIF(Grid_BD!$F:$F,$A122,Grid_BD!$Y:$Y)/($AA122+SUMIF(Grid_BD!$F:$F,$A122,Grid_BD!$Y:$Y)),"")</f>
        <v/>
      </c>
      <c r="S122" s="167"/>
      <c r="T122" s="172"/>
      <c r="U122" s="173"/>
      <c r="V122" s="167"/>
      <c r="W122" s="174" t="str">
        <f t="shared" si="10"/>
        <v/>
      </c>
      <c r="X122" s="167" t="str">
        <f>IFERROR(_xlfn.XLOOKUP($A122,Input_Raw!$A:$A,Input_Raw!$BF:$BF),"")</f>
        <v/>
      </c>
      <c r="Y122" s="167" t="str">
        <f>IFERROR(_xlfn.XLOOKUP($A122,Input_Raw!$A:$A,Input_Raw!BJ:BJ),"")</f>
        <v/>
      </c>
      <c r="Z122" s="167" t="str">
        <f>IFERROR(_xlfn.XLOOKUP($A122,Input_Raw!$A:$A,Input_Raw!BK:BK),"")</f>
        <v/>
      </c>
      <c r="AA122" s="167" t="str">
        <f>IFERROR(_xlfn.XLOOKUP($A122,Input_Raw!$A:$A,Input_Raw!BL:BL),"")</f>
        <v/>
      </c>
      <c r="AB122" s="167" t="str">
        <f>IFERROR(_xlfn.XLOOKUP($A122,Input_Raw!$A:$A,Input_Raw!$BO:$BO),"")</f>
        <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t="str">
        <f>IFERROR(_xlfn.XLOOKUP($A122,Input_Raw!$A:$A,Input_Raw!$BQ:$BQ),"")</f>
        <v/>
      </c>
      <c r="AJ122" s="167"/>
      <c r="AK122" s="167"/>
      <c r="AL122" s="167"/>
      <c r="AM122" s="167"/>
      <c r="AN122" s="175" t="str">
        <f>IFERROR(_xlfn.XLOOKUP($A122,Input_Raw!$A:$A,Input_Raw!$BN:$BN),"")</f>
        <v/>
      </c>
      <c r="AO122" s="174" t="str">
        <f>IFERROR((_xlfn.XLOOKUP($A122,'WTG Reactive Power'!$A:$A,'WTG Reactive Power'!$AE:$AE))/Table13[[#This Row],[Gen_Exp (kWh)]],"")</f>
        <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4140625" defaultRowHeight="14.4"/>
  <cols>
    <col min="1" max="1" width="11" customWidth="1"/>
    <col min="2" max="2" width="10.44140625" customWidth="1"/>
    <col min="3" max="5" width="13.44140625" customWidth="1"/>
    <col min="6" max="6" width="14" customWidth="1"/>
    <col min="7" max="7" width="9.44140625" customWidth="1"/>
    <col min="8" max="8" width="10.44140625" customWidth="1"/>
    <col min="10" max="10" width="9.44140625" customWidth="1"/>
    <col min="11" max="11" width="9" customWidth="1"/>
    <col min="12" max="12" width="9.44140625" customWidth="1"/>
    <col min="14" max="14" width="9.44140625" customWidth="1"/>
    <col min="16" max="16" width="10.44140625" customWidth="1"/>
  </cols>
  <sheetData>
    <row r="1" spans="1:19">
      <c r="A1" s="32" t="s">
        <v>43</v>
      </c>
      <c r="B1" s="33">
        <f>O2Summary!B4</f>
        <v>45864</v>
      </c>
      <c r="C1" s="115">
        <f>O2Summary!$B$3</f>
        <v>45839</v>
      </c>
    </row>
    <row r="2" spans="1:19" ht="21">
      <c r="A2" s="640" t="s">
        <v>44</v>
      </c>
      <c r="B2" s="641"/>
      <c r="C2" s="641"/>
      <c r="D2" s="641"/>
      <c r="E2" s="641"/>
      <c r="F2" s="641"/>
      <c r="G2" s="641"/>
      <c r="H2" s="641"/>
      <c r="I2" s="641"/>
      <c r="J2" s="641"/>
      <c r="K2" s="641"/>
      <c r="L2" s="641"/>
      <c r="M2" s="641"/>
      <c r="N2" s="641"/>
      <c r="O2" s="641"/>
      <c r="P2" s="641"/>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117</v>
      </c>
      <c r="C4" s="117">
        <f>_xlfn.XLOOKUP($C$1,'Modelling New'!$D:$D,'Modelling New'!$AD:$AD)</f>
        <v>7.2925000000000004</v>
      </c>
      <c r="D4" s="118">
        <f>AVERAGEIFS('Daily KPI'!$M:$M,'Daily KPI'!$A:$A,"&gt;="&amp;O2Summary!$B$6,'Daily KPI'!$A:$A,"&lt;="&amp;AnnualKPI!$B$1)</f>
        <v>6.775772414216414</v>
      </c>
      <c r="E4" s="116">
        <f>_xlfn.XLOOKUP($C$1,'Modelling New'!$D:$D,'Modelling New'!$V:$V)</f>
        <v>98212.230400078843</v>
      </c>
      <c r="F4" s="119">
        <f>SUMIFS('Daily KPI'!$AA:$AA,'Daily KPI'!$A:$A,"&gt;="&amp;O2Summary!$B$6,'Daily KPI'!$A:$A,"&lt;="&amp;AnnualKPI!$B$1)/1000</f>
        <v>79762.05</v>
      </c>
      <c r="G4" s="120">
        <f>_xlfn.XLOOKUP($C$1,'Modelling New'!$D:$D,'Modelling New'!$Y:$Y)</f>
        <v>0.49823170266515099</v>
      </c>
      <c r="H4" s="121">
        <f>IFERROR(F4/(B4*24*(_xlfn.XLOOKUP($B$1,'Daily KPI'!$A:$A,'Daily KPI'!$AR:$AR))),"")</f>
        <v>0.40463373876835418</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0.97070166609084607</v>
      </c>
      <c r="M4" s="120">
        <f>_xlfn.XLOOKUP($C$1,'Modelling New'!$D:$D,'Modelling New'!$AI:$AI)</f>
        <v>0.99</v>
      </c>
      <c r="N4" s="122">
        <f>AVERAGEIFS('Daily KPI'!$Q:$Q,'Daily KPI'!$A:$A,"&gt;="&amp;O2Summary!$B$6,'Daily KPI'!$A:$A,"&lt;="&amp;AnnualKPI!$B$1)</f>
        <v>0.97464565773540401</v>
      </c>
      <c r="O4" s="120">
        <f>K4*M4</f>
        <v>0.96029999999999993</v>
      </c>
      <c r="P4" s="122">
        <f>L4*N4</f>
        <v>0.9460901638119652</v>
      </c>
      <c r="Q4" s="119">
        <f>SUMIFS('Daily KPI'!$AI:$AI,'Daily KPI'!$D:$D,"&gt;="&amp;O2Summary!$B$6,'Daily KPI'!$A:$A,"&lt;="&amp;AnnualKPI!$B$1)</f>
        <v>86650.774499999985</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4140625" defaultRowHeight="29.25" customHeight="1"/>
  <cols>
    <col min="1" max="1" width="14" bestFit="1" customWidth="1"/>
    <col min="2" max="2" width="23.44140625" bestFit="1" customWidth="1"/>
    <col min="3" max="3" width="18.5546875" bestFit="1" customWidth="1"/>
    <col min="4" max="4" width="12" customWidth="1"/>
    <col min="5" max="5" width="14.44140625" customWidth="1"/>
    <col min="6" max="16" width="12.44140625" customWidth="1"/>
    <col min="17" max="17" width="12" customWidth="1"/>
    <col min="18" max="18" width="9.44140625" bestFit="1" customWidth="1"/>
    <col min="20" max="20" width="9.44140625" bestFit="1" customWidth="1"/>
  </cols>
  <sheetData>
    <row r="2" spans="1:27" ht="29.25" customHeight="1">
      <c r="A2" s="125" t="s">
        <v>69</v>
      </c>
      <c r="B2" s="126">
        <f>O2Summary!B3</f>
        <v>45839</v>
      </c>
    </row>
    <row r="3" spans="1:27" ht="29.25" customHeight="1">
      <c r="A3" s="82" t="s">
        <v>70</v>
      </c>
      <c r="B3" s="83">
        <f>O2Summary!B4</f>
        <v>45864</v>
      </c>
      <c r="C3">
        <f>((B3-B2)+1)*24</f>
        <v>624</v>
      </c>
      <c r="D3" s="81">
        <f>MEDIAN(B21:AA21)</f>
        <v>6.4</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0.99933226495726502</v>
      </c>
      <c r="C5" s="155">
        <f>IFERROR(($C$3-C6)/$C$3,1)</f>
        <v>0.99933226495726502</v>
      </c>
      <c r="D5" s="155">
        <f t="shared" ref="D5:AA5" si="0">IFERROR(($C$3-D6)/$C$3,1)</f>
        <v>0.99933226495726502</v>
      </c>
      <c r="E5" s="155">
        <f t="shared" si="0"/>
        <v>0.99933226495726502</v>
      </c>
      <c r="F5" s="155">
        <f t="shared" si="0"/>
        <v>0.99933226495726502</v>
      </c>
      <c r="G5" s="155">
        <f t="shared" si="0"/>
        <v>0.99933226495726502</v>
      </c>
      <c r="H5" s="155">
        <f t="shared" si="0"/>
        <v>0.99933226495726502</v>
      </c>
      <c r="I5" s="155">
        <f t="shared" si="0"/>
        <v>0.99933226495726502</v>
      </c>
      <c r="J5" s="155">
        <f t="shared" si="0"/>
        <v>0.99933226495726502</v>
      </c>
      <c r="K5" s="155">
        <f t="shared" si="0"/>
        <v>0.99933226495726502</v>
      </c>
      <c r="L5" s="155">
        <f t="shared" si="0"/>
        <v>0.99933226495726502</v>
      </c>
      <c r="M5" s="155">
        <f t="shared" si="0"/>
        <v>0.99933226495726502</v>
      </c>
      <c r="N5" s="155">
        <f t="shared" si="0"/>
        <v>0.99933226495726502</v>
      </c>
      <c r="O5" s="155">
        <f t="shared" si="0"/>
        <v>0.99933226495726502</v>
      </c>
      <c r="P5" s="155">
        <f t="shared" si="0"/>
        <v>0.99933226495726502</v>
      </c>
      <c r="Q5" s="155">
        <f t="shared" si="0"/>
        <v>0.99933226495726502</v>
      </c>
      <c r="R5" s="155">
        <f t="shared" si="0"/>
        <v>0.99933226495726502</v>
      </c>
      <c r="S5" s="155">
        <f t="shared" si="0"/>
        <v>0.99933226495726502</v>
      </c>
      <c r="T5" s="155">
        <f t="shared" si="0"/>
        <v>0.99933226495726502</v>
      </c>
      <c r="U5" s="155">
        <f t="shared" si="0"/>
        <v>0.99933226495726502</v>
      </c>
      <c r="V5" s="155">
        <f t="shared" si="0"/>
        <v>0.99933226495726502</v>
      </c>
      <c r="W5" s="155">
        <f t="shared" si="0"/>
        <v>0.99933226495726502</v>
      </c>
      <c r="X5" s="155">
        <f t="shared" si="0"/>
        <v>0.99933226495726502</v>
      </c>
      <c r="Y5" s="155">
        <f t="shared" si="0"/>
        <v>0.99933226495726502</v>
      </c>
      <c r="Z5" s="155">
        <f t="shared" si="0"/>
        <v>0.99933226495726502</v>
      </c>
      <c r="AA5" s="155">
        <f t="shared" si="0"/>
        <v>0.99933226495726502</v>
      </c>
    </row>
    <row r="6" spans="1:27" ht="29.25" hidden="1" customHeight="1">
      <c r="A6" s="129" t="s">
        <v>101</v>
      </c>
      <c r="B6" s="154">
        <f>SUMIFS(WTG_BD!$T:$T,WTG_BD!$F:$F,"&gt;="&amp;Analytices!$B$2,WTG_BD!$F:$F,"&lt;="&amp;Analytices!$B$3,WTG_BD!$G:$G,$B$4)</f>
        <v>0.41666666666666519</v>
      </c>
      <c r="C6" s="154">
        <f>SUMIFS(WTG_BD!$T:$T,WTG_BD!$F:$F,"&gt;="&amp;Analytices!$B$2,WTG_BD!$F:$F,"&lt;="&amp;Analytices!$B$3,WTG_BD!$G:$G,$B$4)</f>
        <v>0.41666666666666519</v>
      </c>
      <c r="D6" s="154">
        <f>SUMIFS(WTG_BD!$T:$T,WTG_BD!$F:$F,"&gt;="&amp;Analytices!$B$2,WTG_BD!$F:$F,"&lt;="&amp;Analytices!$B$3,WTG_BD!$G:$G,$B$4)</f>
        <v>0.41666666666666519</v>
      </c>
      <c r="E6" s="154">
        <f>SUMIFS(WTG_BD!$T:$T,WTG_BD!$F:$F,"&gt;="&amp;Analytices!$B$2,WTG_BD!$F:$F,"&lt;="&amp;Analytices!$B$3,WTG_BD!$G:$G,$B$4)</f>
        <v>0.41666666666666519</v>
      </c>
      <c r="F6" s="154">
        <f>SUMIFS(WTG_BD!$T:$T,WTG_BD!$F:$F,"&gt;="&amp;Analytices!$B$2,WTG_BD!$F:$F,"&lt;="&amp;Analytices!$B$3,WTG_BD!$G:$G,$B$4)</f>
        <v>0.41666666666666519</v>
      </c>
      <c r="G6" s="154">
        <f>SUMIFS(WTG_BD!$T:$T,WTG_BD!$F:$F,"&gt;="&amp;Analytices!$B$2,WTG_BD!$F:$F,"&lt;="&amp;Analytices!$B$3,WTG_BD!$G:$G,$B$4)</f>
        <v>0.41666666666666519</v>
      </c>
      <c r="H6" s="154">
        <f>SUMIFS(WTG_BD!$T:$T,WTG_BD!$F:$F,"&gt;="&amp;Analytices!$B$2,WTG_BD!$F:$F,"&lt;="&amp;Analytices!$B$3,WTG_BD!$G:$G,$B$4)</f>
        <v>0.41666666666666519</v>
      </c>
      <c r="I6" s="154">
        <f>SUMIFS(WTG_BD!$T:$T,WTG_BD!$F:$F,"&gt;="&amp;Analytices!$B$2,WTG_BD!$F:$F,"&lt;="&amp;Analytices!$B$3,WTG_BD!$G:$G,$B$4)</f>
        <v>0.41666666666666519</v>
      </c>
      <c r="J6" s="154">
        <f>SUMIFS(WTG_BD!$T:$T,WTG_BD!$F:$F,"&gt;="&amp;Analytices!$B$2,WTG_BD!$F:$F,"&lt;="&amp;Analytices!$B$3,WTG_BD!$G:$G,$B$4)</f>
        <v>0.41666666666666519</v>
      </c>
      <c r="K6" s="154">
        <f>SUMIFS(WTG_BD!$T:$T,WTG_BD!$F:$F,"&gt;="&amp;Analytices!$B$2,WTG_BD!$F:$F,"&lt;="&amp;Analytices!$B$3,WTG_BD!$G:$G,$B$4)</f>
        <v>0.41666666666666519</v>
      </c>
      <c r="L6" s="154">
        <f>SUMIFS(WTG_BD!$T:$T,WTG_BD!$F:$F,"&gt;="&amp;Analytices!$B$2,WTG_BD!$F:$F,"&lt;="&amp;Analytices!$B$3,WTG_BD!$G:$G,$B$4)</f>
        <v>0.41666666666666519</v>
      </c>
      <c r="M6" s="154">
        <f>SUMIFS(WTG_BD!$T:$T,WTG_BD!$F:$F,"&gt;="&amp;Analytices!$B$2,WTG_BD!$F:$F,"&lt;="&amp;Analytices!$B$3,WTG_BD!$G:$G,$B$4)</f>
        <v>0.41666666666666519</v>
      </c>
      <c r="N6" s="154">
        <f>SUMIFS(WTG_BD!$T:$T,WTG_BD!$F:$F,"&gt;="&amp;Analytices!$B$2,WTG_BD!$F:$F,"&lt;="&amp;Analytices!$B$3,WTG_BD!$G:$G,$B$4)</f>
        <v>0.41666666666666519</v>
      </c>
      <c r="O6" s="154">
        <f>SUMIFS(WTG_BD!$T:$T,WTG_BD!$F:$F,"&gt;="&amp;Analytices!$B$2,WTG_BD!$F:$F,"&lt;="&amp;Analytices!$B$3,WTG_BD!$G:$G,$B$4)</f>
        <v>0.41666666666666519</v>
      </c>
      <c r="P6" s="154">
        <f>SUMIFS(WTG_BD!$T:$T,WTG_BD!$F:$F,"&gt;="&amp;Analytices!$B$2,WTG_BD!$F:$F,"&lt;="&amp;Analytices!$B$3,WTG_BD!$G:$G,$B$4)</f>
        <v>0.41666666666666519</v>
      </c>
      <c r="Q6" s="154">
        <f>SUMIFS(WTG_BD!$T:$T,WTG_BD!$F:$F,"&gt;="&amp;Analytices!$B$2,WTG_BD!$F:$F,"&lt;="&amp;Analytices!$B$3,WTG_BD!$G:$G,$B$4)</f>
        <v>0.41666666666666519</v>
      </c>
      <c r="R6" s="154">
        <f>SUMIFS(WTG_BD!$T:$T,WTG_BD!$F:$F,"&gt;="&amp;Analytices!$B$2,WTG_BD!$F:$F,"&lt;="&amp;Analytices!$B$3,WTG_BD!$G:$G,$B$4)</f>
        <v>0.41666666666666519</v>
      </c>
      <c r="S6" s="154">
        <f>SUMIFS(WTG_BD!$T:$T,WTG_BD!$F:$F,"&gt;="&amp;Analytices!$B$2,WTG_BD!$F:$F,"&lt;="&amp;Analytices!$B$3,WTG_BD!$G:$G,$B$4)</f>
        <v>0.41666666666666519</v>
      </c>
      <c r="T6" s="154">
        <f>SUMIFS(WTG_BD!$T:$T,WTG_BD!$F:$F,"&gt;="&amp;Analytices!$B$2,WTG_BD!$F:$F,"&lt;="&amp;Analytices!$B$3,WTG_BD!$G:$G,$B$4)</f>
        <v>0.41666666666666519</v>
      </c>
      <c r="U6" s="154">
        <f>SUMIFS(WTG_BD!$T:$T,WTG_BD!$F:$F,"&gt;="&amp;Analytices!$B$2,WTG_BD!$F:$F,"&lt;="&amp;Analytices!$B$3,WTG_BD!$G:$G,$B$4)</f>
        <v>0.41666666666666519</v>
      </c>
      <c r="V6" s="154">
        <f>SUMIFS(WTG_BD!$T:$T,WTG_BD!$F:$F,"&gt;="&amp;Analytices!$B$2,WTG_BD!$F:$F,"&lt;="&amp;Analytices!$B$3,WTG_BD!$G:$G,$B$4)</f>
        <v>0.41666666666666519</v>
      </c>
      <c r="W6" s="154">
        <f>SUMIFS(WTG_BD!$T:$T,WTG_BD!$F:$F,"&gt;="&amp;Analytices!$B$2,WTG_BD!$F:$F,"&lt;="&amp;Analytices!$B$3,WTG_BD!$G:$G,$B$4)</f>
        <v>0.41666666666666519</v>
      </c>
      <c r="X6" s="154">
        <f>SUMIFS(WTG_BD!$T:$T,WTG_BD!$F:$F,"&gt;="&amp;Analytices!$B$2,WTG_BD!$F:$F,"&lt;="&amp;Analytices!$B$3,WTG_BD!$G:$G,$B$4)</f>
        <v>0.41666666666666519</v>
      </c>
      <c r="Y6" s="154">
        <f>SUMIFS(WTG_BD!$T:$T,WTG_BD!$F:$F,"&gt;="&amp;Analytices!$B$2,WTG_BD!$F:$F,"&lt;="&amp;Analytices!$B$3,WTG_BD!$G:$G,$B$4)</f>
        <v>0.41666666666666519</v>
      </c>
      <c r="Z6" s="154">
        <f>SUMIFS(WTG_BD!$T:$T,WTG_BD!$F:$F,"&gt;="&amp;Analytices!$B$2,WTG_BD!$F:$F,"&lt;="&amp;Analytices!$B$3,WTG_BD!$G:$G,$B$4)</f>
        <v>0.41666666666666519</v>
      </c>
      <c r="AA6" s="154">
        <f>SUMIFS(WTG_BD!$T:$T,WTG_BD!$F:$F,"&gt;="&amp;Analytices!$B$2,WTG_BD!$F:$F,"&lt;="&amp;Analytices!$B$3,WTG_BD!$G:$G,$B$4)</f>
        <v>0.41666666666666519</v>
      </c>
    </row>
    <row r="7" spans="1:27" ht="29.25" customHeight="1">
      <c r="A7" s="127" t="s">
        <v>102</v>
      </c>
      <c r="B7" s="156">
        <f>($C$3-SUM(B8:B12))/$C$3</f>
        <v>0.99596688034188041</v>
      </c>
      <c r="C7" s="156">
        <f t="shared" ref="C7:AA7" si="1">($C$3-SUM(C8:C12))/$C$3</f>
        <v>0.99596688034188041</v>
      </c>
      <c r="D7" s="156">
        <f t="shared" si="1"/>
        <v>0.99596688034188041</v>
      </c>
      <c r="E7" s="156">
        <f t="shared" si="1"/>
        <v>0.99879807692307687</v>
      </c>
      <c r="F7" s="156">
        <f t="shared" si="1"/>
        <v>0.99596688034188041</v>
      </c>
      <c r="G7" s="156">
        <f t="shared" si="1"/>
        <v>0.99879807692307687</v>
      </c>
      <c r="H7" s="156">
        <f t="shared" si="1"/>
        <v>0.99879807692307687</v>
      </c>
      <c r="I7" s="156">
        <f t="shared" si="1"/>
        <v>0.99879807692307687</v>
      </c>
      <c r="J7" s="156">
        <f t="shared" si="1"/>
        <v>0.99596688034188041</v>
      </c>
      <c r="K7" s="156">
        <f t="shared" si="1"/>
        <v>0.99596688034188041</v>
      </c>
      <c r="L7" s="156">
        <f t="shared" si="1"/>
        <v>0.99596688034188041</v>
      </c>
      <c r="M7" s="156">
        <f t="shared" si="1"/>
        <v>0.99596688034188041</v>
      </c>
      <c r="N7" s="156">
        <f t="shared" si="1"/>
        <v>0.99596688034188041</v>
      </c>
      <c r="O7" s="156">
        <f t="shared" si="1"/>
        <v>0.99596688034188041</v>
      </c>
      <c r="P7" s="156">
        <f t="shared" si="1"/>
        <v>0.99596688034188041</v>
      </c>
      <c r="Q7" s="156">
        <f t="shared" si="1"/>
        <v>0.99596688034188041</v>
      </c>
      <c r="R7" s="156">
        <f t="shared" si="1"/>
        <v>0.99879807692307687</v>
      </c>
      <c r="S7" s="156">
        <f t="shared" si="1"/>
        <v>0.99879807692307687</v>
      </c>
      <c r="T7" s="156">
        <f t="shared" si="1"/>
        <v>0.99879807692307687</v>
      </c>
      <c r="U7" s="156">
        <f t="shared" si="1"/>
        <v>0.99596688034188041</v>
      </c>
      <c r="V7" s="156">
        <f t="shared" si="1"/>
        <v>0.99879807692307687</v>
      </c>
      <c r="W7" s="156">
        <f t="shared" si="1"/>
        <v>0.99879807692307687</v>
      </c>
      <c r="X7" s="156">
        <f t="shared" si="1"/>
        <v>0.99879807692307687</v>
      </c>
      <c r="Y7" s="156">
        <f t="shared" si="1"/>
        <v>0.99879807692307687</v>
      </c>
      <c r="Z7" s="156">
        <f t="shared" si="1"/>
        <v>0.99879807692307687</v>
      </c>
      <c r="AA7" s="156">
        <f t="shared" si="1"/>
        <v>0.99879807692307687</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600269</v>
      </c>
      <c r="C15" s="153">
        <f>SUMIFS(Input_Raw!G:G,Input_Raw!$A:$A,"&gt;="&amp;Analytices!$B$2,Input_Raw!$A:$A,"&lt;="&amp;Analytices!$B$3)</f>
        <v>651975</v>
      </c>
      <c r="D15" s="153">
        <f>SUMIFS(Input_Raw!H:H,Input_Raw!$A:$A,"&gt;="&amp;Analytices!$B$2,Input_Raw!$A:$A,"&lt;="&amp;Analytices!$B$3)</f>
        <v>606374</v>
      </c>
      <c r="E15" s="153">
        <f>SUMIFS(Input_Raw!I:I,Input_Raw!$A:$A,"&gt;="&amp;Analytices!$B$2,Input_Raw!$A:$A,"&lt;="&amp;Analytices!$B$3)</f>
        <v>626858</v>
      </c>
      <c r="F15" s="153">
        <f>SUMIFS(Input_Raw!J:J,Input_Raw!$A:$A,"&gt;="&amp;Analytices!$B$2,Input_Raw!$A:$A,"&lt;="&amp;Analytices!$B$3)</f>
        <v>642875</v>
      </c>
      <c r="G15" s="153">
        <f>SUMIFS(Input_Raw!K:K,Input_Raw!$A:$A,"&gt;="&amp;Analytices!$B$2,Input_Raw!$A:$A,"&lt;="&amp;Analytices!$B$3)</f>
        <v>677363</v>
      </c>
      <c r="H15" s="153">
        <f>SUMIFS(Input_Raw!L:L,Input_Raw!$A:$A,"&gt;="&amp;Analytices!$B$2,Input_Raw!$A:$A,"&lt;="&amp;Analytices!$B$3)</f>
        <v>609338</v>
      </c>
      <c r="I15" s="153">
        <f>SUMIFS(Input_Raw!M:M,Input_Raw!$A:$A,"&gt;="&amp;Analytices!$B$2,Input_Raw!$A:$A,"&lt;="&amp;Analytices!$B$3)</f>
        <v>629642</v>
      </c>
      <c r="J15" s="153">
        <f>SUMIFS(Input_Raw!N:N,Input_Raw!$A:$A,"&gt;="&amp;Analytices!$B$2,Input_Raw!$A:$A,"&lt;="&amp;Analytices!$B$3)</f>
        <v>609516</v>
      </c>
      <c r="K15" s="153">
        <f>SUMIFS(Input_Raw!O:O,Input_Raw!$A:$A,"&gt;="&amp;Analytices!$B$2,Input_Raw!$A:$A,"&lt;="&amp;Analytices!$B$3)</f>
        <v>629677</v>
      </c>
      <c r="L15" s="153">
        <f>SUMIFS(Input_Raw!P:P,Input_Raw!$A:$A,"&gt;="&amp;Analytices!$B$2,Input_Raw!$A:$A,"&lt;="&amp;Analytices!$B$3)</f>
        <v>598697</v>
      </c>
      <c r="M15" s="153">
        <f>SUMIFS(Input_Raw!Q:Q,Input_Raw!$A:$A,"&gt;="&amp;Analytices!$B$2,Input_Raw!$A:$A,"&lt;="&amp;Analytices!$B$3)</f>
        <v>415641</v>
      </c>
      <c r="N15" s="153">
        <f>SUMIFS(Input_Raw!R:R,Input_Raw!$A:$A,"&gt;="&amp;Analytices!$B$2,Input_Raw!$A:$A,"&lt;="&amp;Analytices!$B$3)</f>
        <v>605391</v>
      </c>
      <c r="O15" s="153">
        <f>SUMIFS(Input_Raw!S:S,Input_Raw!$A:$A,"&gt;="&amp;Analytices!$B$2,Input_Raw!$A:$A,"&lt;="&amp;Analytices!$B$3)</f>
        <v>623105</v>
      </c>
      <c r="P15" s="153">
        <f>SUMIFS(Input_Raw!T:T,Input_Raw!$A:$A,"&gt;="&amp;Analytices!$B$2,Input_Raw!$A:$A,"&lt;="&amp;Analytices!$B$3)</f>
        <v>604265</v>
      </c>
      <c r="Q15" s="153">
        <f>SUMIFS(Input_Raw!U:U,Input_Raw!$A:$A,"&gt;="&amp;Analytices!$B$2,Input_Raw!$A:$A,"&lt;="&amp;Analytices!$B$3)</f>
        <v>644877</v>
      </c>
      <c r="R15" s="153">
        <f>SUMIFS(Input_Raw!V:V,Input_Raw!$A:$A,"&gt;="&amp;Analytices!$B$2,Input_Raw!$A:$A,"&lt;="&amp;Analytices!$B$3)</f>
        <v>711466</v>
      </c>
      <c r="S15" s="153">
        <f>SUMIFS(Input_Raw!W:W,Input_Raw!$A:$A,"&gt;="&amp;Analytices!$B$2,Input_Raw!$A:$A,"&lt;="&amp;Analytices!$B$3)</f>
        <v>656259</v>
      </c>
      <c r="T15" s="153">
        <f>SUMIFS(Input_Raw!X:X,Input_Raw!$A:$A,"&gt;="&amp;Analytices!$B$2,Input_Raw!$A:$A,"&lt;="&amp;Analytices!$B$3)</f>
        <v>700274</v>
      </c>
      <c r="U15" s="153">
        <f>SUMIFS(Input_Raw!Y:Y,Input_Raw!$A:$A,"&gt;="&amp;Analytices!$B$2,Input_Raw!$A:$A,"&lt;="&amp;Analytices!$B$3)</f>
        <v>478883</v>
      </c>
      <c r="V15" s="153">
        <f>SUMIFS(Input_Raw!Z:Z,Input_Raw!$A:$A,"&gt;="&amp;Analytices!$B$2,Input_Raw!$A:$A,"&lt;="&amp;Analytices!$B$3)</f>
        <v>672866</v>
      </c>
      <c r="W15" s="153">
        <f>SUMIFS(Input_Raw!AA:AA,Input_Raw!$A:$A,"&gt;="&amp;Analytices!$B$2,Input_Raw!$A:$A,"&lt;="&amp;Analytices!$B$3)</f>
        <v>658695</v>
      </c>
      <c r="X15" s="153">
        <f>SUMIFS(Input_Raw!AB:AB,Input_Raw!$A:$A,"&gt;="&amp;Analytices!$B$2,Input_Raw!$A:$A,"&lt;="&amp;Analytices!$B$3)</f>
        <v>621826</v>
      </c>
      <c r="Y15" s="153">
        <f>SUMIFS(Input_Raw!AC:AC,Input_Raw!$A:$A,"&gt;="&amp;Analytices!$B$2,Input_Raw!$A:$A,"&lt;="&amp;Analytices!$B$3)</f>
        <v>669442</v>
      </c>
      <c r="Z15" s="153">
        <f>SUMIFS(Input_Raw!AD:AD,Input_Raw!$A:$A,"&gt;="&amp;Analytices!$B$2,Input_Raw!$A:$A,"&lt;="&amp;Analytices!$B$3)</f>
        <v>683205</v>
      </c>
      <c r="AA15" s="153">
        <f>SUMIFS(Input_Raw!AE:AE,Input_Raw!$A:$A,"&gt;="&amp;Analytices!$B$2,Input_Raw!$A:$A,"&lt;="&amp;Analytices!$B$3)</f>
        <v>626516</v>
      </c>
    </row>
    <row r="16" spans="1:27" ht="29.25" customHeight="1">
      <c r="A16" s="127" t="s">
        <v>111</v>
      </c>
      <c r="B16" s="155">
        <f>IFERROR(($C$3-(SUM(B8:B12,B14,B6)))/$C$3,1)</f>
        <v>0.99529914529914543</v>
      </c>
      <c r="C16" s="155">
        <f t="shared" ref="C16:AA16" si="4">IFERROR(($C$3-(SUM(C8:C12,C14,C6)))/$C$3,1)</f>
        <v>0.99529914529914543</v>
      </c>
      <c r="D16" s="155">
        <f t="shared" si="4"/>
        <v>0.99529914529914543</v>
      </c>
      <c r="E16" s="155">
        <f t="shared" si="4"/>
        <v>0.99813034188034189</v>
      </c>
      <c r="F16" s="155">
        <f t="shared" si="4"/>
        <v>0.99529914529914543</v>
      </c>
      <c r="G16" s="155">
        <f t="shared" si="4"/>
        <v>0.99813034188034189</v>
      </c>
      <c r="H16" s="155">
        <f t="shared" si="4"/>
        <v>0.99813034188034189</v>
      </c>
      <c r="I16" s="155">
        <f t="shared" si="4"/>
        <v>0.99813034188034189</v>
      </c>
      <c r="J16" s="155">
        <f t="shared" si="4"/>
        <v>0.99529914529914543</v>
      </c>
      <c r="K16" s="155">
        <f t="shared" si="4"/>
        <v>0.99529914529914543</v>
      </c>
      <c r="L16" s="155">
        <f t="shared" si="4"/>
        <v>0.99529914529914543</v>
      </c>
      <c r="M16" s="155">
        <f t="shared" si="4"/>
        <v>0.99529914529914543</v>
      </c>
      <c r="N16" s="155">
        <f t="shared" si="4"/>
        <v>0.99529914529914543</v>
      </c>
      <c r="O16" s="155">
        <f t="shared" si="4"/>
        <v>0.99529914529914543</v>
      </c>
      <c r="P16" s="155">
        <f t="shared" si="4"/>
        <v>0.99529914529914543</v>
      </c>
      <c r="Q16" s="155">
        <f t="shared" si="4"/>
        <v>0.99529914529914543</v>
      </c>
      <c r="R16" s="155">
        <f t="shared" si="4"/>
        <v>0.99813034188034189</v>
      </c>
      <c r="S16" s="155">
        <f t="shared" si="4"/>
        <v>0.99813034188034189</v>
      </c>
      <c r="T16" s="155">
        <f t="shared" si="4"/>
        <v>0.99813034188034189</v>
      </c>
      <c r="U16" s="155">
        <f t="shared" si="4"/>
        <v>0.99529914529914543</v>
      </c>
      <c r="V16" s="155">
        <f t="shared" si="4"/>
        <v>0.99813034188034189</v>
      </c>
      <c r="W16" s="155">
        <f t="shared" si="4"/>
        <v>0.99813034188034189</v>
      </c>
      <c r="X16" s="155">
        <f t="shared" si="4"/>
        <v>0.99813034188034189</v>
      </c>
      <c r="Y16" s="155">
        <f t="shared" si="4"/>
        <v>0.99813034188034189</v>
      </c>
      <c r="Z16" s="155">
        <f t="shared" si="4"/>
        <v>0.99813034188034189</v>
      </c>
      <c r="AA16" s="155">
        <f t="shared" si="4"/>
        <v>0.99813034188034189</v>
      </c>
    </row>
    <row r="17" spans="1:27" ht="29.25" hidden="1" customHeight="1">
      <c r="A17" s="129" t="s">
        <v>112</v>
      </c>
      <c r="B17" s="154">
        <f>SUMIFS(WTG_BD!$T:$T,WTG_BD!$F:$F,"&gt;="&amp;Analytices!$B$2,WTG_BD!$F:$F,"&lt;="&amp;Analytices!$B$3,WTG_BD!$G:$G,B4)</f>
        <v>0.41666666666666519</v>
      </c>
      <c r="C17" s="154">
        <f>SUMIFS(WTG_BD!$T:$T,WTG_BD!$F:$F,"&gt;="&amp;Analytices!$B$2,WTG_BD!$F:$F,"&lt;="&amp;Analytices!$B$3,WTG_BD!$G:$G,C4)</f>
        <v>14.25</v>
      </c>
      <c r="D17" s="154">
        <f>SUMIFS(WTG_BD!$T:$T,WTG_BD!$F:$F,"&gt;="&amp;Analytices!$B$2,WTG_BD!$F:$F,"&lt;="&amp;Analytices!$B$3,WTG_BD!$G:$G,D4)</f>
        <v>15.233333333333331</v>
      </c>
      <c r="E17" s="154">
        <f>SUMIFS(WTG_BD!$T:$T,WTG_BD!$F:$F,"&gt;="&amp;Analytices!$B$2,WTG_BD!$F:$F,"&lt;="&amp;Analytices!$B$3,WTG_BD!$G:$G,E4)</f>
        <v>6.5833333333333348</v>
      </c>
      <c r="F17" s="154">
        <f>SUMIFS(WTG_BD!$T:$T,WTG_BD!$F:$F,"&gt;="&amp;Analytices!$B$2,WTG_BD!$F:$F,"&lt;="&amp;Analytices!$B$3,WTG_BD!$G:$G,F4)</f>
        <v>3.2999999999999963</v>
      </c>
      <c r="G17" s="154">
        <f>SUMIFS(WTG_BD!$T:$T,WTG_BD!$F:$F,"&gt;="&amp;Analytices!$B$2,WTG_BD!$F:$F,"&lt;="&amp;Analytices!$B$3,WTG_BD!$G:$G,G4)</f>
        <v>10.25</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2.8500000000000005</v>
      </c>
      <c r="K17" s="154">
        <f>SUMIFS(WTG_BD!$T:$T,WTG_BD!$F:$F,"&gt;="&amp;Analytices!$B$2,WTG_BD!$F:$F,"&lt;="&amp;Analytices!$B$3,WTG_BD!$G:$G,K4)</f>
        <v>0.79999999999999849</v>
      </c>
      <c r="L17" s="154">
        <f>SUMIFS(WTG_BD!$T:$T,WTG_BD!$F:$F,"&gt;="&amp;Analytices!$B$2,WTG_BD!$F:$F,"&lt;="&amp;Analytices!$B$3,WTG_BD!$G:$G,L4)</f>
        <v>10.46666666666667</v>
      </c>
      <c r="M17" s="154">
        <f>SUMIFS(WTG_BD!$T:$T,WTG_BD!$F:$F,"&gt;="&amp;Analytices!$B$2,WTG_BD!$F:$F,"&lt;="&amp;Analytices!$B$3,WTG_BD!$G:$G,M4)</f>
        <v>168.39861111111108</v>
      </c>
      <c r="N17" s="154">
        <f>SUMIFS(WTG_BD!$T:$T,WTG_BD!$F:$F,"&gt;="&amp;Analytices!$B$2,WTG_BD!$F:$F,"&lt;="&amp;Analytices!$B$3,WTG_BD!$G:$G,N4)</f>
        <v>3.3166666666666682</v>
      </c>
      <c r="O17" s="154">
        <f>SUMIFS(WTG_BD!$T:$T,WTG_BD!$F:$F,"&gt;="&amp;Analytices!$B$2,WTG_BD!$F:$F,"&lt;="&amp;Analytices!$B$3,WTG_BD!$G:$G,O4)</f>
        <v>1.966666666666669</v>
      </c>
      <c r="P17" s="154">
        <f>SUMIFS(WTG_BD!$T:$T,WTG_BD!$F:$F,"&gt;="&amp;Analytices!$B$2,WTG_BD!$F:$F,"&lt;="&amp;Analytices!$B$3,WTG_BD!$G:$G,P4)</f>
        <v>8.299722222222222</v>
      </c>
      <c r="Q17" s="154">
        <f>SUMIFS(WTG_BD!$T:$T,WTG_BD!$F:$F,"&gt;="&amp;Analytices!$B$2,WTG_BD!$F:$F,"&lt;="&amp;Analytices!$B$3,WTG_BD!$G:$G,Q4)</f>
        <v>3.5166666666666688</v>
      </c>
      <c r="R17" s="154">
        <f>SUMIFS(WTG_BD!$T:$T,WTG_BD!$F:$F,"&gt;="&amp;Analytices!$B$2,WTG_BD!$F:$F,"&lt;="&amp;Analytices!$B$3,WTG_BD!$G:$G,R4)</f>
        <v>4.1833333333333327</v>
      </c>
      <c r="S17" s="154">
        <f>SUMIFS(WTG_BD!$T:$T,WTG_BD!$F:$F,"&gt;="&amp;Analytices!$B$2,WTG_BD!$F:$F,"&lt;="&amp;Analytices!$B$3,WTG_BD!$G:$G,S4)</f>
        <v>22.04999999999999</v>
      </c>
      <c r="T17" s="154">
        <f>SUMIFS(WTG_BD!$T:$T,WTG_BD!$F:$F,"&gt;="&amp;Analytices!$B$2,WTG_BD!$F:$F,"&lt;="&amp;Analytices!$B$3,WTG_BD!$G:$G,T4)</f>
        <v>1.7333333333333325</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6.6000000000000041</v>
      </c>
      <c r="X17" s="154">
        <f>SUMIFS(WTG_BD!$T:$T,WTG_BD!$F:$F,"&gt;="&amp;Analytices!$B$2,WTG_BD!$F:$F,"&lt;="&amp;Analytices!$B$3,WTG_BD!$G:$G,X4)</f>
        <v>4.9166666666666679</v>
      </c>
      <c r="Y17" s="154">
        <f>SUMIFS(WTG_BD!$T:$T,WTG_BD!$F:$F,"&gt;="&amp;Analytices!$B$2,WTG_BD!$F:$F,"&lt;="&amp;Analytices!$B$3,WTG_BD!$G:$G,Y4)</f>
        <v>0.70000000000000151</v>
      </c>
      <c r="Z17" s="154">
        <f>SUMIFS(WTG_BD!$T:$T,WTG_BD!$F:$F,"&gt;="&amp;Analytices!$B$2,WTG_BD!$F:$F,"&lt;="&amp;Analytices!$B$3,WTG_BD!$G:$G,Z4)</f>
        <v>3.3333333333333215E-2</v>
      </c>
      <c r="AA17" s="154">
        <f>SUMIFS(WTG_BD!$T:$T,WTG_BD!$F:$F,"&gt;="&amp;Analytices!$B$2,WTG_BD!$F:$F,"&lt;="&amp;Analytices!$B$3,WTG_BD!$G:$G,AA4)</f>
        <v>4.7666666666666684</v>
      </c>
    </row>
    <row r="18" spans="1:27" ht="29.25" hidden="1" customHeight="1">
      <c r="A18" s="129" t="s">
        <v>113</v>
      </c>
      <c r="B18" s="154">
        <f>COUNTIFS(WTG_BD!$F:$F,"&gt;="&amp;Analytices!$B$2,WTG_BD!$F:$F,"&lt;="&amp;Analytices!$B$3,WTG_BD!$G:$G,B4)</f>
        <v>6</v>
      </c>
      <c r="C18" s="154">
        <f>COUNTIFS(WTG_BD!$F:$F,"&gt;="&amp;Analytices!$B$2,WTG_BD!$F:$F,"&lt;="&amp;Analytices!$B$3,WTG_BD!$G:$G,C4)</f>
        <v>11</v>
      </c>
      <c r="D18" s="154">
        <f>COUNTIFS(WTG_BD!$F:$F,"&gt;="&amp;Analytices!$B$2,WTG_BD!$F:$F,"&lt;="&amp;Analytices!$B$3,WTG_BD!$G:$G,D4)</f>
        <v>5</v>
      </c>
      <c r="E18" s="154">
        <f>COUNTIFS(WTG_BD!$F:$F,"&gt;="&amp;Analytices!$B$2,WTG_BD!$F:$F,"&lt;="&amp;Analytices!$B$3,WTG_BD!$G:$G,E4)</f>
        <v>12</v>
      </c>
      <c r="F18" s="154">
        <f>COUNTIFS(WTG_BD!$F:$F,"&gt;="&amp;Analytices!$B$2,WTG_BD!$F:$F,"&lt;="&amp;Analytices!$B$3,WTG_BD!$G:$G,F4)</f>
        <v>14</v>
      </c>
      <c r="G18" s="154">
        <f>COUNTIFS(WTG_BD!$F:$F,"&gt;="&amp;Analytices!$B$2,WTG_BD!$F:$F,"&lt;="&amp;Analytices!$B$3,WTG_BD!$G:$G,G4)</f>
        <v>6</v>
      </c>
      <c r="H18" s="154">
        <f>COUNTIFS(WTG_BD!$F:$F,"&gt;="&amp;Analytices!$B$2,WTG_BD!$F:$F,"&lt;="&amp;Analytices!$B$3,WTG_BD!$G:$G,H4)</f>
        <v>6</v>
      </c>
      <c r="I18" s="154">
        <f>COUNTIFS(WTG_BD!$F:$F,"&gt;="&amp;Analytices!$B$2,WTG_BD!$F:$F,"&lt;="&amp;Analytices!$B$3,WTG_BD!$G:$G,I4)</f>
        <v>3</v>
      </c>
      <c r="J18" s="154">
        <f>COUNTIFS(WTG_BD!$F:$F,"&gt;="&amp;Analytices!$B$2,WTG_BD!$F:$F,"&lt;="&amp;Analytices!$B$3,WTG_BD!$G:$G,J4)</f>
        <v>4</v>
      </c>
      <c r="K18" s="154">
        <f>COUNTIFS(WTG_BD!$F:$F,"&gt;="&amp;Analytices!$B$2,WTG_BD!$F:$F,"&lt;="&amp;Analytices!$B$3,WTG_BD!$G:$G,K4)</f>
        <v>6</v>
      </c>
      <c r="L18" s="154">
        <f>COUNTIFS(WTG_BD!$F:$F,"&gt;="&amp;Analytices!$B$2,WTG_BD!$F:$F,"&lt;="&amp;Analytices!$B$3,WTG_BD!$G:$G,L4)</f>
        <v>4</v>
      </c>
      <c r="M18" s="154">
        <f>COUNTIFS(WTG_BD!$F:$F,"&gt;="&amp;Analytices!$B$2,WTG_BD!$F:$F,"&lt;="&amp;Analytices!$B$3,WTG_BD!$G:$G,M4)</f>
        <v>47</v>
      </c>
      <c r="N18" s="154">
        <f>COUNTIFS(WTG_BD!$F:$F,"&gt;="&amp;Analytices!$B$2,WTG_BD!$F:$F,"&lt;="&amp;Analytices!$B$3,WTG_BD!$G:$G,N4)</f>
        <v>3</v>
      </c>
      <c r="O18" s="154">
        <f>COUNTIFS(WTG_BD!$F:$F,"&gt;="&amp;Analytices!$B$2,WTG_BD!$F:$F,"&lt;="&amp;Analytices!$B$3,WTG_BD!$G:$G,O4)</f>
        <v>9</v>
      </c>
      <c r="P18" s="154">
        <f>COUNTIFS(WTG_BD!$F:$F,"&gt;="&amp;Analytices!$B$2,WTG_BD!$F:$F,"&lt;="&amp;Analytices!$B$3,WTG_BD!$G:$G,P4)</f>
        <v>8</v>
      </c>
      <c r="Q18" s="154">
        <f>COUNTIFS(WTG_BD!$F:$F,"&gt;="&amp;Analytices!$B$2,WTG_BD!$F:$F,"&lt;="&amp;Analytices!$B$3,WTG_BD!$G:$G,Q4)</f>
        <v>5</v>
      </c>
      <c r="R18" s="154">
        <f>COUNTIFS(WTG_BD!$F:$F,"&gt;="&amp;Analytices!$B$2,WTG_BD!$F:$F,"&lt;="&amp;Analytices!$B$3,WTG_BD!$G:$G,R4)</f>
        <v>3</v>
      </c>
      <c r="S18" s="154">
        <f>COUNTIFS(WTG_BD!$F:$F,"&gt;="&amp;Analytices!$B$2,WTG_BD!$F:$F,"&lt;="&amp;Analytices!$B$3,WTG_BD!$G:$G,S4)</f>
        <v>7</v>
      </c>
      <c r="T18" s="154">
        <f>COUNTIFS(WTG_BD!$F:$F,"&gt;="&amp;Analytices!$B$2,WTG_BD!$F:$F,"&lt;="&amp;Analytices!$B$3,WTG_BD!$G:$G,T4)</f>
        <v>1</v>
      </c>
      <c r="U18" s="154">
        <f>COUNTIFS(WTG_BD!$F:$F,"&gt;="&amp;Analytices!$B$2,WTG_BD!$F:$F,"&lt;="&amp;Analytices!$B$3,WTG_BD!$G:$G,U4)</f>
        <v>12</v>
      </c>
      <c r="V18" s="154">
        <f>COUNTIFS(WTG_BD!$F:$F,"&gt;="&amp;Analytices!$B$2,WTG_BD!$F:$F,"&lt;="&amp;Analytices!$B$3,WTG_BD!$G:$G,V4)</f>
        <v>4</v>
      </c>
      <c r="W18" s="154">
        <f>COUNTIFS(WTG_BD!$F:$F,"&gt;="&amp;Analytices!$B$2,WTG_BD!$F:$F,"&lt;="&amp;Analytices!$B$3,WTG_BD!$G:$G,W4)</f>
        <v>7</v>
      </c>
      <c r="X18" s="154">
        <f>COUNTIFS(WTG_BD!$F:$F,"&gt;="&amp;Analytices!$B$2,WTG_BD!$F:$F,"&lt;="&amp;Analytices!$B$3,WTG_BD!$G:$G,X4)</f>
        <v>8</v>
      </c>
      <c r="Y18" s="154">
        <f>COUNTIFS(WTG_BD!$F:$F,"&gt;="&amp;Analytices!$B$2,WTG_BD!$F:$F,"&lt;="&amp;Analytices!$B$3,WTG_BD!$G:$G,Y4)</f>
        <v>2</v>
      </c>
      <c r="Z18" s="154">
        <f>COUNTIFS(WTG_BD!$F:$F,"&gt;="&amp;Analytices!$B$2,WTG_BD!$F:$F,"&lt;="&amp;Analytices!$B$3,WTG_BD!$G:$G,Z4)</f>
        <v>1</v>
      </c>
      <c r="AA18" s="154">
        <f>COUNTIFS(WTG_BD!$F:$F,"&gt;="&amp;Analytices!$B$2,WTG_BD!$F:$F,"&lt;="&amp;Analytices!$B$3,WTG_BD!$G:$G,AA4)</f>
        <v>5</v>
      </c>
    </row>
    <row r="19" spans="1:27" ht="29.25" customHeight="1">
      <c r="A19" s="127" t="s">
        <v>114</v>
      </c>
      <c r="B19" s="159">
        <f>IFERROR(B17/B18,0)</f>
        <v>6.9444444444444198E-2</v>
      </c>
      <c r="C19" s="159">
        <f t="shared" ref="C19:AA19" si="5">IFERROR(C17/C18,0)</f>
        <v>1.2954545454545454</v>
      </c>
      <c r="D19" s="159">
        <f t="shared" si="5"/>
        <v>3.046666666666666</v>
      </c>
      <c r="E19" s="159">
        <f t="shared" si="5"/>
        <v>0.54861111111111127</v>
      </c>
      <c r="F19" s="159">
        <f t="shared" si="5"/>
        <v>0.23571428571428546</v>
      </c>
      <c r="G19" s="159">
        <f t="shared" si="5"/>
        <v>1.7083333333333333</v>
      </c>
      <c r="H19" s="159">
        <f t="shared" si="5"/>
        <v>0.9916666666666677</v>
      </c>
      <c r="I19" s="159">
        <f t="shared" si="5"/>
        <v>1.0722222222222224</v>
      </c>
      <c r="J19" s="159">
        <f t="shared" si="5"/>
        <v>0.71250000000000013</v>
      </c>
      <c r="K19" s="159">
        <f t="shared" si="5"/>
        <v>0.13333333333333308</v>
      </c>
      <c r="L19" s="159">
        <f t="shared" si="5"/>
        <v>2.6166666666666676</v>
      </c>
      <c r="M19" s="159">
        <f t="shared" si="5"/>
        <v>3.5829491725768317</v>
      </c>
      <c r="N19" s="159">
        <f t="shared" si="5"/>
        <v>1.1055555555555561</v>
      </c>
      <c r="O19" s="159">
        <f t="shared" si="5"/>
        <v>0.21851851851851878</v>
      </c>
      <c r="P19" s="159">
        <f t="shared" si="5"/>
        <v>1.0374652777777778</v>
      </c>
      <c r="Q19" s="159">
        <f t="shared" si="5"/>
        <v>0.70333333333333381</v>
      </c>
      <c r="R19" s="159">
        <f t="shared" si="5"/>
        <v>1.3944444444444442</v>
      </c>
      <c r="S19" s="159">
        <f t="shared" si="5"/>
        <v>3.1499999999999986</v>
      </c>
      <c r="T19" s="159">
        <f t="shared" si="5"/>
        <v>1.7333333333333325</v>
      </c>
      <c r="U19" s="159">
        <f t="shared" si="5"/>
        <v>10.119421296296297</v>
      </c>
      <c r="V19" s="159">
        <f t="shared" si="5"/>
        <v>0.11666666666666692</v>
      </c>
      <c r="W19" s="159">
        <f t="shared" si="5"/>
        <v>0.94285714285714339</v>
      </c>
      <c r="X19" s="159">
        <f t="shared" si="5"/>
        <v>0.61458333333333348</v>
      </c>
      <c r="Y19" s="159">
        <f t="shared" si="5"/>
        <v>0.35000000000000075</v>
      </c>
      <c r="Z19" s="159">
        <f t="shared" si="5"/>
        <v>3.3333333333333215E-2</v>
      </c>
      <c r="AA19" s="159">
        <f t="shared" si="5"/>
        <v>0.9533333333333337</v>
      </c>
    </row>
    <row r="20" spans="1:27" ht="29.25" customHeight="1">
      <c r="A20" s="127" t="s">
        <v>115</v>
      </c>
      <c r="B20" s="159">
        <f>IFERROR(($C$3-B17)/B18,$C$3)</f>
        <v>103.93055555555556</v>
      </c>
      <c r="C20" s="159">
        <f t="shared" ref="C20:AA20" si="6">IFERROR(($C$3-C17)/C18,$C$3)</f>
        <v>55.43181818181818</v>
      </c>
      <c r="D20" s="159">
        <f t="shared" si="6"/>
        <v>121.75333333333333</v>
      </c>
      <c r="E20" s="159">
        <f t="shared" si="6"/>
        <v>51.451388888888886</v>
      </c>
      <c r="F20" s="159">
        <f t="shared" si="6"/>
        <v>44.335714285714289</v>
      </c>
      <c r="G20" s="159">
        <f t="shared" si="6"/>
        <v>102.29166666666667</v>
      </c>
      <c r="H20" s="159">
        <f t="shared" si="6"/>
        <v>103.00833333333333</v>
      </c>
      <c r="I20" s="159">
        <f t="shared" si="6"/>
        <v>206.92777777777778</v>
      </c>
      <c r="J20" s="159">
        <f t="shared" si="6"/>
        <v>155.28749999999999</v>
      </c>
      <c r="K20" s="159">
        <f t="shared" si="6"/>
        <v>103.86666666666667</v>
      </c>
      <c r="L20" s="159">
        <f t="shared" si="6"/>
        <v>153.38333333333333</v>
      </c>
      <c r="M20" s="159">
        <f t="shared" si="6"/>
        <v>9.6936465721040186</v>
      </c>
      <c r="N20" s="159">
        <f t="shared" si="6"/>
        <v>206.89444444444442</v>
      </c>
      <c r="O20" s="159">
        <f t="shared" si="6"/>
        <v>69.114814814814807</v>
      </c>
      <c r="P20" s="159">
        <f t="shared" si="6"/>
        <v>76.962534722222216</v>
      </c>
      <c r="Q20" s="159">
        <f t="shared" si="6"/>
        <v>124.09666666666666</v>
      </c>
      <c r="R20" s="159">
        <f t="shared" si="6"/>
        <v>206.60555555555558</v>
      </c>
      <c r="S20" s="159">
        <f t="shared" si="6"/>
        <v>85.992857142857147</v>
      </c>
      <c r="T20" s="159">
        <f t="shared" si="6"/>
        <v>622.26666666666665</v>
      </c>
      <c r="U20" s="159">
        <f t="shared" si="6"/>
        <v>41.880578703703698</v>
      </c>
      <c r="V20" s="159">
        <f t="shared" si="6"/>
        <v>155.88333333333333</v>
      </c>
      <c r="W20" s="159">
        <f t="shared" si="6"/>
        <v>88.2</v>
      </c>
      <c r="X20" s="159">
        <f t="shared" si="6"/>
        <v>77.385416666666671</v>
      </c>
      <c r="Y20" s="159">
        <f t="shared" si="6"/>
        <v>311.64999999999998</v>
      </c>
      <c r="Z20" s="159">
        <f t="shared" si="6"/>
        <v>623.9666666666667</v>
      </c>
      <c r="AA20" s="159">
        <f t="shared" si="6"/>
        <v>123.84666666666666</v>
      </c>
    </row>
    <row r="21" spans="1:27" ht="29.25" customHeight="1">
      <c r="A21" s="127" t="s">
        <v>116</v>
      </c>
      <c r="B21" s="159">
        <f>ROUND(AVERAGEIFS(Input_Raw!AF:AF,Input_Raw!$A:$A,"&gt;="&amp;Analytices!$B$2,Input_Raw!$A:$A,"&lt;="&amp;Analytices!$B$3),1)</f>
        <v>6.4</v>
      </c>
      <c r="C21" s="159">
        <f>ROUND(AVERAGEIFS(Input_Raw!AG:AG,Input_Raw!$A:$A,"&gt;="&amp;Analytices!$B$2,Input_Raw!$A:$A,"&lt;="&amp;Analytices!$B$3),1)</f>
        <v>6.4</v>
      </c>
      <c r="D21" s="159">
        <f>ROUND(AVERAGEIFS(Input_Raw!AH:AH,Input_Raw!$A:$A,"&gt;="&amp;Analytices!$B$2,Input_Raw!$A:$A,"&lt;="&amp;Analytices!$B$3),1)</f>
        <v>6.3</v>
      </c>
      <c r="E21" s="159">
        <f>ROUND(AVERAGEIFS(Input_Raw!AI:AI,Input_Raw!$A:$A,"&gt;="&amp;Analytices!$B$2,Input_Raw!$A:$A,"&lt;="&amp;Analytices!$B$3),1)</f>
        <v>6.4</v>
      </c>
      <c r="F21" s="159">
        <f>ROUND(AVERAGEIFS(Input_Raw!AJ:AJ,Input_Raw!$A:$A,"&gt;="&amp;Analytices!$B$2,Input_Raw!$A:$A,"&lt;="&amp;Analytices!$B$3),1)</f>
        <v>6.6</v>
      </c>
      <c r="G21" s="159">
        <f>ROUND(AVERAGEIFS(Input_Raw!AK:AK,Input_Raw!$A:$A,"&gt;="&amp;Analytices!$B$2,Input_Raw!$A:$A,"&lt;="&amp;Analytices!$B$3),1)</f>
        <v>7</v>
      </c>
      <c r="H21" s="159">
        <f>ROUND(AVERAGEIFS(Input_Raw!AL:AL,Input_Raw!$A:$A,"&gt;="&amp;Analytices!$B$2,Input_Raw!$A:$A,"&lt;="&amp;Analytices!$B$3),1)</f>
        <v>6.3</v>
      </c>
      <c r="I21" s="159">
        <f>ROUND(AVERAGEIFS(Input_Raw!AM:AM,Input_Raw!$A:$A,"&gt;="&amp;Analytices!$B$2,Input_Raw!$A:$A,"&lt;="&amp;Analytices!$B$3),1)</f>
        <v>6.3</v>
      </c>
      <c r="J21" s="159">
        <f>ROUND(AVERAGEIFS(Input_Raw!AN:AN,Input_Raw!$A:$A,"&gt;="&amp;Analytices!$B$2,Input_Raw!$A:$A,"&lt;="&amp;Analytices!$B$3),1)</f>
        <v>6.4</v>
      </c>
      <c r="K21" s="159">
        <f>ROUND(AVERAGEIFS(Input_Raw!AO:AO,Input_Raw!$A:$A,"&gt;="&amp;Analytices!$B$2,Input_Raw!$A:$A,"&lt;="&amp;Analytices!$B$3),1)</f>
        <v>6.4</v>
      </c>
      <c r="L21" s="159">
        <f>ROUND(AVERAGEIFS(Input_Raw!AP:AP,Input_Raw!$A:$A,"&gt;="&amp;Analytices!$B$2,Input_Raw!$A:$A,"&lt;="&amp;Analytices!$B$3),1)</f>
        <v>6.4</v>
      </c>
      <c r="M21" s="159">
        <f>ROUND(AVERAGEIFS(Input_Raw!AQ:AQ,Input_Raw!$A:$A,"&gt;="&amp;Analytices!$B$2,Input_Raw!$A:$A,"&lt;="&amp;Analytices!$B$3),1)</f>
        <v>7.3</v>
      </c>
      <c r="N21" s="159">
        <f>ROUND(AVERAGEIFS(Input_Raw!AR:AR,Input_Raw!$A:$A,"&gt;="&amp;Analytices!$B$2,Input_Raw!$A:$A,"&lt;="&amp;Analytices!$B$3),1)</f>
        <v>6.3</v>
      </c>
      <c r="O21" s="159">
        <f>ROUND(AVERAGEIFS(Input_Raw!AS:AS,Input_Raw!$A:$A,"&gt;="&amp;Analytices!$B$2,Input_Raw!$A:$A,"&lt;="&amp;Analytices!$B$3),1)</f>
        <v>6.4</v>
      </c>
      <c r="P21" s="159">
        <f>ROUND(AVERAGEIFS(Input_Raw!AT:AT,Input_Raw!$A:$A,"&gt;="&amp;Analytices!$B$2,Input_Raw!$A:$A,"&lt;="&amp;Analytices!$B$3),1)</f>
        <v>6.3</v>
      </c>
      <c r="Q21" s="159">
        <f>ROUND(AVERAGEIFS(Input_Raw!AU:AU,Input_Raw!$A:$A,"&gt;="&amp;Analytices!$B$2,Input_Raw!$A:$A,"&lt;="&amp;Analytices!$B$3),1)</f>
        <v>6.5</v>
      </c>
      <c r="R21" s="159">
        <f>ROUND(AVERAGEIFS(Input_Raw!AV:AV,Input_Raw!$A:$A,"&gt;="&amp;Analytices!$B$2,Input_Raw!$A:$A,"&lt;="&amp;Analytices!$B$3),1)</f>
        <v>6.9</v>
      </c>
      <c r="S21" s="159">
        <f>ROUND(AVERAGEIFS(Input_Raw!AW:AW,Input_Raw!$A:$A,"&gt;="&amp;Analytices!$B$2,Input_Raw!$A:$A,"&lt;="&amp;Analytices!$B$3),1)</f>
        <v>6.6</v>
      </c>
      <c r="T21" s="159">
        <f>ROUND(AVERAGEIFS(Input_Raw!AX:AX,Input_Raw!$A:$A,"&gt;="&amp;Analytices!$B$2,Input_Raw!$A:$A,"&lt;="&amp;Analytices!$B$3),1)</f>
        <v>6.7</v>
      </c>
      <c r="U21" s="159">
        <f>ROUND(AVERAGEIFS(Input_Raw!AY:AY,Input_Raw!$A:$A,"&gt;="&amp;Analytices!$B$2,Input_Raw!$A:$A,"&lt;="&amp;Analytices!$B$3),1)</f>
        <v>6.4</v>
      </c>
      <c r="V21" s="159">
        <f>ROUND(AVERAGEIFS(Input_Raw!AZ:AZ,Input_Raw!$A:$A,"&gt;="&amp;Analytices!$B$2,Input_Raw!$A:$A,"&lt;="&amp;Analytices!$B$3),1)</f>
        <v>6.6</v>
      </c>
      <c r="W21" s="159">
        <f>ROUND(AVERAGEIFS(Input_Raw!BA:BA,Input_Raw!$A:$A,"&gt;="&amp;Analytices!$B$2,Input_Raw!$A:$A,"&lt;="&amp;Analytices!$B$3),1)</f>
        <v>6.7</v>
      </c>
      <c r="X21" s="159">
        <f>ROUND(AVERAGEIFS(Input_Raw!BB:BB,Input_Raw!$A:$A,"&gt;="&amp;Analytices!$B$2,Input_Raw!$A:$A,"&lt;="&amp;Analytices!$B$3),1)</f>
        <v>6.4</v>
      </c>
      <c r="Y21" s="159">
        <f>ROUND(AVERAGEIFS(Input_Raw!BC:BC,Input_Raw!$A:$A,"&gt;="&amp;Analytices!$B$2,Input_Raw!$A:$A,"&lt;="&amp;Analytices!$B$3),1)</f>
        <v>6.5</v>
      </c>
      <c r="Z21" s="159">
        <f>ROUND(AVERAGEIFS(Input_Raw!BD:BD,Input_Raw!$A:$A,"&gt;="&amp;Analytices!$B$2,Input_Raw!$A:$A,"&lt;="&amp;Analytices!$B$3),1)</f>
        <v>6.6</v>
      </c>
      <c r="AA21" s="159">
        <f>ROUND(AVERAGEIFS(Input_Raw!BE:BE,Input_Raw!$A:$A,"&gt;="&amp;Analytices!$B$2,Input_Raw!$A:$A,"&lt;="&amp;Analytices!$B$3),1)</f>
        <v>6.4</v>
      </c>
    </row>
    <row r="22" spans="1:27" ht="29.25" customHeight="1">
      <c r="A22" s="84"/>
    </row>
    <row r="23" spans="1:27" ht="29.25" customHeight="1">
      <c r="A23" s="644" t="s">
        <v>117</v>
      </c>
      <c r="B23" s="644"/>
      <c r="C23" s="644"/>
      <c r="D23" s="644"/>
      <c r="E23" s="644"/>
      <c r="F23" s="644"/>
      <c r="G23" s="644"/>
    </row>
    <row r="24" spans="1:27" ht="29.25" customHeight="1">
      <c r="A24" s="85">
        <v>45017</v>
      </c>
    </row>
    <row r="25" spans="1:27" ht="29.25" customHeight="1">
      <c r="D25" s="642" t="s">
        <v>118</v>
      </c>
      <c r="E25" s="642"/>
      <c r="F25" s="642" t="s">
        <v>119</v>
      </c>
      <c r="G25" s="642"/>
    </row>
    <row r="26" spans="1:27" ht="29.25" customHeight="1">
      <c r="D26" s="642">
        <f ca="1">F26</f>
        <v>20328</v>
      </c>
      <c r="E26" s="642"/>
      <c r="F26" s="643">
        <f ca="1">((TODAY()-1)-(A24))*24</f>
        <v>20328</v>
      </c>
      <c r="G26" s="643"/>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70" zoomScaleNormal="70" workbookViewId="0">
      <pane xSplit="4" ySplit="2" topLeftCell="E470" activePane="bottomRight" state="frozen"/>
      <selection pane="topRight" activeCell="E1" sqref="E1"/>
      <selection pane="bottomLeft" activeCell="A3" sqref="A3"/>
      <selection pane="bottomRight" activeCell="T496" sqref="T496"/>
    </sheetView>
  </sheetViews>
  <sheetFormatPr defaultColWidth="8.88671875" defaultRowHeight="14.4"/>
  <cols>
    <col min="1" max="1" width="10.109375" style="167" bestFit="1" customWidth="1"/>
    <col min="2" max="3" width="12.109375" style="167" customWidth="1"/>
    <col min="4" max="4" width="10.88671875" style="167" customWidth="1"/>
    <col min="5" max="30" width="8.88671875" style="167"/>
    <col min="31" max="31" width="10.88671875" style="167" customWidth="1"/>
    <col min="32" max="16384" width="8.8867187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AE485" s="167">
        <f t="shared" si="23"/>
        <v>0</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4"/>
  <sheetViews>
    <sheetView showGridLines="0" zoomScale="80" zoomScaleNormal="80" workbookViewId="0">
      <pane xSplit="1" ySplit="4" topLeftCell="B103" activePane="bottomRight" state="frozen"/>
      <selection pane="topRight" activeCell="B5" sqref="B5"/>
      <selection pane="bottomLeft" activeCell="B5" sqref="B5"/>
      <selection pane="bottomRight" activeCell="F128" sqref="F128"/>
    </sheetView>
  </sheetViews>
  <sheetFormatPr defaultColWidth="8.44140625" defaultRowHeight="14.4"/>
  <cols>
    <col min="1" max="1" width="11.44140625" style="1" bestFit="1" customWidth="1"/>
    <col min="2" max="2" width="11.44140625" customWidth="1"/>
    <col min="3" max="3" width="12.44140625" customWidth="1"/>
    <col min="4" max="4" width="15.44140625" customWidth="1"/>
    <col min="7" max="7" width="10.44140625" bestFit="1" customWidth="1"/>
    <col min="14" max="14" width="8.44140625" customWidth="1"/>
    <col min="16" max="16" width="9.44140625" customWidth="1"/>
    <col min="17" max="17" width="11.44140625" bestFit="1" customWidth="1"/>
    <col min="58" max="58" width="12.44140625" customWidth="1"/>
    <col min="59" max="59" width="11.44140625" customWidth="1"/>
    <col min="60" max="60" width="12.5546875" customWidth="1"/>
    <col min="61" max="61" width="11.88671875" customWidth="1"/>
    <col min="62" max="62" width="15.44140625" style="1" customWidth="1"/>
    <col min="63" max="63" width="13.44140625" style="1" customWidth="1"/>
    <col min="64" max="64" width="11.44140625" style="1" customWidth="1"/>
    <col min="65" max="66" width="11.44140625" customWidth="1"/>
    <col min="67" max="67" width="19.44140625" style="2" customWidth="1"/>
    <col min="68" max="68" width="12.44140625" customWidth="1"/>
    <col min="69" max="69" width="18.44140625" style="110" customWidth="1"/>
    <col min="70" max="70" width="13.441406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ht="15">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ht="15">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ht="15">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ht="15">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ht="15">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ht="15">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ht="15">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ht="15">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ht="15">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ht="15">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ht="15">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ht="15">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ht="15">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ht="15">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ht="15">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ht="15">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ht="15">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ht="15">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ht="15">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ht="15">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ht="15">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ht="15">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ht="15">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ht="15">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ht="15">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ht="15">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ht="15">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ht="15">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ht="15">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ht="15">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ht="15">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ht="15">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ht="15">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ht="15">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ht="15">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ht="15">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ht="15">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ht="15">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ht="15">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ht="15">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ht="15">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ht="15">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ht="15">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ht="15">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ht="15">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ht="15">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ht="15">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ht="15">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ht="15">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ht="15">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ht="15">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ht="15">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ht="15">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ht="15">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ht="15">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ht="15">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ht="15">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ht="15">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ht="15">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ht="15">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ht="15">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ht="15">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ht="15">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ht="15">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ht="15">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ht="15">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ht="15">
      <c r="A71" s="240">
        <f t="shared" ref="A71:A124"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ht="15">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ht="15">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ht="15">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ht="15">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ht="15">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ht="15">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ht="15">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ht="15">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ht="15">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ht="15">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ht="15">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ht="15">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ht="15">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ht="15">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ht="15">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ht="15">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ht="15">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ht="15">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ht="15">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ht="15">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ht="15">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ht="15">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ht="15">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ht="15">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ht="15">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ht="15">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ht="15">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ht="15">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ht="15">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ht="15">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ht="15">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ht="15">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ht="15">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ht="15">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ht="15">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ht="15">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ht="15">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ht="15">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ht="15">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ht="15">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ht="15">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ht="15">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ht="15">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ht="15">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ht="15">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ht="15">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ht="15">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ht="15">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ht="15">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ht="15">
      <c r="A121" s="240">
        <f t="shared" si="14"/>
        <v>45861</v>
      </c>
      <c r="B121" s="11">
        <f>YEAR(Input_Raw[[#This Row],[Date]])+IF(MONTH(Input_Raw[[#This Row],[Date]])&gt;=4,1,0)</f>
        <v>2026</v>
      </c>
      <c r="C121" s="11">
        <f>YEAR(Input_Raw[[#This Row],[Date]])</f>
        <v>2025</v>
      </c>
      <c r="D121" s="12">
        <f>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ht="15">
      <c r="A122" s="240">
        <f t="shared" si="14"/>
        <v>45862</v>
      </c>
      <c r="B122" s="11">
        <f>YEAR(Input_Raw[[#This Row],[Date]])+IF(MONTH(Input_Raw[[#This Row],[Date]])&gt;=4,1,0)</f>
        <v>2026</v>
      </c>
      <c r="C122" s="11">
        <f>YEAR(Input_Raw[[#This Row],[Date]])</f>
        <v>2025</v>
      </c>
      <c r="D122" s="12">
        <f>A122-DAY(A122)+1</f>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ht="15">
      <c r="A123" s="240">
        <f t="shared" si="14"/>
        <v>45863</v>
      </c>
      <c r="B123" s="11">
        <f>YEAR(Input_Raw[[#This Row],[Date]])+IF(MONTH(Input_Raw[[#This Row],[Date]])&gt;=4,1,0)</f>
        <v>2026</v>
      </c>
      <c r="C123" s="11">
        <f>YEAR(Input_Raw[[#This Row],[Date]])</f>
        <v>2025</v>
      </c>
      <c r="D123" s="12">
        <f>A123-DAY(A123)+1</f>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ht="15">
      <c r="A124" s="240">
        <f t="shared" si="14"/>
        <v>45864</v>
      </c>
      <c r="B124" s="11">
        <f>YEAR(Input_Raw[[#This Row],[Date]])+IF(MONTH(Input_Raw[[#This Row],[Date]])&gt;=4,1,0)</f>
        <v>2026</v>
      </c>
      <c r="C124" s="11">
        <f>YEAR(Input_Raw[[#This Row],[Date]])</f>
        <v>2025</v>
      </c>
      <c r="D124" s="12">
        <f>A124-DAY(A124)+1</f>
        <v>45839</v>
      </c>
      <c r="E124" s="11">
        <f>DAY(EOMONTH(Input_Raw[[#This Row],[Date]],0))</f>
        <v>31</v>
      </c>
      <c r="F124" s="671">
        <v>34740</v>
      </c>
      <c r="G124" s="671">
        <v>37342</v>
      </c>
      <c r="H124" s="671">
        <v>33715</v>
      </c>
      <c r="I124" s="671">
        <v>36212</v>
      </c>
      <c r="J124" s="671">
        <v>36536</v>
      </c>
      <c r="K124" s="671">
        <v>38122</v>
      </c>
      <c r="L124" s="671">
        <v>35002</v>
      </c>
      <c r="M124" s="671">
        <v>33863</v>
      </c>
      <c r="N124" s="671">
        <v>34096</v>
      </c>
      <c r="O124" s="671">
        <v>35048</v>
      </c>
      <c r="P124" s="671">
        <v>33052</v>
      </c>
      <c r="Q124" s="671">
        <v>34281</v>
      </c>
      <c r="R124" s="671">
        <v>30916</v>
      </c>
      <c r="S124" s="671">
        <v>33848</v>
      </c>
      <c r="T124" s="671">
        <v>33507</v>
      </c>
      <c r="U124" s="671">
        <v>38276</v>
      </c>
      <c r="V124" s="671">
        <v>40711</v>
      </c>
      <c r="W124" s="671">
        <v>38632</v>
      </c>
      <c r="X124" s="671">
        <v>39646</v>
      </c>
      <c r="Y124" s="671">
        <v>36095</v>
      </c>
      <c r="Z124" s="671">
        <v>37456</v>
      </c>
      <c r="AA124" s="671">
        <v>41308</v>
      </c>
      <c r="AB124" s="671">
        <v>35602</v>
      </c>
      <c r="AC124" s="626">
        <v>37082</v>
      </c>
      <c r="AD124" s="626">
        <v>38688</v>
      </c>
      <c r="AE124" s="626">
        <v>36554</v>
      </c>
      <c r="AF124" s="672">
        <v>7.6837499837080623</v>
      </c>
      <c r="AG124" s="672">
        <v>7.7964583469761726</v>
      </c>
      <c r="AH124" s="672">
        <v>7.3800694511996356</v>
      </c>
      <c r="AI124" s="672">
        <v>7.7702083090941096</v>
      </c>
      <c r="AJ124" s="672">
        <v>7.7631944451067163</v>
      </c>
      <c r="AK124" s="672">
        <v>8.0706250038411849</v>
      </c>
      <c r="AL124" s="672">
        <v>7.5538888739214984</v>
      </c>
      <c r="AM124" s="672">
        <v>7.355694446298811</v>
      </c>
      <c r="AN124" s="672">
        <v>7.5711111227671291</v>
      </c>
      <c r="AO124" s="672">
        <v>7.5083333485656301</v>
      </c>
      <c r="AP124" s="672">
        <v>7.428749991787801</v>
      </c>
      <c r="AQ124" s="672">
        <v>8.1158333586321909</v>
      </c>
      <c r="AR124" s="672">
        <v>7.2258333166440325</v>
      </c>
      <c r="AS124" s="672">
        <v>7.4438889159096613</v>
      </c>
      <c r="AT124" s="672">
        <v>7.390000008874468</v>
      </c>
      <c r="AU124" s="672">
        <v>7.815972199042637</v>
      </c>
      <c r="AV124" s="672">
        <v>8.1771527992354436</v>
      </c>
      <c r="AW124" s="672">
        <v>7.8654166791174118</v>
      </c>
      <c r="AX124" s="672">
        <v>7.9317360950840827</v>
      </c>
      <c r="AY124" s="672">
        <v>7.7179166641500245</v>
      </c>
      <c r="AZ124" s="672">
        <v>7.7715972297721407</v>
      </c>
      <c r="BA124" s="672">
        <v>8.2628472016917325</v>
      </c>
      <c r="BB124" s="672">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673">
        <f>(Input_Raw[[#This Row],[WTG Total Gneration (KWh)]]-Input_Raw[[#This Row],[66 kV_Wind_F1_Export_reading]])/Input_Raw[[#This Row],[WTG Total Gneration (KWh)]]</f>
        <v>2.8532536449969691E-2</v>
      </c>
      <c r="BO124" s="89">
        <v>70.2</v>
      </c>
      <c r="BP124" s="634"/>
      <c r="BQ124" s="635">
        <v>973.81</v>
      </c>
      <c r="BR124" s="674"/>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29"/>
  <sheetViews>
    <sheetView zoomScale="80" workbookViewId="0">
      <pane xSplit="7" ySplit="1" topLeftCell="H1604" activePane="bottomRight" state="frozen"/>
      <selection pane="topRight" activeCell="H1" sqref="H1"/>
      <selection pane="bottomLeft" activeCell="A2" sqref="A2"/>
      <selection pane="bottomRight" activeCell="Z1631" sqref="Z1631"/>
    </sheetView>
  </sheetViews>
  <sheetFormatPr defaultRowHeight="14.4"/>
  <cols>
    <col min="2" max="2" width="10.109375" customWidth="1"/>
    <col min="3" max="3" width="10.44140625" customWidth="1"/>
    <col min="4" max="4" width="12.44140625" customWidth="1"/>
    <col min="5" max="5" width="10.5546875" customWidth="1"/>
    <col min="6" max="6" width="12" customWidth="1"/>
    <col min="7" max="7" width="12.44140625" customWidth="1"/>
    <col min="8" max="8" width="11.5546875" customWidth="1"/>
    <col min="9" max="9" width="9.5546875" customWidth="1"/>
    <col min="10" max="10" width="11.44140625" customWidth="1"/>
    <col min="11" max="11" width="10.109375" customWidth="1"/>
    <col min="12" max="12" width="29.5546875" bestFit="1" customWidth="1"/>
    <col min="13" max="13" width="19.5546875" customWidth="1"/>
    <col min="14" max="14" width="5.44140625" customWidth="1"/>
    <col min="15" max="15" width="13.44140625" customWidth="1"/>
    <col min="16" max="16" width="10.88671875" customWidth="1"/>
    <col min="17" max="17" width="13.5546875" customWidth="1"/>
    <col min="18" max="18" width="13.109375" customWidth="1"/>
    <col min="19" max="19" width="13.5546875" customWidth="1"/>
    <col min="20" max="20" width="14.44140625" customWidth="1"/>
    <col min="21" max="21" width="58.5546875" customWidth="1"/>
    <col min="23" max="23" width="22.88671875" customWidth="1"/>
    <col min="24" max="24" width="28.5546875" bestFit="1" customWidth="1"/>
    <col min="25" max="25" width="25" customWidth="1"/>
    <col min="26" max="26" width="31.88671875" customWidth="1"/>
    <col min="27" max="27" width="22.5546875" customWidth="1"/>
    <col min="28" max="28" width="13.88671875" customWidth="1"/>
    <col min="29" max="29" width="8.5546875" customWidth="1"/>
    <col min="30" max="30" width="13.44140625" customWidth="1"/>
  </cols>
  <sheetData>
    <row r="1" spans="1:30" s="35" customFormat="1" ht="44.1"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1992</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1924</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1992</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2106</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1992</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2036</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1992</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1924</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1992</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1924</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1992</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1924</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1992</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2107</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1992</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1924</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1992</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1924</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1992</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2108</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1992</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2110</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1992</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1924</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1992</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2111</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1992</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1924</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1992</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1924</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1992</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1924</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1992</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2112</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1992</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2113</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1992</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2114</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1992</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2115</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1992</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2115</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1992</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2115</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1992</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2115</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1992</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2115</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1992</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2115</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1992</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2115</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29" si="26">A1614+1</f>
        <v>1614</v>
      </c>
      <c r="B1615" s="468">
        <f>YEAR(Table6[[#This Row],[Date]])+IF(MONTH(Table6[[#This Row],[Date]])&gt;=4,1,0)</f>
        <v>2026</v>
      </c>
      <c r="C1615" s="102">
        <f>YEAR(Table6[[#This Row],[Date]])</f>
        <v>2025</v>
      </c>
      <c r="D1615" s="102" t="s">
        <v>1992</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2115</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1992</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2115</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1992</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2115</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1992</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2115</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1992</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2115</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1992</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2115</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1992</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2115</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1992</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1992</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1992</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row r="1625" spans="1:30">
      <c r="A1625" s="102">
        <f t="shared" si="26"/>
        <v>1624</v>
      </c>
      <c r="B1625" s="468">
        <f>YEAR(Table6[[#This Row],[Date]])+IF(MONTH(Table6[[#This Row],[Date]])&gt;=4,1,0)</f>
        <v>2026</v>
      </c>
      <c r="C1625" s="675">
        <f>YEAR(Table6[[#This Row],[Date]])</f>
        <v>2025</v>
      </c>
      <c r="D1625" s="102" t="s">
        <v>1992</v>
      </c>
      <c r="E1625" s="469">
        <f>Table6[[#This Row],[Date]]-DAY(Table6[[#This Row],[Date]])+1</f>
        <v>45839</v>
      </c>
      <c r="F1625" s="470">
        <v>45864</v>
      </c>
      <c r="G1625" s="35" t="s">
        <v>74</v>
      </c>
      <c r="H1625" s="676" t="str">
        <f>IFERROR(_xlfn.XLOOKUP(Table6[[#This Row],[Affected WTG]],'Basic Data'!$A:$A,'Basic Data'!$B:$B),"")</f>
        <v>TQGXIIPL</v>
      </c>
      <c r="I1625" s="676" t="str">
        <f>IFERROR(_xlfn.XLOOKUP(Table6[[#This Row],[Affected WTG]],'Basic Data'!$A:$A,'Basic Data'!$C:$C),"")</f>
        <v>GEDA</v>
      </c>
      <c r="J1625" s="471">
        <f>IFERROR(_xlfn.XLOOKUP(Table6[[#This Row],[Affected WTG]],'Basic Data'!$A:$A,'Basic Data'!$E:$E),"")</f>
        <v>3.846153846153845E-2</v>
      </c>
      <c r="K1625" s="102">
        <v>6130</v>
      </c>
      <c r="L1625" s="676" t="str">
        <f>IFERROR(_xlfn.XLOOKUP(Table6[[#This Row],[Error Code]],'Basic Data'!$AA:$AA,'Basic Data'!$AB:$AB),"Incorrect Error Code")</f>
        <v>Yaw speed high</v>
      </c>
      <c r="M1625" s="35" t="s">
        <v>291</v>
      </c>
      <c r="N1625" s="475"/>
      <c r="O1625" s="476">
        <v>0.58819444444444446</v>
      </c>
      <c r="P1625" s="476">
        <v>0.58819444444444446</v>
      </c>
      <c r="Q1625" s="477">
        <v>0.58958333333333335</v>
      </c>
      <c r="R1625" s="472">
        <f>IF(Table6[[#This Row],[Work Start TimeStamp]]="","",(Table6[[#This Row],[Work Start TimeStamp]]-Table6[[#This Row],[Fault Start TimeStamp]])*24)</f>
        <v>0</v>
      </c>
      <c r="S1625" s="472">
        <f>(Table6[[#This Row],[Fault Clearance time]]-Table6[[#This Row],[Work Start TimeStamp]])*24</f>
        <v>3.3333333333333215E-2</v>
      </c>
      <c r="T1625" s="472">
        <f>(Table6[[#This Row],[Fault Clearance time]]-Table6[[#This Row],[Fault Start TimeStamp]])*24</f>
        <v>3.3333333333333215E-2</v>
      </c>
      <c r="U1625" s="35" t="s">
        <v>1924</v>
      </c>
      <c r="V1625" s="102" t="s">
        <v>293</v>
      </c>
      <c r="W1625" s="549">
        <f>IFERROR(Table6[[#This Row],[Breakdown Time]]*Table6[[#This Row],[Plant Equivalent Weightage]],"")</f>
        <v>1.2820512820512771E-3</v>
      </c>
      <c r="X1625" s="473" t="s">
        <v>294</v>
      </c>
      <c r="Y1625" s="474" t="s">
        <v>99</v>
      </c>
      <c r="Z1625" s="102">
        <v>36554</v>
      </c>
      <c r="AA1625" s="468">
        <f>(Table6[[#This Row],[Paired WTG Generation for loss calculation]]/24)*Table6[[#This Row],[Breakdown Time]]</f>
        <v>50.769444444444261</v>
      </c>
      <c r="AB1625" s="102"/>
      <c r="AC1625" s="35"/>
      <c r="AD1625" s="35"/>
    </row>
    <row r="1626" spans="1:30">
      <c r="A1626" s="102">
        <f t="shared" si="26"/>
        <v>1625</v>
      </c>
      <c r="B1626" s="468">
        <f>YEAR(Table6[[#This Row],[Date]])+IF(MONTH(Table6[[#This Row],[Date]])&gt;=4,1,0)</f>
        <v>2026</v>
      </c>
      <c r="C1626" s="675">
        <f>YEAR(Table6[[#This Row],[Date]])</f>
        <v>2025</v>
      </c>
      <c r="D1626" s="102" t="s">
        <v>1992</v>
      </c>
      <c r="E1626" s="469">
        <f>Table6[[#This Row],[Date]]-DAY(Table6[[#This Row],[Date]])+1</f>
        <v>45839</v>
      </c>
      <c r="F1626" s="470">
        <v>45864</v>
      </c>
      <c r="G1626" s="35" t="s">
        <v>74</v>
      </c>
      <c r="H1626" s="676" t="str">
        <f>IFERROR(_xlfn.XLOOKUP(Table6[[#This Row],[Affected WTG]],'Basic Data'!$A:$A,'Basic Data'!$B:$B),"")</f>
        <v>TQGXIIPL</v>
      </c>
      <c r="I1626" s="676" t="str">
        <f>IFERROR(_xlfn.XLOOKUP(Table6[[#This Row],[Affected WTG]],'Basic Data'!$A:$A,'Basic Data'!$C:$C),"")</f>
        <v>GEDA</v>
      </c>
      <c r="J1626" s="471">
        <f>IFERROR(_xlfn.XLOOKUP(Table6[[#This Row],[Affected WTG]],'Basic Data'!$A:$A,'Basic Data'!$E:$E),"")</f>
        <v>3.846153846153845E-2</v>
      </c>
      <c r="K1626" s="102">
        <v>6130</v>
      </c>
      <c r="L1626" s="676" t="str">
        <f>IFERROR(_xlfn.XLOOKUP(Table6[[#This Row],[Error Code]],'Basic Data'!$AA:$AA,'Basic Data'!$AB:$AB),"Incorrect Error Code")</f>
        <v>Yaw speed high</v>
      </c>
      <c r="M1626" s="35" t="s">
        <v>291</v>
      </c>
      <c r="N1626" s="475"/>
      <c r="O1626" s="476">
        <v>0.71597222222222223</v>
      </c>
      <c r="P1626" s="476">
        <v>0.71597222222222223</v>
      </c>
      <c r="Q1626" s="477">
        <v>0.72222222222222221</v>
      </c>
      <c r="R1626" s="472">
        <f>IF(Table6[[#This Row],[Work Start TimeStamp]]="","",(Table6[[#This Row],[Work Start TimeStamp]]-Table6[[#This Row],[Fault Start TimeStamp]])*24)</f>
        <v>0</v>
      </c>
      <c r="S1626" s="472">
        <f>(Table6[[#This Row],[Fault Clearance time]]-Table6[[#This Row],[Work Start TimeStamp]])*24</f>
        <v>0.14999999999999947</v>
      </c>
      <c r="T1626" s="472">
        <f>(Table6[[#This Row],[Fault Clearance time]]-Table6[[#This Row],[Fault Start TimeStamp]])*24</f>
        <v>0.14999999999999947</v>
      </c>
      <c r="U1626" s="35" t="s">
        <v>1924</v>
      </c>
      <c r="V1626" s="102" t="s">
        <v>293</v>
      </c>
      <c r="W1626" s="549">
        <f>IFERROR(Table6[[#This Row],[Breakdown Time]]*Table6[[#This Row],[Plant Equivalent Weightage]],"")</f>
        <v>5.769230769230747E-3</v>
      </c>
      <c r="X1626" s="473" t="s">
        <v>294</v>
      </c>
      <c r="Y1626" s="474" t="s">
        <v>99</v>
      </c>
      <c r="Z1626" s="102">
        <v>36554</v>
      </c>
      <c r="AA1626" s="468">
        <f>(Table6[[#This Row],[Paired WTG Generation for loss calculation]]/24)*Table6[[#This Row],[Breakdown Time]]</f>
        <v>228.46249999999918</v>
      </c>
      <c r="AB1626" s="102"/>
      <c r="AC1626" s="35"/>
      <c r="AD1626" s="35"/>
    </row>
    <row r="1627" spans="1:30">
      <c r="A1627" s="102">
        <f t="shared" si="26"/>
        <v>1626</v>
      </c>
      <c r="B1627" s="468">
        <f>YEAR(Table6[[#This Row],[Date]])+IF(MONTH(Table6[[#This Row],[Date]])&gt;=4,1,0)</f>
        <v>2026</v>
      </c>
      <c r="C1627" s="675">
        <f>YEAR(Table6[[#This Row],[Date]])</f>
        <v>2025</v>
      </c>
      <c r="D1627" s="102" t="s">
        <v>1992</v>
      </c>
      <c r="E1627" s="469">
        <f>Table6[[#This Row],[Date]]-DAY(Table6[[#This Row],[Date]])+1</f>
        <v>45839</v>
      </c>
      <c r="F1627" s="470">
        <v>45864</v>
      </c>
      <c r="G1627" s="35" t="s">
        <v>77</v>
      </c>
      <c r="H1627" s="676" t="str">
        <f>IFERROR(_xlfn.XLOOKUP(Table6[[#This Row],[Affected WTG]],'Basic Data'!$A:$A,'Basic Data'!$B:$B),"")</f>
        <v>TQGXIIPL</v>
      </c>
      <c r="I1627" s="676" t="str">
        <f>IFERROR(_xlfn.XLOOKUP(Table6[[#This Row],[Affected WTG]],'Basic Data'!$A:$A,'Basic Data'!$C:$C),"")</f>
        <v>GEDA</v>
      </c>
      <c r="J1627" s="471">
        <f>IFERROR(_xlfn.XLOOKUP(Table6[[#This Row],[Affected WTG]],'Basic Data'!$A:$A,'Basic Data'!$E:$E),"")</f>
        <v>3.846153846153845E-2</v>
      </c>
      <c r="K1627" s="102">
        <v>6130</v>
      </c>
      <c r="L1627" s="676" t="str">
        <f>IFERROR(_xlfn.XLOOKUP(Table6[[#This Row],[Error Code]],'Basic Data'!$AA:$AA,'Basic Data'!$AB:$AB),"Incorrect Error Code")</f>
        <v>Yaw speed high</v>
      </c>
      <c r="M1627" s="35" t="s">
        <v>291</v>
      </c>
      <c r="N1627" s="475"/>
      <c r="O1627" s="476">
        <v>0.48194444444444445</v>
      </c>
      <c r="P1627" s="476">
        <v>0.48194444444444445</v>
      </c>
      <c r="Q1627" s="477">
        <v>0.48333333333333334</v>
      </c>
      <c r="R1627" s="472">
        <f>IF(Table6[[#This Row],[Work Start TimeStamp]]="","",(Table6[[#This Row],[Work Start TimeStamp]]-Table6[[#This Row],[Fault Start TimeStamp]])*24)</f>
        <v>0</v>
      </c>
      <c r="S1627" s="472">
        <f>(Table6[[#This Row],[Fault Clearance time]]-Table6[[#This Row],[Work Start TimeStamp]])*24</f>
        <v>3.3333333333333215E-2</v>
      </c>
      <c r="T1627" s="472">
        <f>(Table6[[#This Row],[Fault Clearance time]]-Table6[[#This Row],[Fault Start TimeStamp]])*24</f>
        <v>3.3333333333333215E-2</v>
      </c>
      <c r="U1627" s="35" t="s">
        <v>1924</v>
      </c>
      <c r="V1627" s="102" t="s">
        <v>293</v>
      </c>
      <c r="W1627" s="549">
        <f>IFERROR(Table6[[#This Row],[Breakdown Time]]*Table6[[#This Row],[Plant Equivalent Weightage]],"")</f>
        <v>1.2820512820512771E-3</v>
      </c>
      <c r="X1627" s="473" t="s">
        <v>294</v>
      </c>
      <c r="Y1627" s="474" t="s">
        <v>80</v>
      </c>
      <c r="Z1627" s="102">
        <v>35002</v>
      </c>
      <c r="AA1627" s="468">
        <f>(Table6[[#This Row],[Paired WTG Generation for loss calculation]]/24)*Table6[[#This Row],[Breakdown Time]]</f>
        <v>48.613888888888717</v>
      </c>
      <c r="AB1627" s="102"/>
      <c r="AC1627" s="35"/>
      <c r="AD1627" s="35"/>
    </row>
    <row r="1628" spans="1:30">
      <c r="A1628" s="102">
        <f t="shared" si="26"/>
        <v>1627</v>
      </c>
      <c r="B1628" s="468">
        <f>YEAR(Table6[[#This Row],[Date]])+IF(MONTH(Table6[[#This Row],[Date]])&gt;=4,1,0)</f>
        <v>2026</v>
      </c>
      <c r="C1628" s="675">
        <f>YEAR(Table6[[#This Row],[Date]])</f>
        <v>2025</v>
      </c>
      <c r="D1628" s="102" t="s">
        <v>1992</v>
      </c>
      <c r="E1628" s="469">
        <f>Table6[[#This Row],[Date]]-DAY(Table6[[#This Row],[Date]])+1</f>
        <v>45839</v>
      </c>
      <c r="F1628" s="470">
        <v>45864</v>
      </c>
      <c r="G1628" s="35" t="s">
        <v>77</v>
      </c>
      <c r="H1628" s="676" t="str">
        <f>IFERROR(_xlfn.XLOOKUP(Table6[[#This Row],[Affected WTG]],'Basic Data'!$A:$A,'Basic Data'!$B:$B),"")</f>
        <v>TQGXIIPL</v>
      </c>
      <c r="I1628" s="676" t="str">
        <f>IFERROR(_xlfn.XLOOKUP(Table6[[#This Row],[Affected WTG]],'Basic Data'!$A:$A,'Basic Data'!$C:$C),"")</f>
        <v>GEDA</v>
      </c>
      <c r="J1628" s="471">
        <f>IFERROR(_xlfn.XLOOKUP(Table6[[#This Row],[Affected WTG]],'Basic Data'!$A:$A,'Basic Data'!$E:$E),"")</f>
        <v>3.846153846153845E-2</v>
      </c>
      <c r="K1628" s="102">
        <v>6130</v>
      </c>
      <c r="L1628" s="676" t="str">
        <f>IFERROR(_xlfn.XLOOKUP(Table6[[#This Row],[Error Code]],'Basic Data'!$AA:$AA,'Basic Data'!$AB:$AB),"Incorrect Error Code")</f>
        <v>Yaw speed high</v>
      </c>
      <c r="M1628" s="35" t="s">
        <v>291</v>
      </c>
      <c r="N1628" s="475"/>
      <c r="O1628" s="476">
        <v>0.71388888888888891</v>
      </c>
      <c r="P1628" s="476">
        <v>0.71388888888888891</v>
      </c>
      <c r="Q1628" s="477">
        <v>0.72222222222222221</v>
      </c>
      <c r="R1628" s="472">
        <f>IF(Table6[[#This Row],[Work Start TimeStamp]]="","",(Table6[[#This Row],[Work Start TimeStamp]]-Table6[[#This Row],[Fault Start TimeStamp]])*24)</f>
        <v>0</v>
      </c>
      <c r="S1628" s="472">
        <f>(Table6[[#This Row],[Fault Clearance time]]-Table6[[#This Row],[Work Start TimeStamp]])*24</f>
        <v>0.19999999999999929</v>
      </c>
      <c r="T1628" s="472">
        <f>(Table6[[#This Row],[Fault Clearance time]]-Table6[[#This Row],[Fault Start TimeStamp]])*24</f>
        <v>0.19999999999999929</v>
      </c>
      <c r="U1628" s="35" t="s">
        <v>1924</v>
      </c>
      <c r="V1628" s="102" t="s">
        <v>293</v>
      </c>
      <c r="W1628" s="549">
        <f>IFERROR(Table6[[#This Row],[Breakdown Time]]*Table6[[#This Row],[Plant Equivalent Weightage]],"")</f>
        <v>7.6923076923076624E-3</v>
      </c>
      <c r="X1628" s="473" t="s">
        <v>294</v>
      </c>
      <c r="Y1628" s="474" t="s">
        <v>80</v>
      </c>
      <c r="Z1628" s="102">
        <v>35002</v>
      </c>
      <c r="AA1628" s="468">
        <f>(Table6[[#This Row],[Paired WTG Generation for loss calculation]]/24)*Table6[[#This Row],[Breakdown Time]]</f>
        <v>291.68333333333231</v>
      </c>
      <c r="AB1628" s="102"/>
      <c r="AC1628" s="35"/>
      <c r="AD1628" s="35"/>
    </row>
    <row r="1629" spans="1:30">
      <c r="A1629" s="102">
        <f t="shared" si="26"/>
        <v>1628</v>
      </c>
      <c r="B1629" s="468">
        <f>YEAR(Table6[[#This Row],[Date]])+IF(MONTH(Table6[[#This Row],[Date]])&gt;=4,1,0)</f>
        <v>2026</v>
      </c>
      <c r="C1629" s="675">
        <f>YEAR(Table6[[#This Row],[Date]])</f>
        <v>2025</v>
      </c>
      <c r="D1629" s="102" t="s">
        <v>1992</v>
      </c>
      <c r="E1629" s="469">
        <f>Table6[[#This Row],[Date]]-DAY(Table6[[#This Row],[Date]])+1</f>
        <v>45839</v>
      </c>
      <c r="F1629" s="470">
        <v>45864</v>
      </c>
      <c r="G1629" s="35" t="s">
        <v>85</v>
      </c>
      <c r="H1629" s="676" t="str">
        <f>IFERROR(_xlfn.XLOOKUP(Table6[[#This Row],[Affected WTG]],'Basic Data'!$A:$A,'Basic Data'!$B:$B),"")</f>
        <v>TQGXIIPL</v>
      </c>
      <c r="I1629" s="676" t="str">
        <f>IFERROR(_xlfn.XLOOKUP(Table6[[#This Row],[Affected WTG]],'Basic Data'!$A:$A,'Basic Data'!$C:$C),"")</f>
        <v>GEDA</v>
      </c>
      <c r="J1629" s="471">
        <f>IFERROR(_xlfn.XLOOKUP(Table6[[#This Row],[Affected WTG]],'Basic Data'!$A:$A,'Basic Data'!$E:$E),"")</f>
        <v>3.846153846153845E-2</v>
      </c>
      <c r="K1629" s="102">
        <v>55</v>
      </c>
      <c r="L1629" s="676" t="str">
        <f>IFERROR(_xlfn.XLOOKUP(Table6[[#This Row],[Error Code]],'Basic Data'!$AA:$AA,'Basic Data'!$AB:$AB),"Incorrect Error Code")</f>
        <v>WTG shut down</v>
      </c>
      <c r="M1629" s="35" t="s">
        <v>291</v>
      </c>
      <c r="N1629" s="475"/>
      <c r="O1629" s="476">
        <v>0.47430555555555554</v>
      </c>
      <c r="P1629" s="476">
        <v>0.47430555555555554</v>
      </c>
      <c r="Q1629" s="477">
        <v>0.4826388888888889</v>
      </c>
      <c r="R1629" s="472">
        <f>IF(Table6[[#This Row],[Work Start TimeStamp]]="","",(Table6[[#This Row],[Work Start TimeStamp]]-Table6[[#This Row],[Fault Start TimeStamp]])*24)</f>
        <v>0</v>
      </c>
      <c r="S1629" s="472">
        <f>(Table6[[#This Row],[Fault Clearance time]]-Table6[[#This Row],[Work Start TimeStamp]])*24</f>
        <v>0.20000000000000062</v>
      </c>
      <c r="T1629" s="472">
        <f>(Table6[[#This Row],[Fault Clearance time]]-Table6[[#This Row],[Fault Start TimeStamp]])*24</f>
        <v>0.20000000000000062</v>
      </c>
      <c r="U1629" s="35" t="s">
        <v>2116</v>
      </c>
      <c r="V1629" s="102" t="s">
        <v>293</v>
      </c>
      <c r="W1629" s="549">
        <f>IFERROR(Table6[[#This Row],[Breakdown Time]]*Table6[[#This Row],[Plant Equivalent Weightage]],"")</f>
        <v>7.6923076923077136E-3</v>
      </c>
      <c r="X1629" s="473" t="s">
        <v>290</v>
      </c>
      <c r="Y1629" s="474" t="s">
        <v>77</v>
      </c>
      <c r="Z1629" s="102">
        <v>33848</v>
      </c>
      <c r="AA1629" s="468">
        <f>(Table6[[#This Row],[Paired WTG Generation for loss calculation]]/24)*Table6[[#This Row],[Breakdown Time]]</f>
        <v>282.06666666666752</v>
      </c>
      <c r="AB1629" s="102"/>
      <c r="AC1629" s="35"/>
      <c r="AD1629" s="35"/>
    </row>
  </sheetData>
  <phoneticPr fontId="10" type="noConversion"/>
  <conditionalFormatting sqref="L1:L1629">
    <cfRule type="containsText" dxfId="4" priority="1" operator="containsText" text="Incorrect Error Code">
      <formula>NOT(ISERROR(SEARCH("Incorrect Error Code",L1)))</formula>
    </cfRule>
  </conditionalFormatting>
  <pageMargins left="0.7" right="0.7" top="0.75" bottom="0.75" header="0.3" footer="0.3"/>
  <ignoredErrors>
    <ignoredError sqref="Y1630: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7"/>
  <sheetViews>
    <sheetView zoomScale="80" workbookViewId="0">
      <pane xSplit="6" ySplit="1" topLeftCell="G138" activePane="bottomRight" state="frozen"/>
      <selection pane="topRight" activeCell="G1" sqref="G1"/>
      <selection pane="bottomLeft" activeCell="A2" sqref="A2"/>
      <selection pane="bottomRight" activeCell="K162" sqref="K162"/>
    </sheetView>
  </sheetViews>
  <sheetFormatPr defaultRowHeight="14.4"/>
  <cols>
    <col min="2" max="3" width="12.44140625" customWidth="1"/>
    <col min="4" max="4" width="13" customWidth="1"/>
    <col min="6" max="6" width="11.44140625" customWidth="1"/>
    <col min="7" max="7" width="14.109375" customWidth="1"/>
    <col min="9" max="9" width="9.5546875" customWidth="1"/>
    <col min="10" max="10" width="21.5546875" customWidth="1"/>
    <col min="11" max="11" width="50.5546875" customWidth="1"/>
    <col min="12" max="12" width="18" customWidth="1"/>
    <col min="13" max="13" width="18.44140625" customWidth="1"/>
    <col min="14" max="14" width="16.5546875" customWidth="1"/>
    <col min="15" max="15" width="13.109375" customWidth="1"/>
    <col min="16" max="16" width="13.5546875" customWidth="1"/>
    <col min="17" max="17" width="14.44140625" customWidth="1"/>
    <col min="18" max="18" width="129.44140625" style="494" customWidth="1"/>
    <col min="20" max="20" width="22.44140625" customWidth="1"/>
    <col min="21" max="21" width="28.44140625" customWidth="1"/>
    <col min="22" max="22" width="10" customWidth="1"/>
    <col min="23" max="23" width="12.5546875" customWidth="1"/>
    <col min="24" max="24" width="26" bestFit="1" customWidth="1"/>
    <col min="25" max="25" width="9.5546875" bestFit="1" customWidth="1"/>
    <col min="26" max="26" width="8.5546875" customWidth="1"/>
    <col min="27" max="27" width="11.554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W158:W1048576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4"/>
  <cols>
    <col min="2" max="3" width="12.44140625" customWidth="1"/>
    <col min="4" max="4" width="13" customWidth="1"/>
    <col min="6" max="6" width="9.5546875" bestFit="1" customWidth="1"/>
    <col min="7" max="7" width="14.109375" customWidth="1"/>
    <col min="9" max="9" width="10.5546875" customWidth="1"/>
    <col min="10" max="10" width="21.5546875" customWidth="1"/>
    <col min="11" max="11" width="76.44140625" bestFit="1" customWidth="1"/>
    <col min="12" max="12" width="16.88671875" bestFit="1" customWidth="1"/>
    <col min="13" max="13" width="18" customWidth="1"/>
    <col min="14" max="14" width="18.44140625" customWidth="1"/>
    <col min="15" max="15" width="16.5546875" customWidth="1"/>
    <col min="16" max="16" width="13.109375" customWidth="1"/>
    <col min="17" max="17" width="13.5546875" customWidth="1"/>
    <col min="18" max="18" width="14.44140625" customWidth="1"/>
    <col min="19" max="19" width="112.109375" bestFit="1" customWidth="1"/>
    <col min="21" max="21" width="22.88671875" style="208" customWidth="1"/>
    <col min="22" max="22" width="13.44140625" customWidth="1"/>
    <col min="23" max="23" width="25" customWidth="1"/>
    <col min="24" max="24" width="12.44140625" style="208" customWidth="1"/>
    <col min="25" max="25" width="13.5546875" style="485" customWidth="1"/>
    <col min="26" max="26" width="18.5546875" customWidth="1"/>
    <col min="27" max="27" width="25.5546875" customWidth="1"/>
    <col min="28" max="28" width="8.5546875" customWidth="1"/>
    <col min="29" max="29" width="11.554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4"/>
  <cols>
    <col min="5" max="5" width="10.109375" bestFit="1" customWidth="1"/>
    <col min="6" max="6" width="16.109375" bestFit="1" customWidth="1"/>
    <col min="7" max="7" width="10.109375" bestFit="1" customWidth="1"/>
    <col min="8" max="8" width="10.5546875" bestFit="1" customWidth="1"/>
    <col min="12" max="12" width="14.5546875" customWidth="1"/>
    <col min="13" max="13" width="9.88671875" bestFit="1" customWidth="1"/>
    <col min="14" max="14" width="13" customWidth="1"/>
    <col min="16" max="16" width="11.88671875" customWidth="1"/>
    <col min="17" max="17" width="26.44140625" customWidth="1"/>
  </cols>
  <sheetData>
    <row r="1" spans="1:17">
      <c r="A1" s="658" t="s">
        <v>1865</v>
      </c>
      <c r="B1" s="661" t="s">
        <v>1866</v>
      </c>
      <c r="C1" s="661" t="s">
        <v>1867</v>
      </c>
      <c r="D1" s="661" t="s">
        <v>1868</v>
      </c>
      <c r="E1" s="661" t="s">
        <v>1869</v>
      </c>
      <c r="F1" s="664" t="s">
        <v>1870</v>
      </c>
      <c r="G1" s="645">
        <v>2024</v>
      </c>
      <c r="H1" s="646"/>
      <c r="I1" s="646"/>
      <c r="J1" s="646"/>
      <c r="K1" s="361"/>
      <c r="L1" s="647">
        <v>2025</v>
      </c>
      <c r="M1" s="648"/>
      <c r="N1" s="648"/>
      <c r="O1" s="648"/>
      <c r="P1" s="648"/>
      <c r="Q1" s="649"/>
    </row>
    <row r="2" spans="1:17">
      <c r="A2" s="659"/>
      <c r="B2" s="662"/>
      <c r="C2" s="662"/>
      <c r="D2" s="662"/>
      <c r="E2" s="662"/>
      <c r="F2" s="665"/>
      <c r="G2" s="650" t="s">
        <v>1871</v>
      </c>
      <c r="H2" s="651"/>
      <c r="I2" s="651"/>
      <c r="J2" s="651"/>
      <c r="K2" s="652"/>
      <c r="L2" s="653" t="s">
        <v>1872</v>
      </c>
      <c r="M2" s="654"/>
      <c r="N2" s="654"/>
      <c r="O2" s="654"/>
      <c r="P2" s="654"/>
      <c r="Q2" s="655"/>
    </row>
    <row r="3" spans="1:17">
      <c r="A3" s="660"/>
      <c r="B3" s="663"/>
      <c r="C3" s="663"/>
      <c r="D3" s="663"/>
      <c r="E3" s="663"/>
      <c r="F3" s="666"/>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56"/>
      <c r="B30" s="657"/>
      <c r="C30" s="657"/>
      <c r="D30" s="657"/>
      <c r="E30" s="657"/>
      <c r="F30" s="657"/>
      <c r="G30" s="657"/>
      <c r="H30" s="657"/>
      <c r="I30" s="657"/>
      <c r="J30" s="657"/>
      <c r="K30" s="657"/>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4"/>
  <cols>
    <col min="1" max="1" width="7.109375" bestFit="1" customWidth="1"/>
    <col min="2" max="2" width="10.44140625" bestFit="1" customWidth="1"/>
    <col min="3" max="3" width="23.6640625" bestFit="1" customWidth="1"/>
    <col min="4" max="4" width="23.44140625" bestFit="1" customWidth="1"/>
    <col min="5" max="5" width="14.6640625" bestFit="1" customWidth="1"/>
    <col min="6" max="6" width="19.44140625" bestFit="1" customWidth="1"/>
    <col min="7" max="7" width="14.44140625" bestFit="1" customWidth="1"/>
    <col min="8" max="8" width="18.109375" bestFit="1" customWidth="1"/>
    <col min="9" max="9" width="30.44140625" bestFit="1" customWidth="1"/>
    <col min="10" max="10" width="28.44140625" customWidth="1"/>
    <col min="11" max="11" width="51.6640625" bestFit="1" customWidth="1"/>
  </cols>
  <sheetData>
    <row r="1" spans="1:11" ht="15.6">
      <c r="A1" s="667" t="s">
        <v>2040</v>
      </c>
      <c r="B1" s="667" t="s">
        <v>128</v>
      </c>
      <c r="C1" s="667" t="s">
        <v>2041</v>
      </c>
      <c r="D1" s="667" t="s">
        <v>2042</v>
      </c>
      <c r="E1" s="668" t="s">
        <v>2043</v>
      </c>
      <c r="F1" s="667" t="s">
        <v>2044</v>
      </c>
      <c r="G1" s="667" t="s">
        <v>2045</v>
      </c>
      <c r="H1" s="667" t="s">
        <v>2046</v>
      </c>
      <c r="I1" s="667" t="s">
        <v>2047</v>
      </c>
      <c r="J1" s="565"/>
      <c r="K1" s="667" t="s">
        <v>12</v>
      </c>
    </row>
    <row r="2" spans="1:11" ht="15.6">
      <c r="A2" s="667"/>
      <c r="B2" s="667"/>
      <c r="C2" s="667"/>
      <c r="D2" s="667"/>
      <c r="E2" s="669"/>
      <c r="F2" s="667"/>
      <c r="G2" s="667"/>
      <c r="H2" s="667"/>
      <c r="I2" s="667"/>
      <c r="J2" s="565" t="s">
        <v>2050</v>
      </c>
      <c r="K2" s="667"/>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88671875" defaultRowHeight="14.4"/>
  <cols>
    <col min="1" max="1" width="8.88671875" style="167"/>
    <col min="2" max="2" width="9.88671875" style="167" bestFit="1" customWidth="1"/>
    <col min="3" max="3" width="15.88671875" style="167" customWidth="1"/>
    <col min="4" max="6" width="8.88671875" style="167"/>
    <col min="7" max="7" width="20.44140625" style="167" customWidth="1"/>
    <col min="8" max="8" width="8.88671875" style="167"/>
    <col min="9" max="9" width="9.44140625" style="167" bestFit="1" customWidth="1"/>
    <col min="10" max="14" width="8.88671875" style="167"/>
    <col min="15" max="15" width="9.88671875" style="167" bestFit="1" customWidth="1"/>
    <col min="16" max="16" width="11" style="167" customWidth="1"/>
    <col min="17" max="17" width="15.109375" style="167" customWidth="1"/>
    <col min="18" max="19" width="10.88671875" style="167" customWidth="1"/>
    <col min="20" max="20" width="13" style="167" customWidth="1"/>
    <col min="21" max="25" width="12.88671875" style="167" customWidth="1"/>
    <col min="26" max="27" width="14.44140625" style="167" customWidth="1"/>
    <col min="28" max="29" width="15.44140625" style="167" customWidth="1"/>
    <col min="30" max="38" width="9.88671875" style="167" customWidth="1"/>
    <col min="39" max="39" width="12" style="167" bestFit="1" customWidth="1"/>
    <col min="40" max="41" width="12" style="167" customWidth="1"/>
    <col min="42" max="42" width="27.44140625" style="167" bestFit="1" customWidth="1"/>
    <col min="43" max="16384" width="8.88671875" style="167"/>
  </cols>
  <sheetData>
    <row r="1" spans="1:43" ht="43.2">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26</v>
      </c>
      <c r="R17" s="191"/>
      <c r="S17" s="191"/>
      <c r="T17" s="190">
        <f t="shared" si="0"/>
        <v>963.88316796059144</v>
      </c>
      <c r="U17" s="191">
        <f t="shared" si="1"/>
        <v>25060.962366975378</v>
      </c>
      <c r="V17" s="191">
        <f>SUMIF($F$2:F17,F17,$U$2:U17)</f>
        <v>98212.230400078843</v>
      </c>
      <c r="W17" s="192">
        <f t="shared" si="2"/>
        <v>0.57210539408867012</v>
      </c>
      <c r="X17" s="192">
        <f t="shared" si="3"/>
        <v>0.57210539408867012</v>
      </c>
      <c r="Y17" s="192">
        <f t="shared" si="4"/>
        <v>0.49823170266515099</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98212.230400078843</v>
      </c>
      <c r="W18" s="187">
        <f t="shared" si="2"/>
        <v>0.53165349753694591</v>
      </c>
      <c r="X18" s="187" t="str">
        <f t="shared" si="3"/>
        <v/>
      </c>
      <c r="Y18" s="187">
        <f t="shared" si="4"/>
        <v>0.49823170266515099</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98212.230400078843</v>
      </c>
      <c r="W19" s="192">
        <f t="shared" si="2"/>
        <v>0.31398376847290649</v>
      </c>
      <c r="X19" s="192" t="str">
        <f t="shared" si="3"/>
        <v/>
      </c>
      <c r="Y19" s="192">
        <f t="shared" si="4"/>
        <v>0.49823170266515099</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98212.230400078843</v>
      </c>
      <c r="W20" s="187">
        <f t="shared" si="2"/>
        <v>0.21574344827586206</v>
      </c>
      <c r="X20" s="187" t="str">
        <f t="shared" si="3"/>
        <v/>
      </c>
      <c r="Y20" s="187">
        <f t="shared" si="4"/>
        <v>0.49823170266515099</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98212.230400078843</v>
      </c>
      <c r="W21" s="192">
        <f t="shared" si="2"/>
        <v>0.24078509852216753</v>
      </c>
      <c r="X21" s="192" t="str">
        <f t="shared" si="3"/>
        <v/>
      </c>
      <c r="Y21" s="192">
        <f t="shared" si="4"/>
        <v>0.49823170266515099</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98212.230400078843</v>
      </c>
      <c r="W22" s="187">
        <f t="shared" si="2"/>
        <v>0.34095169950738929</v>
      </c>
      <c r="X22" s="187" t="str">
        <f t="shared" si="3"/>
        <v/>
      </c>
      <c r="Y22" s="187">
        <f t="shared" si="4"/>
        <v>0.49823170266515099</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98212.230400078843</v>
      </c>
      <c r="W23" s="192">
        <f t="shared" si="2"/>
        <v>0.36406706896551722</v>
      </c>
      <c r="X23" s="192" t="str">
        <f t="shared" si="3"/>
        <v/>
      </c>
      <c r="Y23" s="192">
        <f t="shared" si="4"/>
        <v>0.49823170266515099</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98212.230400078843</v>
      </c>
      <c r="W24" s="187">
        <f t="shared" si="2"/>
        <v>0.31013120689655177</v>
      </c>
      <c r="X24" s="187" t="str">
        <f t="shared" si="3"/>
        <v/>
      </c>
      <c r="Y24" s="187">
        <f t="shared" si="4"/>
        <v>0.49823170266515099</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98212.230400078843</v>
      </c>
      <c r="W25" s="192">
        <f t="shared" si="2"/>
        <v>0.3736984729064039</v>
      </c>
      <c r="X25" s="192" t="str">
        <f t="shared" si="3"/>
        <v/>
      </c>
      <c r="Y25" s="192">
        <f t="shared" si="4"/>
        <v>0.49823170266515099</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88671875" defaultRowHeight="14.4"/>
  <cols>
    <col min="2" max="2" width="9.44140625" style="1"/>
    <col min="6" max="6" width="89.44140625" bestFit="1" customWidth="1"/>
    <col min="12" max="12" width="10.44140625" customWidth="1"/>
    <col min="15" max="15" width="11.44140625" customWidth="1"/>
    <col min="16" max="16" width="10.441406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4140625" defaultRowHeight="14.4"/>
  <cols>
    <col min="1" max="1" width="2.44140625" customWidth="1"/>
    <col min="2" max="2" width="10.44140625" bestFit="1" customWidth="1"/>
    <col min="3" max="3" width="10.44140625" style="1" bestFit="1" customWidth="1"/>
    <col min="7" max="7" width="10.44140625" customWidth="1"/>
    <col min="9" max="9" width="11.44140625" bestFit="1" customWidth="1"/>
    <col min="10" max="12" width="8.44140625" style="1"/>
    <col min="16" max="16" width="8.44140625" style="110"/>
    <col min="23" max="23" width="6.44140625" style="1" bestFit="1" customWidth="1"/>
    <col min="24" max="24" width="4.44140625" style="1" customWidth="1"/>
    <col min="25" max="25" width="17.44140625" style="1" bestFit="1" customWidth="1"/>
    <col min="26" max="26" width="18.441406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3.2">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4140625" defaultRowHeight="14.4"/>
  <cols>
    <col min="1" max="1" width="12.44140625" customWidth="1"/>
    <col min="2" max="2" width="11" customWidth="1"/>
    <col min="3" max="3" width="10.44140625" customWidth="1"/>
    <col min="5" max="5" width="23" bestFit="1" customWidth="1"/>
    <col min="6" max="6" width="10.44140625" customWidth="1"/>
    <col min="7" max="7" width="11.44140625" customWidth="1"/>
    <col min="8" max="8" width="10.44140625" customWidth="1"/>
    <col min="10" max="10" width="14" customWidth="1"/>
    <col min="11" max="11" width="11.44140625" style="1" bestFit="1" customWidth="1"/>
    <col min="16" max="16" width="26.44140625" bestFit="1" customWidth="1"/>
    <col min="17" max="17" width="24.44140625" bestFit="1" customWidth="1"/>
    <col min="18" max="18" width="24.109375" bestFit="1" customWidth="1"/>
    <col min="21" max="21" width="74.44140625" bestFit="1" customWidth="1"/>
    <col min="27" max="27" width="9.44140625" bestFit="1" customWidth="1"/>
    <col min="28" max="28" width="52.44140625" bestFit="1" customWidth="1"/>
    <col min="29" max="29" width="6.44140625" bestFit="1" customWidth="1"/>
    <col min="30" max="30" width="22" bestFit="1" customWidth="1"/>
    <col min="32" max="32" width="11" bestFit="1" customWidth="1"/>
    <col min="33" max="33" width="6.44140625" bestFit="1" customWidth="1"/>
    <col min="34" max="34" width="11.44140625" bestFit="1" customWidth="1"/>
    <col min="35" max="35" width="10.44140625" bestFit="1" customWidth="1"/>
    <col min="36" max="36" width="23.441406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70" t="s">
        <v>284</v>
      </c>
      <c r="Q2" s="670"/>
      <c r="R2" s="670"/>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3.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8EAC07A-AAE7-472C-AF09-16DC83D01E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Mukesh Nakum</cp:lastModifiedBy>
  <cp:revision/>
  <dcterms:created xsi:type="dcterms:W3CDTF">2015-06-05T18:17:20Z</dcterms:created>
  <dcterms:modified xsi:type="dcterms:W3CDTF">2025-07-26T23:40:15Z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