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OneDrive_1_22-07-2025\"/>
    </mc:Choice>
  </mc:AlternateContent>
  <xr:revisionPtr revIDLastSave="0" documentId="13_ncr:1_{A90E7CC6-B39F-4A18-9F42-DED586C86BB3}" xr6:coauthVersionLast="47" xr6:coauthVersionMax="47" xr10:uidLastSave="{00000000-0000-0000-0000-000000000000}"/>
  <bookViews>
    <workbookView xWindow="-108" yWindow="-108" windowWidth="23256" windowHeight="12456" activeTab="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6" i="7" l="1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A116" i="7"/>
  <c r="A117" i="7"/>
  <c r="A118" i="7"/>
  <c r="F116" i="7"/>
  <c r="C116" i="7" s="1"/>
  <c r="F117" i="7"/>
  <c r="C117" i="7" s="1"/>
  <c r="F118" i="7"/>
  <c r="C118" i="7" s="1"/>
  <c r="G116" i="7"/>
  <c r="G117" i="7"/>
  <c r="G118" i="7"/>
  <c r="H116" i="7"/>
  <c r="H117" i="7"/>
  <c r="H118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I117" i="6" l="1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AB119" i="6" s="1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Z119" i="6" s="1"/>
  <c r="X119" i="6"/>
  <c r="AA119" i="6"/>
  <c r="I120" i="6"/>
  <c r="J120" i="6"/>
  <c r="K120" i="6"/>
  <c r="L120" i="6"/>
  <c r="AA120" i="6" s="1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AB120" i="6"/>
  <c r="I121" i="6"/>
  <c r="J121" i="6"/>
  <c r="K121" i="6"/>
  <c r="L121" i="6"/>
  <c r="AA121" i="6" s="1"/>
  <c r="M121" i="6"/>
  <c r="AB121" i="6" s="1"/>
  <c r="N121" i="6"/>
  <c r="O121" i="6"/>
  <c r="P121" i="6"/>
  <c r="Q121" i="6"/>
  <c r="R121" i="6"/>
  <c r="S121" i="6"/>
  <c r="T121" i="6"/>
  <c r="U121" i="6"/>
  <c r="V121" i="6"/>
  <c r="W121" i="6"/>
  <c r="X121" i="6"/>
  <c r="Z121" i="6" s="1"/>
  <c r="Y121" i="6"/>
  <c r="I122" i="6"/>
  <c r="J122" i="6"/>
  <c r="AA122" i="6" s="1"/>
  <c r="K122" i="6"/>
  <c r="L122" i="6"/>
  <c r="M122" i="6"/>
  <c r="N122" i="6"/>
  <c r="O122" i="6"/>
  <c r="P122" i="6"/>
  <c r="Q122" i="6"/>
  <c r="R122" i="6"/>
  <c r="S122" i="6"/>
  <c r="T122" i="6"/>
  <c r="U122" i="6"/>
  <c r="V122" i="6"/>
  <c r="Y122" i="6" s="1"/>
  <c r="W122" i="6"/>
  <c r="X122" i="6"/>
  <c r="Z122" i="6"/>
  <c r="I123" i="6"/>
  <c r="J123" i="6"/>
  <c r="AB123" i="6" s="1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Z123" i="6" s="1"/>
  <c r="X123" i="6"/>
  <c r="AA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AC48" i="3" s="1"/>
  <c r="Y48" i="3"/>
  <c r="X48" i="3"/>
  <c r="W48" i="3"/>
  <c r="N48" i="3"/>
  <c r="M48" i="3"/>
  <c r="AE48" i="3" s="1"/>
  <c r="Z47" i="3"/>
  <c r="AC47" i="3" s="1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AC45" i="3" s="1"/>
  <c r="Y45" i="3"/>
  <c r="X45" i="3"/>
  <c r="W45" i="3"/>
  <c r="B45" i="3"/>
  <c r="C45" i="3"/>
  <c r="B46" i="3"/>
  <c r="C46" i="3"/>
  <c r="F46" i="3"/>
  <c r="AE46" i="3" s="1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A118" i="6" l="1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AE44" i="3" l="1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4" i="15" l="1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L114" i="7" l="1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F116" i="15" l="1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F117" i="15" l="1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C118" i="15" l="1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Y104" i="7" l="1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C119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C120" i="15" l="1"/>
  <c r="F120" i="15"/>
  <c r="G120" i="15" s="1"/>
  <c r="H121" i="15"/>
  <c r="F102" i="15"/>
  <c r="G102" i="15" s="1"/>
  <c r="H103" i="15"/>
  <c r="C102" i="15"/>
  <c r="C121" i="15" l="1"/>
  <c r="F121" i="15"/>
  <c r="G121" i="15" s="1"/>
  <c r="H122" i="15"/>
  <c r="F103" i="15"/>
  <c r="G103" i="15" s="1"/>
  <c r="C103" i="15"/>
  <c r="H104" i="15"/>
  <c r="C122" i="15" l="1"/>
  <c r="F122" i="15"/>
  <c r="G122" i="15" s="1"/>
  <c r="H123" i="15"/>
  <c r="F104" i="15"/>
  <c r="G104" i="15" s="1"/>
  <c r="H105" i="15"/>
  <c r="C104" i="15"/>
  <c r="C123" i="15" l="1"/>
  <c r="F123" i="15"/>
  <c r="G123" i="15" s="1"/>
  <c r="F105" i="15"/>
  <c r="G105" i="15" s="1"/>
  <c r="H106" i="15"/>
  <c r="C105" i="15"/>
  <c r="F106" i="15" l="1"/>
  <c r="G106" i="15" s="1"/>
  <c r="C106" i="15"/>
  <c r="W98" i="14" l="1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AI119" i="1"/>
  <c r="AL119" i="1"/>
  <c r="AM119" i="1"/>
  <c r="H120" i="1"/>
  <c r="AI120" i="1"/>
  <c r="AL120" i="1"/>
  <c r="AM120" i="1"/>
  <c r="H121" i="1"/>
  <c r="AI121" i="1"/>
  <c r="AL121" i="1"/>
  <c r="AM121" i="1"/>
  <c r="H122" i="1"/>
  <c r="AI122" i="1"/>
  <c r="AL122" i="1"/>
  <c r="AM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L94" i="1" l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AL82" i="1" l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AD90" i="7" l="1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K78" i="7" l="1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B35" i="16" l="1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AL69" i="1" l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AL68" i="1" l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7" i="7"/>
  <c r="G71" i="7"/>
  <c r="G72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75" i="7" l="1"/>
  <c r="G64" i="7"/>
  <c r="G63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AE40" i="3" l="1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G87" i="7" l="1"/>
  <c r="C87" i="7"/>
  <c r="A88" i="7"/>
  <c r="F88" i="7"/>
  <c r="H89" i="7"/>
  <c r="W57" i="14"/>
  <c r="C88" i="7" l="1"/>
  <c r="G88" i="7"/>
  <c r="F89" i="7"/>
  <c r="H90" i="7"/>
  <c r="A89" i="7"/>
  <c r="AI58" i="1"/>
  <c r="AJ58" i="1"/>
  <c r="AK58" i="1"/>
  <c r="AM58" i="1"/>
  <c r="AI57" i="1"/>
  <c r="AJ57" i="1"/>
  <c r="AK57" i="1"/>
  <c r="AM57" i="1"/>
  <c r="AL57" i="1" l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AB15" i="11" l="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G91" i="7" l="1"/>
  <c r="C91" i="7"/>
  <c r="A92" i="7"/>
  <c r="F92" i="7"/>
  <c r="H93" i="7"/>
  <c r="AB14" i="11"/>
  <c r="C92" i="7" l="1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AL51" i="1" l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Y58" i="6" l="1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T51" i="7" l="1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C96" i="7" l="1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AL46" i="1" l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AD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H115" i="7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A115" i="7" l="1"/>
  <c r="F115" i="7"/>
  <c r="G114" i="7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G115" i="7" l="1"/>
  <c r="C115" i="7"/>
  <c r="C26" i="13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3" i="11"/>
  <c r="AB43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D24" i="13" s="1"/>
  <c r="E22" i="17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D12" i="13" l="1"/>
  <c r="O116" i="19"/>
  <c r="D21" i="13" s="1"/>
  <c r="E21" i="17" s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<sst xmlns="http://schemas.openxmlformats.org/spreadsheetml/2006/main" count="3746" uniqueCount="1118">
  <si>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</si>
  <si>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</si>
  <si>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</si>
  <si>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</si>
  <si>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</si>
  <si>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</si>
  <si>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</si>
  <si>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</si>
  <si>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</si>
  <si>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</si>
  <si>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</si>
  <si>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</si>
  <si>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</si>
  <si>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</si>
  <si>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</si>
  <si>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</si>
  <si>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</si>
  <si>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</si>
  <si>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</si>
  <si>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</si>
  <si>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</si>
  <si>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</si>
  <si>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</si>
  <si>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</si>
  <si>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</si>
  <si>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</si>
  <si>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</si>
  <si>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</si>
  <si>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</si>
  <si>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</si>
  <si>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</si>
  <si>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</si>
  <si>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</si>
  <si>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</si>
  <si>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</si>
  <si>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</si>
  <si>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</si>
  <si>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</si>
  <si>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</si>
  <si>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</si>
  <si>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</si>
  <si>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</si>
  <si>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</si>
  <si>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</si>
  <si>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</si>
  <si>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</si>
  <si>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</si>
  <si>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</si>
  <si>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</si>
  <si>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</si>
  <si>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</si>
  <si>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</si>
  <si>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</si>
  <si>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</si>
  <si>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</si>
  <si>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</si>
  <si>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</si>
  <si>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</si>
  <si>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</si>
  <si>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</si>
  <si>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</si>
  <si>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</si>
  <si>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</si>
  <si>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</si>
  <si>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</si>
  <si>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</si>
  <si>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</si>
  <si>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</si>
  <si>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</si>
  <si>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</si>
  <si>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</si>
  <si>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</si>
  <si>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</si>
  <si>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</si>
  <si>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</si>
  <si>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</si>
  <si>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</si>
  <si>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</si>
  <si>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</si>
  <si>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</si>
  <si>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</si>
  <si>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</si>
  <si>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</si>
  <si>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</si>
  <si>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</si>
  <si>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</si>
  <si>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</si>
  <si>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</si>
  <si>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</si>
  <si>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</si>
  <si>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</si>
  <si>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</si>
  <si>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</si>
  <si>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</si>
  <si>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</si>
  <si>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</si>
  <si>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</si>
  <si>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</si>
  <si>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</si>
  <si>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</si>
  <si>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</si>
  <si>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</si>
  <si>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</si>
  <si>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</si>
  <si>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</si>
  <si>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</si>
  <si>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</si>
  <si>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</si>
  <si>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</si>
  <si>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</si>
  <si>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</si>
  <si>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</si>
  <si>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</si>
  <si>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</si>
  <si>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</si>
  <si>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</si>
  <si>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</si>
  <si>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</si>
  <si>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</si>
  <si>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</si>
  <si>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</si>
  <si>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</si>
  <si>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</si>
  <si>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</si>
  <si>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</si>
  <si>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</si>
  <si>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</si>
  <si>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</si>
  <si>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</si>
  <si>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</si>
  <si>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</si>
  <si>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</si>
  <si>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</si>
  <si>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</si>
  <si>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</si>
  <si>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</si>
  <si>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</si>
  <si>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</si>
  <si>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</si>
  <si>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</si>
  <si>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</si>
  <si>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</si>
  <si>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</si>
  <si>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</si>
  <si>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</si>
  <si>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</si>
  <si>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</si>
  <si>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</si>
  <si>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</si>
  <si>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</si>
  <si>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</si>
  <si>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</si>
  <si>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</si>
  <si>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</si>
  <si>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</si>
  <si>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</si>
  <si>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</si>
  <si>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</si>
  <si>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</si>
  <si>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</si>
  <si>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</si>
  <si>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</si>
  <si>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</si>
  <si>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</si>
  <si>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</si>
  <si>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</si>
  <si>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</si>
  <si>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</si>
  <si>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</si>
  <si>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</si>
  <si>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</si>
  <si>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</si>
  <si>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</si>
  <si>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</si>
  <si>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</si>
  <si>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</si>
  <si>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</si>
  <si>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</si>
  <si>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</si>
  <si>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</si>
  <si>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</si>
  <si>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</si>
  <si>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</si>
  <si>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</si>
  <si>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</si>
  <si>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</si>
  <si>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</si>
  <si>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</si>
  <si>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</si>
  <si>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</si>
  <si>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</si>
  <si>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</si>
  <si>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</si>
  <si>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</si>
  <si>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</si>
  <si>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</si>
  <si>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</si>
  <si>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</si>
  <si>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</si>
  <si>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</si>
  <si>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</si>
  <si>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</si>
  <si>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</si>
  <si>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</si>
  <si>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</si>
  <si>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</si>
  <si>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</si>
  <si>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</si>
  <si>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</si>
  <si>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</si>
  <si>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</si>
  <si>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</si>
  <si>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</si>
  <si>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</si>
  <si>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</si>
  <si>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</si>
  <si>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</si>
  <si>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</si>
  <si>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</si>
  <si>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</si>
  <si>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</si>
  <si>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</si>
  <si>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</si>
  <si>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</si>
  <si>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</si>
  <si>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</si>
  <si>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</si>
  <si>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</si>
  <si>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</si>
  <si>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</si>
  <si>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</si>
  <si>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</si>
  <si>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</si>
  <si>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</si>
  <si>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</si>
  <si>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</si>
  <si>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</si>
  <si>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</si>
  <si>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</si>
  <si>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</si>
  <si>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</si>
  <si>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</si>
  <si>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</si>
  <si>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</si>
  <si>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</si>
  <si>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</si>
  <si>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</si>
  <si>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</si>
  <si>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</si>
  <si>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</si>
  <si>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</si>
  <si>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</si>
  <si>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</si>
  <si>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</si>
  <si>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</si>
  <si>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</si>
  <si>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</si>
  <si>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</si>
  <si>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</si>
  <si>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</si>
  <si>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</si>
  <si>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</si>
  <si>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</si>
  <si>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</si>
  <si>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</si>
  <si>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</si>
  <si>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</si>
  <si>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</si>
  <si>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</si>
  <si>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</si>
  <si>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</si>
  <si>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</si>
  <si>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</si>
  <si>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</si>
  <si>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</si>
  <si>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</si>
  <si>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</si>
  <si>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</si>
  <si>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</si>
  <si>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</si>
  <si>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</si>
  <si>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</si>
  <si>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</si>
  <si>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</si>
  <si>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</si>
  <si>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</si>
  <si>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</si>
  <si>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</si>
  <si>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</si>
  <si>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</si>
  <si>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</si>
  <si>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</si>
  <si>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</si>
  <si>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</si>
  <si>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</si>
  <si>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</si>
  <si>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</si>
  <si>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</si>
  <si>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</si>
  <si>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</si>
  <si>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</si>
  <si>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</si>
  <si>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</si>
  <si>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</si>
  <si>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</si>
  <si>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</si>
  <si>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</si>
  <si>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</si>
  <si>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</si>
  <si>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</si>
  <si>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</si>
  <si>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</si>
  <si>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</si>
  <si>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</si>
  <si>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</si>
  <si>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</si>
  <si>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</si>
  <si>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</si>
  <si>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</si>
  <si>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</si>
  <si>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</si>
  <si>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</si>
  <si>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</si>
  <si>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</si>
  <si>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</si>
  <si>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</si>
  <si>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</si>
  <si>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</si>
  <si>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</si>
  <si>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</si>
  <si>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</si>
  <si>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</si>
  <si>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</si>
  <si>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</si>
  <si>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</si>
  <si>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</si>
  <si>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</si>
  <si>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</si>
  <si>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</si>
  <si>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</si>
  <si>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</si>
  <si>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</si>
  <si>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</si>
  <si>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</si>
  <si>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</si>
  <si>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</si>
  <si>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</si>
  <si>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</si>
  <si>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</si>
  <si>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</si>
  <si>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</si>
  <si>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</si>
  <si>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</si>
  <si>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</si>
  <si>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</si>
  <si>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</si>
  <si>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</si>
  <si>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</si>
  <si>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</si>
  <si>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</si>
  <si>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</si>
  <si>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</si>
  <si>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</si>
  <si>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</si>
  <si>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</si>
  <si>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</si>
  <si>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</si>
  <si>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</si>
  <si>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</si>
  <si>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</si>
  <si>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</si>
  <si>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</si>
  <si>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</si>
  <si>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</si>
  <si>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</si>
  <si>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</si>
  <si>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</si>
  <si>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</si>
  <si>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</si>
  <si>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</si>
  <si>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</si>
  <si>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</si>
  <si>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</si>
  <si>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</si>
  <si>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</si>
  <si>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</si>
  <si>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</si>
  <si>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</si>
  <si>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</si>
  <si>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</si>
  <si>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</si>
  <si>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</si>
  <si>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</si>
  <si>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</si>
  <si>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</si>
  <si>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</si>
  <si>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</si>
  <si>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</si>
  <si>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</si>
  <si>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</si>
  <si>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</si>
  <si>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</si>
  <si>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</si>
  <si>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</si>
  <si>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</si>
  <si>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</si>
  <si>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</si>
  <si>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</si>
  <si>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</si>
  <si>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</si>
  <si>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</si>
  <si>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</si>
  <si>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</si>
  <si>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</si>
  <si>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</si>
  <si>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</si>
  <si>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</si>
  <si>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</si>
  <si>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</si>
  <si>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</si>
  <si>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</si>
  <si>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</si>
  <si>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</si>
  <si>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</si>
  <si>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</si>
  <si>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</si>
  <si>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</si>
  <si>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</si>
  <si>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</si>
  <si>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</si>
  <si>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</si>
  <si>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</si>
  <si>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</si>
  <si>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</si>
  <si>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</si>
  <si>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</si>
  <si>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</si>
  <si>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</si>
  <si>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</si>
  <si>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</si>
  <si>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</si>
  <si>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</si>
  <si>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</si>
  <si>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</si>
  <si>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</si>
  <si>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</si>
  <si>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</si>
  <si>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</si>
  <si>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</si>
  <si>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</si>
  <si>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</si>
  <si>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</si>
  <si>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</si>
  <si>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</si>
  <si>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</si>
  <si>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</si>
  <si>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</si>
  <si>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</si>
  <si>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</si>
  <si>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</si>
  <si>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</si>
  <si>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</si>
  <si>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</si>
  <si>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</si>
  <si>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</si>
  <si>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</si>
  <si>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</si>
  <si>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</si>
  <si>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</si>
  <si>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</si>
  <si>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</si>
  <si>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</si>
  <si>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</si>
  <si>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</si>
  <si>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</si>
  <si>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</si>
  <si>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</si>
  <si>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</si>
  <si>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</si>
  <si>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</si>
  <si>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</si>
  <si>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</si>
  <si>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</si>
  <si>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</si>
  <si>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</si>
  <si>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</si>
  <si>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</si>
  <si>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</si>
  <si>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</si>
  <si>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</si>
  <si>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</si>
  <si>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</si>
  <si>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</si>
  <si>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</si>
  <si>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</si>
  <si>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</si>
  <si>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</si>
  <si>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</si>
  <si>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</si>
  <si>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</si>
  <si>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</si>
  <si>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</si>
  <si>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</si>
  <si>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</si>
  <si>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</si>
  <si>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</si>
  <si>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</si>
  <si>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</si>
  <si>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</si>
  <si>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</si>
  <si>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</si>
  <si>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</si>
  <si>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</si>
  <si>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</si>
  <si>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</si>
  <si>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</si>
  <si>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</si>
  <si>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</si>
  <si>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</si>
  <si>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</si>
  <si>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</si>
  <si>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</si>
  <si>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</si>
  <si>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</si>
  <si>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</si>
  <si>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</si>
  <si>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</si>
  <si>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</si>
  <si>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</si>
  <si>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</si>
  <si>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</si>
  <si>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</si>
  <si>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</si>
  <si>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</si>
  <si>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</si>
  <si>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</si>
  <si>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</si>
  <si>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</si>
  <si>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</si>
  <si>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</si>
  <si>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</si>
  <si>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</si>
  <si>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</si>
  <si>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</si>
  <si>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</si>
  <si>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</si>
  <si>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</si>
  <si>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</si>
  <si>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</si>
  <si>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</si>
  <si>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</si>
  <si>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</si>
  <si>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</si>
  <si>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</si>
  <si>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</si>
  <si>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</si>
  <si>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</si>
  <si>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</si>
  <si>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</si>
  <si>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</si>
  <si>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</si>
  <si>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</si>
  <si>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</si>
  <si>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</si>
  <si>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</si>
  <si>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</si>
  <si>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</si>
  <si>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</si>
  <si>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</si>
  <si>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</si>
  <si>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</si>
  <si>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</si>
  <si>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</si>
  <si>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</si>
  <si>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</si>
  <si>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</si>
  <si>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</si>
  <si>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</si>
  <si>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</si>
  <si>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</si>
  <si>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</si>
  <si>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</si>
  <si>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</si>
  <si>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</si>
  <si>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</si>
  <si>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</si>
  <si>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</si>
  <si>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</si>
  <si>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</si>
  <si>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</si>
  <si>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</si>
  <si>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</si>
  <si>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</si>
  <si>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</si>
  <si>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</si>
  <si>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</si>
  <si>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</si>
  <si>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</si>
  <si>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</si>
  <si>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</si>
  <si>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</si>
  <si>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</si>
  <si>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</si>
  <si>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</si>
  <si>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</si>
  <si>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</si>
  <si>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</si>
  <si>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</si>
  <si>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</si>
  <si>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</si>
  <si>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</si>
  <si>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</si>
  <si>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</si>
  <si>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</si>
  <si>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</si>
  <si>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</si>
  <si>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</si>
  <si>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</si>
  <si>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</si>
  <si>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</si>
  <si>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</si>
  <si>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</si>
  <si>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</si>
  <si>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</si>
  <si>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</si>
  <si>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</si>
  <si>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</si>
  <si>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</si>
  <si>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</si>
  <si>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</si>
  <si>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</si>
  <si>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</si>
  <si>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</si>
  <si>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</si>
  <si>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</si>
  <si>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</si>
  <si>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</si>
  <si>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</si>
  <si>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</si>
  <si>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</si>
  <si>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</si>
  <si>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</si>
  <si>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</si>
  <si>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</si>
  <si>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</si>
  <si>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</si>
  <si>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</si>
  <si>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</si>
  <si>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</si>
  <si>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</si>
  <si>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</si>
  <si>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</si>
  <si>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</si>
  <si>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</si>
  <si>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</si>
  <si>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</si>
  <si>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</si>
  <si>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</si>
  <si>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</si>
  <si>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</si>
  <si>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</si>
  <si>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</si>
  <si>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</si>
  <si>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</si>
  <si>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</si>
  <si>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</si>
  <si>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</si>
  <si>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</si>
  <si>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</si>
  <si>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</si>
  <si>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</si>
  <si>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</si>
  <si>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</si>
  <si>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</si>
  <si>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</si>
  <si>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</si>
  <si>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</si>
  <si>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</si>
  <si>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</si>
  <si>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</si>
  <si>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</si>
  <si>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</si>
  <si>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</si>
  <si>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</si>
  <si>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</si>
  <si>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</si>
  <si>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</si>
  <si>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</si>
  <si>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</si>
  <si>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</si>
  <si>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</si>
  <si>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</si>
  <si>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</si>
  <si>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</si>
  <si>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</si>
  <si>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</si>
  <si>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</si>
  <si>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</si>
  <si>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</si>
  <si>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</si>
  <si>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</si>
  <si>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</si>
  <si>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</si>
  <si>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</si>
  <si>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</si>
  <si>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</si>
  <si>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</si>
  <si>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</si>
  <si>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</si>
  <si>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</si>
  <si>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</si>
  <si>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</si>
  <si>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</si>
  <si>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</si>
  <si>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</si>
  <si>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</si>
  <si>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</si>
  <si>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</si>
  <si>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</si>
  <si>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</si>
  <si>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</si>
  <si>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</si>
  <si>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</si>
  <si>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</si>
  <si>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</si>
  <si>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</si>
  <si>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</si>
  <si>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</si>
  <si>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</si>
  <si>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</si>
  <si>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</si>
  <si>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</si>
  <si>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</si>
  <si>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</si>
  <si>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</si>
  <si>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</si>
  <si>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</si>
  <si>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</si>
  <si>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</si>
  <si>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</si>
  <si>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</si>
  <si>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</si>
  <si>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</si>
  <si>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</si>
  <si>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</si>
  <si>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</si>
  <si>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</si>
  <si>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</si>
  <si>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</si>
  <si>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</si>
  <si>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</si>
  <si>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</si>
  <si>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</si>
  <si>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</si>
  <si>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</si>
  <si>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</si>
  <si>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</si>
  <si>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</si>
  <si>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</si>
  <si>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</si>
  <si>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</si>
  <si>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</si>
  <si>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</si>
  <si>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</si>
  <si>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</si>
  <si>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</si>
  <si>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</si>
  <si>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</si>
  <si>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</si>
  <si>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</si>
  <si>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</si>
  <si>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</si>
  <si>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</si>
  <si>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</si>
  <si>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</si>
  <si>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</si>
  <si>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</si>
  <si>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</si>
  <si>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</si>
  <si>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</si>
  <si>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</si>
  <si>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</si>
  <si>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</si>
  <si>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</si>
  <si>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</si>
  <si>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</si>
  <si>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</si>
  <si>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</si>
  <si>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</si>
  <si>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</si>
  <si>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</si>
  <si>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</si>
  <si>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</si>
  <si>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</si>
  <si>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</si>
  <si>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</si>
  <si>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</si>
  <si>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</si>
  <si>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</si>
  <si>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</si>
  <si>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</si>
  <si>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</si>
  <si>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</si>
  <si>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</si>
  <si>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</si>
  <si>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</si>
  <si>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</si>
  <si>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</si>
  <si>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</si>
  <si>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</si>
  <si>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</si>
  <si>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</si>
  <si>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</si>
  <si>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</si>
  <si>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</si>
  <si>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</si>
  <si>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</si>
  <si>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</si>
  <si>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</si>
  <si>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</si>
  <si>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</si>
  <si>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</si>
  <si>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</si>
  <si>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</si>
  <si>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</si>
  <si>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</si>
  <si>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</si>
  <si>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</si>
  <si>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</si>
  <si>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</si>
  <si>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</si>
  <si>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</si>
  <si>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</si>
  <si>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</si>
  <si>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</si>
  <si>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</si>
  <si>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</si>
  <si>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</si>
  <si>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</si>
  <si>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</si>
  <si>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</si>
  <si>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</si>
  <si>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</si>
  <si>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</si>
  <si>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</si>
  <si>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</si>
  <si>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</si>
  <si>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</si>
  <si>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</si>
  <si>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</si>
  <si>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</si>
  <si>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</si>
  <si>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</si>
  <si>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</si>
  <si>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</si>
  <si>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</si>
  <si>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</si>
  <si>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</si>
  <si>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</si>
  <si>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</si>
  <si>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</si>
  <si>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</si>
  <si>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</si>
  <si>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</si>
  <si>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</si>
  <si>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</si>
  <si>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</si>
  <si>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</si>
  <si>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</si>
  <si>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</si>
  <si>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</si>
  <si>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</si>
  <si>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</si>
  <si>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</si>
  <si>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</si>
  <si>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</si>
  <si>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</si>
  <si>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</si>
  <si>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</si>
  <si>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</si>
  <si>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</si>
  <si>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</si>
  <si>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</si>
  <si>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</si>
  <si>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</si>
  <si>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</si>
  <si>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</si>
  <si>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</si>
  <si>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</si>
  <si>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</si>
  <si>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</si>
  <si>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</si>
  <si>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</si>
  <si>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</si>
  <si>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</si>
  <si>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</si>
  <si>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</si>
  <si>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</si>
  <si>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</si>
  <si>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</si>
  <si>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</si>
  <si>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</si>
  <si>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</si>
  <si>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</si>
  <si>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</si>
  <si>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</si>
  <si>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</si>
  <si>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</si>
  <si>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</si>
  <si>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</si>
  <si>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</si>
  <si>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</si>
  <si>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</si>
  <si>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</si>
  <si>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</si>
  <si>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</si>
  <si>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</si>
  <si>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</si>
  <si>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</si>
  <si>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</si>
  <si>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</si>
  <si>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</si>
  <si>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</si>
  <si>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</si>
  <si>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</si>
  <si>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</si>
  <si>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</si>
  <si>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</si>
  <si>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</si>
  <si>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</si>
  <si>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</si>
  <si>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</si>
  <si>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</si>
  <si>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</si>
  <si>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</si>
  <si>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</si>
  <si>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</si>
  <si>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</si>
  <si>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</si>
  <si>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</si>
  <si>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</si>
  <si>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</si>
  <si>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</si>
  <si>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</si>
  <si>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</si>
  <si>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</si>
  <si>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</si>
  <si>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</si>
  <si>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</si>
  <si>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</si>
  <si>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</si>
  <si>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</si>
  <si>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</si>
  <si>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</si>
  <si>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</si>
  <si>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</si>
  <si>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</si>
  <si>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</si>
  <si>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</si>
  <si>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</si>
  <si>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</si>
  <si>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</si>
  <si>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</si>
  <si>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</si>
  <si>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</si>
  <si>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</si>
  <si>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</si>
  <si>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</si>
  <si>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</si>
  <si>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</si>
  <si>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</si>
  <si>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</si>
  <si>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</si>
  <si>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</si>
  <si>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</si>
  <si>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</si>
  <si>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</si>
  <si>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</si>
  <si>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</si>
  <si>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</si>
  <si>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</si>
  <si>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</si>
  <si>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</si>
  <si>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</si>
  <si>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</si>
  <si>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</si>
  <si>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</si>
  <si>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</si>
  <si>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</si>
  <si>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</si>
  <si>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</si>
  <si>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</si>
  <si>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</si>
  <si>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</si>
  <si>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</si>
  <si>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</si>
  <si>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</si>
  <si>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</si>
  <si>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</si>
  <si>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</si>
  <si>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</si>
  <si>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</si>
  <si>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</si>
  <si>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</si>
  <si>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</si>
  <si>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</si>
  <si>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</si>
  <si>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</si>
  <si>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</si>
  <si>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</si>
  <si>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</si>
  <si>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</si>
  <si>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</si>
  <si>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</si>
  <si>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</si>
  <si>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</si>
  <si>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</si>
  <si>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</si>
  <si>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</si>
  <si>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</si>
  <si>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</si>
  <si>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</si>
  <si>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</si>
  <si>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</si>
  <si>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</si>
  <si>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</si>
  <si>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</si>
  <si>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</si>
  <si>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</si>
  <si>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</si>
  <si>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</si>
  <si>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</si>
  <si>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</si>
  <si>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</si>
  <si>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</si>
  <si>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</si>
  <si>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</si>
  <si>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</si>
  <si>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</si>
  <si>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</si>
  <si>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</si>
  <si>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</si>
  <si>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</si>
  <si>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</si>
  <si>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</si>
  <si>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</si>
  <si>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</si>
  <si>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</si>
  <si>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</si>
  <si>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</si>
  <si>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</si>
  <si>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</si>
  <si>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</si>
  <si>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</si>
  <si>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</si>
  <si>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</si>
  <si>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</si>
  <si>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</si>
  <si>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</si>
  <si>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</si>
  <si>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</si>
  <si>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</si>
  <si>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</si>
  <si>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</si>
  <si>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</si>
  <si>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</si>
  <si>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</si>
  <si>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</si>
  <si>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</si>
  <si>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</si>
  <si>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</si>
  <si>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</si>
  <si>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</si>
  <si>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</si>
  <si>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</si>
  <si>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</si>
  <si>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</si>
  <si>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</si>
  <si>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</si>
  <si>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</si>
  <si>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</si>
  <si>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</si>
  <si>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</si>
  <si>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</si>
  <si>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</si>
  <si>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</si>
  <si>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</si>
  <si>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</si>
  <si>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</si>
  <si>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</si>
  <si>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</si>
  <si>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</si>
  <si>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</si>
  <si>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</si>
  <si>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</si>
  <si>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</si>
  <si>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</si>
  <si>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</si>
  <si>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</si>
  <si>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</si>
  <si>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</si>
  <si>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</si>
  <si>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</si>
  <si>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</si>
  <si>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</si>
  <si>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</si>
  <si>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</si>
  <si>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</si>
  <si>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</si>
  <si>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</si>
  <si>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</si>
  <si>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</si>
  <si>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</si>
  <si>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</si>
  <si>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</si>
  <si>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</si>
  <si>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Inv_CB8</t>
  </si>
  <si>
    <t>Inv_CB11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</si>
</sst>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NumberFormat="1" applyFont="1" applyFill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 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>
      <calculatedColumnFormula>IFERROR(T2/(24*N2),"")</calculatedColumnFormula>
    </tableColumn>
    <tableColumn id="37" xr3:uid="{86A95442-92E4-4B24-8A27-110615C9B34D}" name="Bugt CUF (%) MTD" dataDxfId="191">
      <calculatedColumnFormula>IFERROR(U2/(24*N2*Q2),"")</calculatedColumnFormula>
    </tableColumn>
    <tableColumn id="36" xr3:uid="{D69BFE67-8866-4F68-9EF2-3EE1AC2A05F1}" name="Bugt CUF (%)YTD" dataDxfId="190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/>
    <tableColumn id="26" xr3:uid="{F6B2DB2E-61B0-4CF1-92A4-31E4582651BB}" name="Bugt MA" dataDxfId="181"/>
    <tableColumn id="30" xr3:uid="{77C9BD3C-053A-46D2-A8AC-9738FDB77E0D}" name="Bugt IGA" dataDxfId="180"/>
    <tableColumn id="32" xr3:uid="{BD889FE4-B633-4329-BA30-E07317AF02B5}" name="Corelation" dataDxfId="179"/>
    <tableColumn id="33" xr3:uid="{1335AACD-1966-4902-8BC4-EFF32020B54B}" name="Bugt Line loss" dataDxfId="178"/>
    <tableColumn id="34" xr3:uid="{C199691B-8B24-49AD-A975-5EEEB6E31527}" name="Bugt Reactive Power" dataDxfId="177"/>
    <tableColumn id="39" xr3:uid="{6905C8EF-EDEE-4947-9859-D099FD2EFF0C}" name="Bugt Capacity" dataDxfId="176"/>
    <tableColumn id="40" xr3:uid="{0F8D3801-B25E-442E-BE52-FF0C12B41C1F}" name="CC*Bugt" dataDxfId="175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18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48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6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F13" sqref="F13"/>
    </sheetView>
  </sheetViews>
  <sheetFormatPr defaultColWidth="8.5546875" defaultRowHeight="14.4" x14ac:dyDescent="0.3"/>
  <cols>
    <col min="1" max="1" width="14.44140625" style="36" customWidth="1"/>
    <col min="2" max="2" width="17.44140625" style="36" bestFit="1" customWidth="1"/>
    <col min="3" max="5" width="13.88671875" style="36" customWidth="1"/>
    <col min="6" max="6" width="57.109375" style="36" customWidth="1"/>
    <col min="7" max="16384" width="8.5546875" style="36"/>
  </cols>
  <sheetData>
    <row r="1" spans="1:6" ht="15.6" x14ac:dyDescent="0.3">
      <c r="A1" s="239" t="s">
        <v>0</v>
      </c>
      <c r="B1" s="240"/>
      <c r="C1" s="240"/>
      <c r="D1" s="240"/>
      <c r="E1" s="240"/>
      <c r="F1" s="241"/>
    </row>
    <row r="2" spans="1:6" x14ac:dyDescent="0.3">
      <c r="A2" s="93" t="s">
        <v>1</v>
      </c>
      <c r="B2" s="242">
        <v>45839</v>
      </c>
      <c r="C2" s="242"/>
      <c r="D2" s="242"/>
      <c r="E2" s="242"/>
      <c r="F2" s="243"/>
    </row>
    <row r="3" spans="1:6" x14ac:dyDescent="0.3">
      <c r="A3" s="93" t="s">
        <v>2</v>
      </c>
      <c r="B3" s="244">
        <v>45859</v>
      </c>
      <c r="C3" s="244"/>
      <c r="D3" s="244"/>
      <c r="E3" s="244"/>
      <c r="F3" s="245"/>
    </row>
    <row r="4" spans="1:6" x14ac:dyDescent="0.3">
      <c r="A4" s="93" t="s">
        <v>3</v>
      </c>
      <c r="B4" s="246" t="s">
        <v>4</v>
      </c>
      <c r="C4" s="246"/>
      <c r="D4" s="246"/>
      <c r="E4" s="246"/>
      <c r="F4" s="247"/>
    </row>
    <row r="5" spans="1:6" x14ac:dyDescent="0.3">
      <c r="A5" s="93" t="s">
        <v>5</v>
      </c>
      <c r="B5" s="248">
        <v>45748</v>
      </c>
      <c r="C5" s="248"/>
      <c r="D5" s="248"/>
      <c r="E5" s="248"/>
      <c r="F5" s="249"/>
    </row>
    <row r="6" spans="1:6" ht="15" thickBot="1" x14ac:dyDescent="0.35">
      <c r="A6" s="94" t="s">
        <v>6</v>
      </c>
      <c r="B6" s="237">
        <v>46112</v>
      </c>
      <c r="C6" s="237"/>
      <c r="D6" s="237"/>
      <c r="E6" s="237"/>
      <c r="F6" s="238"/>
    </row>
    <row r="7" spans="1:6" ht="4.5" customHeight="1" thickBot="1" x14ac:dyDescent="0.35">
      <c r="A7" s="37"/>
      <c r="B7" s="38"/>
      <c r="C7" s="38"/>
      <c r="D7" s="38"/>
      <c r="E7" s="38"/>
      <c r="F7" s="38"/>
    </row>
    <row r="8" spans="1:6" ht="15" thickBot="1" x14ac:dyDescent="0.35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3">
      <c r="A9" s="234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20.400000000000361</v>
      </c>
      <c r="E9" s="153">
        <f>-(C9-D9)/C9</f>
        <v>5.1728889215136272E-3</v>
      </c>
      <c r="F9" s="171"/>
    </row>
    <row r="10" spans="1:6" x14ac:dyDescent="0.3">
      <c r="A10" s="235"/>
      <c r="B10" s="90" t="s">
        <v>14</v>
      </c>
      <c r="C10" s="183">
        <f>_xlfn.XLOOKUP($B$2,'Modelling New'!$D:$D,'Modelling New'!U:U)</f>
        <v>426.19533885325285</v>
      </c>
      <c r="D10" s="184">
        <f>'Monthly KPI'!$F$4</f>
        <v>498.39999999999981</v>
      </c>
      <c r="E10" s="154">
        <f t="shared" ref="E10:E11" si="0">-(C10-D10)/C10</f>
        <v>0.169416825019779</v>
      </c>
      <c r="F10" s="172"/>
    </row>
    <row r="11" spans="1:6" ht="15" thickBot="1" x14ac:dyDescent="0.35">
      <c r="A11" s="236"/>
      <c r="B11" s="92" t="s">
        <v>15</v>
      </c>
      <c r="C11" s="183">
        <f>_xlfn.XLOOKUP($B$2,'Modelling New'!$D:$D,'Modelling New'!V:V)</f>
        <v>2954.7222083529123</v>
      </c>
      <c r="D11" s="185">
        <f>'Annual KPI'!$F$4</f>
        <v>3024.9000000000019</v>
      </c>
      <c r="E11" s="155">
        <f t="shared" si="0"/>
        <v>2.3751062434464766E-2</v>
      </c>
      <c r="F11" s="173"/>
    </row>
    <row r="12" spans="1:6" x14ac:dyDescent="0.3">
      <c r="A12" s="234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0.11973180076628565</v>
      </c>
      <c r="E12" s="153">
        <f t="shared" ref="E12:E26" si="1">-(C12-D12)/C12</f>
        <v>5.1728889215136515E-3</v>
      </c>
      <c r="F12" s="174"/>
    </row>
    <row r="13" spans="1:6" x14ac:dyDescent="0.3">
      <c r="A13" s="235"/>
      <c r="B13" s="90" t="s">
        <v>17</v>
      </c>
      <c r="C13" s="188">
        <f>_xlfn.XLOOKUP($B$2,'Modelling New'!$D:$D,'Modelling New'!X:X)</f>
        <v>0.11911562884943129</v>
      </c>
      <c r="D13" s="189">
        <f>'Monthly KPI'!$J$4</f>
        <v>0.13929582049933634</v>
      </c>
      <c r="E13" s="154">
        <f t="shared" si="1"/>
        <v>0.16941682501977906</v>
      </c>
      <c r="F13" s="172"/>
    </row>
    <row r="14" spans="1:6" ht="15" thickBot="1" x14ac:dyDescent="0.35">
      <c r="A14" s="236"/>
      <c r="B14" s="92" t="s">
        <v>18</v>
      </c>
      <c r="C14" s="190">
        <f>_xlfn.XLOOKUP($B$2,'Modelling New'!$D:$D,'Modelling New'!Y:Y)</f>
        <v>0.15483815247296226</v>
      </c>
      <c r="D14" s="191">
        <f>'Annual KPI'!$J$4</f>
        <v>0.15851572309958475</v>
      </c>
      <c r="E14" s="155">
        <f t="shared" si="1"/>
        <v>2.3751062434464724E-2</v>
      </c>
      <c r="F14" s="173"/>
    </row>
    <row r="15" spans="1:6" x14ac:dyDescent="0.3">
      <c r="A15" s="234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0.80718067932327398</v>
      </c>
      <c r="E15" s="153">
        <f t="shared" si="1"/>
        <v>0.10208335954605974</v>
      </c>
      <c r="F15" s="175"/>
    </row>
    <row r="16" spans="1:6" x14ac:dyDescent="0.3">
      <c r="A16" s="235"/>
      <c r="B16" s="90" t="s">
        <v>20</v>
      </c>
      <c r="C16" s="188">
        <f>'Monthly KPI'!$G$4</f>
        <v>0.7324134534212966</v>
      </c>
      <c r="D16" s="193">
        <f>'Monthly KPI'!$H$4</f>
        <v>0.77182380751611179</v>
      </c>
      <c r="E16" s="154">
        <f t="shared" si="1"/>
        <v>5.380888883282936E-2</v>
      </c>
      <c r="F16" s="176"/>
    </row>
    <row r="17" spans="1:6" ht="15" thickBot="1" x14ac:dyDescent="0.35">
      <c r="A17" s="236"/>
      <c r="B17" s="92" t="s">
        <v>21</v>
      </c>
      <c r="C17" s="188">
        <f>'Annual KPI'!$G$4</f>
        <v>0.69533475442815107</v>
      </c>
      <c r="D17" s="194">
        <f>'Annual KPI'!$H$4</f>
        <v>0.7624821296512001</v>
      </c>
      <c r="E17" s="155">
        <f t="shared" si="1"/>
        <v>9.6568415134479474E-2</v>
      </c>
      <c r="F17" s="177"/>
    </row>
    <row r="18" spans="1:6" x14ac:dyDescent="0.3">
      <c r="A18" s="234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3.56</v>
      </c>
      <c r="E18" s="153">
        <f t="shared" si="1"/>
        <v>-8.7933884297520665E-2</v>
      </c>
      <c r="F18" s="178"/>
    </row>
    <row r="19" spans="1:6" x14ac:dyDescent="0.3">
      <c r="A19" s="235"/>
      <c r="B19" s="90" t="s">
        <v>23</v>
      </c>
      <c r="C19" s="197">
        <f>'Monthly KPI'!$C$4</f>
        <v>81.967741935483872</v>
      </c>
      <c r="D19" s="198">
        <f>'Monthly KPI'!$D$4</f>
        <v>90.95999999999998</v>
      </c>
      <c r="E19" s="154">
        <f t="shared" si="1"/>
        <v>0.10970484061393126</v>
      </c>
      <c r="F19" s="176"/>
    </row>
    <row r="20" spans="1:6" ht="15" thickBot="1" x14ac:dyDescent="0.35">
      <c r="A20" s="236"/>
      <c r="B20" s="92" t="s">
        <v>24</v>
      </c>
      <c r="C20" s="199">
        <f>'Annual KPI'!$C$4</f>
        <v>598.56774193548381</v>
      </c>
      <c r="D20" s="200">
        <f>'Annual KPI'!$D$4</f>
        <v>558.82000000000028</v>
      </c>
      <c r="E20" s="155">
        <f t="shared" si="1"/>
        <v>-6.6404751126344044E-2</v>
      </c>
      <c r="F20" s="179"/>
    </row>
    <row r="21" spans="1:6" x14ac:dyDescent="0.3">
      <c r="A21" s="234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3">
      <c r="A22" s="235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0.99950935653749418</v>
      </c>
      <c r="E22" s="154">
        <f>-(C22-D22)/C22</f>
        <v>1.949138773714211E-2</v>
      </c>
      <c r="F22" s="176"/>
    </row>
    <row r="23" spans="1:6" ht="15" thickBot="1" x14ac:dyDescent="0.35">
      <c r="A23" s="236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0.99465622307707091</v>
      </c>
      <c r="E23" s="155">
        <f>-(C23-D23)/C23</f>
        <v>1.4541231208762608E-2</v>
      </c>
      <c r="F23" s="177"/>
    </row>
    <row r="24" spans="1:6" x14ac:dyDescent="0.3">
      <c r="A24" s="234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3">
      <c r="A25" s="235"/>
      <c r="B25" s="90" t="s">
        <v>29</v>
      </c>
      <c r="C25" s="193">
        <f>_xlfn.XLOOKUP($B$2,'Modelling New'!$D:$D,'Modelling New'!AF:AF)</f>
        <v>0.98</v>
      </c>
      <c r="D25" s="193">
        <f>'Monthly KPI'!$L$4</f>
        <v>0.97854014798264566</v>
      </c>
      <c r="E25" s="154">
        <f t="shared" si="1"/>
        <v>-1.4896449156676776E-3</v>
      </c>
      <c r="F25" s="180"/>
    </row>
    <row r="26" spans="1:6" ht="15" thickBot="1" x14ac:dyDescent="0.35">
      <c r="A26" s="236"/>
      <c r="B26" s="92" t="s">
        <v>30</v>
      </c>
      <c r="C26" s="194">
        <f>_xlfn.XLOOKUP($B$2,'Modelling New'!$D:$D,'Modelling New'!AF:AF)</f>
        <v>0.98</v>
      </c>
      <c r="D26" s="194">
        <f>'Annual KPI'!$L$4</f>
        <v>0.98734961815744293</v>
      </c>
      <c r="E26" s="155">
        <f t="shared" si="1"/>
        <v>7.4996103647377039E-3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09375" defaultRowHeight="14.4" x14ac:dyDescent="0.3"/>
  <cols>
    <col min="1" max="1" width="9.109375" style="107"/>
    <col min="2" max="2" width="18.88671875" style="107" bestFit="1" customWidth="1"/>
    <col min="3" max="3" width="10.44140625" style="107" bestFit="1" customWidth="1"/>
    <col min="4" max="5" width="9.109375" style="107"/>
    <col min="6" max="6" width="12.6640625" style="107" bestFit="1" customWidth="1"/>
    <col min="7" max="16384" width="9.109375" style="107"/>
  </cols>
  <sheetData>
    <row r="4" spans="2:6" x14ac:dyDescent="0.3">
      <c r="B4" s="107" t="s">
        <v>31</v>
      </c>
    </row>
    <row r="6" spans="2:6" x14ac:dyDescent="0.3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3">
      <c r="B7" s="108" t="s">
        <v>36</v>
      </c>
      <c r="C7" s="109">
        <f>'Daily Dashboard'!B3</f>
        <v>45859</v>
      </c>
      <c r="D7" s="110">
        <f>'Daily Dashboard'!C9</f>
        <v>20.295016135869183</v>
      </c>
      <c r="E7" s="110">
        <f>'Daily Dashboard'!D9</f>
        <v>20.400000000000361</v>
      </c>
      <c r="F7" s="110">
        <f>D7-E7</f>
        <v>-0.104983864131178</v>
      </c>
    </row>
    <row r="8" spans="2:6" x14ac:dyDescent="0.3">
      <c r="B8" s="108" t="s">
        <v>37</v>
      </c>
      <c r="C8" s="109">
        <f t="shared" ref="C8:C30" si="0">$C$7</f>
        <v>45859</v>
      </c>
      <c r="D8" s="108">
        <v>0</v>
      </c>
      <c r="E8" s="108">
        <v>0</v>
      </c>
      <c r="F8" s="108">
        <v>0</v>
      </c>
    </row>
    <row r="9" spans="2:6" x14ac:dyDescent="0.3">
      <c r="B9" s="108" t="s">
        <v>38</v>
      </c>
      <c r="C9" s="109">
        <f t="shared" si="0"/>
        <v>45859</v>
      </c>
      <c r="D9" s="108">
        <v>0</v>
      </c>
      <c r="E9" s="108">
        <v>0</v>
      </c>
      <c r="F9" s="108">
        <v>0</v>
      </c>
    </row>
    <row r="10" spans="2:6" x14ac:dyDescent="0.3">
      <c r="B10" s="108" t="s">
        <v>39</v>
      </c>
      <c r="C10" s="109">
        <f t="shared" si="0"/>
        <v>45859</v>
      </c>
      <c r="D10" s="108">
        <v>0</v>
      </c>
      <c r="E10" s="108">
        <v>0</v>
      </c>
      <c r="F10" s="108">
        <v>0</v>
      </c>
    </row>
    <row r="11" spans="2:6" x14ac:dyDescent="0.3">
      <c r="B11" s="108" t="s">
        <v>40</v>
      </c>
      <c r="C11" s="109">
        <f t="shared" si="0"/>
        <v>45859</v>
      </c>
      <c r="D11" s="108">
        <v>0</v>
      </c>
      <c r="E11" s="108">
        <v>0</v>
      </c>
      <c r="F11" s="108">
        <v>0</v>
      </c>
    </row>
    <row r="12" spans="2:6" x14ac:dyDescent="0.3">
      <c r="B12" s="108" t="s">
        <v>41</v>
      </c>
      <c r="C12" s="109">
        <f t="shared" si="0"/>
        <v>45859</v>
      </c>
      <c r="D12" s="108">
        <v>0</v>
      </c>
      <c r="E12" s="108">
        <v>0</v>
      </c>
      <c r="F12" s="108">
        <v>0</v>
      </c>
    </row>
    <row r="13" spans="2:6" x14ac:dyDescent="0.3">
      <c r="B13" s="108" t="s">
        <v>42</v>
      </c>
      <c r="C13" s="109">
        <f t="shared" si="0"/>
        <v>45859</v>
      </c>
      <c r="D13" s="108">
        <v>0</v>
      </c>
      <c r="E13" s="108">
        <v>0</v>
      </c>
      <c r="F13" s="108">
        <v>0</v>
      </c>
    </row>
    <row r="14" spans="2:6" x14ac:dyDescent="0.3">
      <c r="B14" s="108" t="s">
        <v>43</v>
      </c>
      <c r="C14" s="109">
        <f t="shared" si="0"/>
        <v>45859</v>
      </c>
      <c r="D14" s="108">
        <v>0</v>
      </c>
      <c r="E14" s="108">
        <v>0</v>
      </c>
      <c r="F14" s="108">
        <v>0</v>
      </c>
    </row>
    <row r="15" spans="2:6" x14ac:dyDescent="0.3">
      <c r="B15" s="108" t="s">
        <v>44</v>
      </c>
      <c r="C15" s="109">
        <f t="shared" si="0"/>
        <v>45859</v>
      </c>
      <c r="D15" s="108">
        <v>0</v>
      </c>
      <c r="E15" s="108">
        <v>0</v>
      </c>
      <c r="F15" s="108">
        <v>0</v>
      </c>
    </row>
    <row r="16" spans="2:6" x14ac:dyDescent="0.3">
      <c r="B16" s="108" t="s">
        <v>45</v>
      </c>
      <c r="C16" s="109">
        <f t="shared" si="0"/>
        <v>45859</v>
      </c>
      <c r="D16" s="108">
        <v>0</v>
      </c>
      <c r="E16" s="108">
        <v>0</v>
      </c>
      <c r="F16" s="108">
        <v>0</v>
      </c>
    </row>
    <row r="17" spans="2:7" x14ac:dyDescent="0.3">
      <c r="B17" s="108" t="s">
        <v>46</v>
      </c>
      <c r="C17" s="109">
        <f t="shared" si="0"/>
        <v>45859</v>
      </c>
      <c r="D17" s="108">
        <v>0</v>
      </c>
      <c r="E17" s="108">
        <v>0</v>
      </c>
      <c r="F17" s="108">
        <v>0</v>
      </c>
    </row>
    <row r="18" spans="2:7" x14ac:dyDescent="0.3">
      <c r="B18" s="108" t="s">
        <v>47</v>
      </c>
      <c r="C18" s="109">
        <f t="shared" si="0"/>
        <v>45859</v>
      </c>
      <c r="D18" s="108">
        <v>0</v>
      </c>
      <c r="E18" s="108">
        <v>0</v>
      </c>
      <c r="F18" s="108">
        <v>0</v>
      </c>
    </row>
    <row r="19" spans="2:7" x14ac:dyDescent="0.3">
      <c r="B19" s="108" t="s">
        <v>48</v>
      </c>
      <c r="C19" s="109">
        <f t="shared" si="0"/>
        <v>45859</v>
      </c>
      <c r="D19" s="108">
        <v>0</v>
      </c>
      <c r="E19" s="108">
        <v>0</v>
      </c>
      <c r="F19" s="108">
        <v>0</v>
      </c>
    </row>
    <row r="20" spans="2:7" x14ac:dyDescent="0.3">
      <c r="B20" s="108" t="s">
        <v>49</v>
      </c>
      <c r="C20" s="109">
        <f t="shared" si="0"/>
        <v>45859</v>
      </c>
      <c r="D20" s="108">
        <v>0</v>
      </c>
      <c r="E20" s="108">
        <v>0</v>
      </c>
      <c r="F20" s="108">
        <v>0</v>
      </c>
    </row>
    <row r="21" spans="2:7" x14ac:dyDescent="0.3">
      <c r="B21" s="108" t="s">
        <v>50</v>
      </c>
      <c r="C21" s="109">
        <f t="shared" si="0"/>
        <v>45859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3">
      <c r="B22" s="108" t="s">
        <v>51</v>
      </c>
      <c r="C22" s="109">
        <f t="shared" si="0"/>
        <v>45859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3">
      <c r="B23" s="108" t="s">
        <v>52</v>
      </c>
      <c r="C23" s="109">
        <f t="shared" si="0"/>
        <v>45859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3">
      <c r="B24" s="108" t="s">
        <v>53</v>
      </c>
      <c r="C24" s="109">
        <f t="shared" si="0"/>
        <v>45859</v>
      </c>
      <c r="D24" s="108">
        <v>0</v>
      </c>
      <c r="E24" s="108">
        <v>0</v>
      </c>
      <c r="F24" s="108">
        <v>0</v>
      </c>
    </row>
    <row r="25" spans="2:7" x14ac:dyDescent="0.3">
      <c r="B25" s="108" t="s">
        <v>54</v>
      </c>
      <c r="C25" s="109">
        <f t="shared" si="0"/>
        <v>45859</v>
      </c>
      <c r="D25" s="108">
        <v>0</v>
      </c>
      <c r="E25" s="108">
        <v>0</v>
      </c>
      <c r="F25" s="108">
        <v>0</v>
      </c>
    </row>
    <row r="26" spans="2:7" x14ac:dyDescent="0.3">
      <c r="B26" s="108" t="s">
        <v>10</v>
      </c>
      <c r="C26" s="109">
        <f t="shared" si="0"/>
        <v>45859</v>
      </c>
      <c r="D26" s="112">
        <f>'Daily Dashboard'!$D$9</f>
        <v>20.400000000000361</v>
      </c>
      <c r="E26" s="112">
        <f>'Daily Dashboard'!$D$9</f>
        <v>20.400000000000361</v>
      </c>
      <c r="F26" s="112">
        <f>'Daily Dashboard'!$D$9</f>
        <v>20.400000000000361</v>
      </c>
    </row>
    <row r="27" spans="2:7" x14ac:dyDescent="0.3">
      <c r="B27" s="108" t="s">
        <v>55</v>
      </c>
      <c r="C27" s="109">
        <f t="shared" si="0"/>
        <v>45859</v>
      </c>
      <c r="D27" s="108">
        <v>0</v>
      </c>
      <c r="E27" s="108">
        <v>0</v>
      </c>
      <c r="F27" s="108">
        <v>0</v>
      </c>
    </row>
    <row r="28" spans="2:7" x14ac:dyDescent="0.3">
      <c r="B28" s="108" t="s">
        <v>56</v>
      </c>
      <c r="C28" s="109">
        <f t="shared" si="0"/>
        <v>45859</v>
      </c>
      <c r="D28" s="108">
        <v>0</v>
      </c>
      <c r="E28" s="108">
        <v>0</v>
      </c>
      <c r="F28" s="108">
        <v>0</v>
      </c>
    </row>
    <row r="29" spans="2:7" x14ac:dyDescent="0.3">
      <c r="B29" s="108" t="s">
        <v>57</v>
      </c>
      <c r="C29" s="109">
        <f t="shared" si="0"/>
        <v>45859</v>
      </c>
      <c r="D29" s="108">
        <v>0</v>
      </c>
      <c r="E29" s="110">
        <f>-(F7+G30)+(SUM(G21:G23))</f>
        <v>2.6932861038194318</v>
      </c>
      <c r="F29" s="110">
        <f>E29</f>
        <v>2.6932861038194318</v>
      </c>
    </row>
    <row r="30" spans="2:7" x14ac:dyDescent="0.3">
      <c r="B30" s="108" t="s">
        <v>58</v>
      </c>
      <c r="C30" s="109">
        <f t="shared" si="0"/>
        <v>45859</v>
      </c>
      <c r="D30" s="108">
        <f>'Daily Dashboard'!C18</f>
        <v>3.903225806451613</v>
      </c>
      <c r="E30" s="113">
        <f>'Daily Dashboard'!D18</f>
        <v>3.56</v>
      </c>
      <c r="F30" s="108">
        <f>E30-D30</f>
        <v>-0.34322580645161294</v>
      </c>
      <c r="G30" s="107">
        <f>(F30/D30)*D7</f>
        <v>-1.7846196007078357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4.4" x14ac:dyDescent="0.3"/>
  <cols>
    <col min="1" max="1" width="11" customWidth="1"/>
    <col min="2" max="2" width="10.5546875" bestFit="1" customWidth="1"/>
    <col min="3" max="3" width="13.5546875" customWidth="1"/>
    <col min="4" max="4" width="13.44140625" customWidth="1"/>
    <col min="5" max="5" width="13.44140625" bestFit="1" customWidth="1"/>
    <col min="6" max="6" width="14" customWidth="1"/>
    <col min="8" max="8" width="10.109375" bestFit="1" customWidth="1"/>
    <col min="9" max="9" width="9.88671875" customWidth="1"/>
    <col min="10" max="10" width="10.1093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39" t="s">
        <v>59</v>
      </c>
      <c r="B1" s="40">
        <f>'Daily Dashboard'!B3</f>
        <v>45859</v>
      </c>
      <c r="C1" s="28">
        <f>'Daily Dashboard'!B2</f>
        <v>45839</v>
      </c>
      <c r="D1" s="64"/>
      <c r="E1" s="64"/>
      <c r="F1" s="64"/>
    </row>
    <row r="2" spans="1:14" ht="21" x14ac:dyDescent="0.3">
      <c r="A2" s="250" t="s">
        <v>60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</row>
    <row r="3" spans="1:14" ht="43.2" x14ac:dyDescent="0.3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3">
      <c r="A4" s="152">
        <f>YEAR($B$1)+IF(MONTH($B$1)&gt;=4,1,0)</f>
        <v>2026</v>
      </c>
      <c r="B4" s="31">
        <f>($B$1-'Daily Dashboard'!$B$5)+1</f>
        <v>112</v>
      </c>
      <c r="C4" s="31">
        <f>_xlfn.XLOOKUP($C$1,'Modelling New'!$D:$D,'Modelling New'!$S:$S)</f>
        <v>598.56774193548381</v>
      </c>
      <c r="D4" s="32">
        <f>SUMIFS('Daily KPI'!$I:$I,'Daily KPI'!$B:$B,'Annual KPI'!$A$4,'Daily KPI'!$A:$A,"&lt;="&amp;'Annual KPI'!$B$1)</f>
        <v>558.82000000000028</v>
      </c>
      <c r="E4" s="31">
        <f>_xlfn.XLOOKUP($C$1,'Modelling New'!$D:$D,'Modelling New'!V:V)</f>
        <v>2954.7222083529123</v>
      </c>
      <c r="F4" s="32">
        <f>SUMIFS('Daily KPI'!$AA:$AA,'Daily KPI'!$B:$B,'Annual KPI'!A4,'Daily KPI'!$A:$A,"&lt;="&amp;'Annual KPI'!$B$1)/1000</f>
        <v>3024.9000000000019</v>
      </c>
      <c r="G4" s="33">
        <f>IFERROR(E4/C4/'Modelling New'!$AO$1,"")</f>
        <v>0.69533475442815107</v>
      </c>
      <c r="H4" s="34">
        <f>IFERROR(F4/D4/'Modelling New'!$AO$1,"")</f>
        <v>0.7624821296512001</v>
      </c>
      <c r="I4" s="33">
        <f>IFERROR(E4/(B4*24*'Modelling New'!$AO$1),"")</f>
        <v>0.15483815247296226</v>
      </c>
      <c r="J4" s="34">
        <f>IFERROR(F4/(B4*24*'Modelling New'!$AO$1),"")</f>
        <v>0.15851572309958475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0.98734961815744293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0.99465622307707091</v>
      </c>
    </row>
    <row r="8" spans="1:14" ht="21" x14ac:dyDescent="0.3">
      <c r="A8" s="250" t="s">
        <v>75</v>
      </c>
      <c r="B8" s="250"/>
      <c r="C8" s="250"/>
      <c r="D8" s="250"/>
      <c r="E8" s="250"/>
      <c r="F8" s="250"/>
      <c r="G8" s="250"/>
      <c r="H8" s="250"/>
      <c r="I8" s="250"/>
      <c r="J8" s="250"/>
      <c r="K8" s="250"/>
      <c r="L8" s="250"/>
      <c r="M8" s="250"/>
      <c r="N8" s="250"/>
    </row>
    <row r="9" spans="1:14" ht="43.2" x14ac:dyDescent="0.3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3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3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3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3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81.967741935483872</v>
      </c>
      <c r="D13" s="25">
        <f>SUMIF('Daily KPI'!$D:$D,A13,'Daily KPI'!$I:$I)</f>
        <v>90.95999999999998</v>
      </c>
      <c r="E13" s="31">
        <f>_xlfn.XLOOKUP($A13,'Modelling New'!$D:$D,'Modelling New'!$U:$U)</f>
        <v>426.19533885325285</v>
      </c>
      <c r="F13" s="25">
        <f>SUMIF('Daily KPI'!$D:$D,$A13,'Daily KPI'!$AA:$AA)/1000</f>
        <v>498.39999999999981</v>
      </c>
      <c r="G13" s="26">
        <f>IFERROR(E13/C13/'Modelling New'!$AO$1,"")</f>
        <v>0.7324134534212966</v>
      </c>
      <c r="H13" s="27">
        <f>IFERROR(F13/D13/'Modelling New'!$AO$1,"")</f>
        <v>0.77182380751611179</v>
      </c>
      <c r="I13" s="26">
        <f>IFERROR(E13/(B13*24*'Modelling New'!$AO$1),"")</f>
        <v>8.0691232446388941E-2</v>
      </c>
      <c r="J13" s="27">
        <f>IFERROR(F13/(B13*24*'Modelling New'!$AO$1),"")</f>
        <v>9.436168485438913E-2</v>
      </c>
      <c r="K13" s="26">
        <f>_xlfn.XLOOKUP($A13,'Modelling New'!$D:$D,'Modelling New'!AF:AF)</f>
        <v>0.98</v>
      </c>
      <c r="L13" s="27">
        <f>IFERROR(AVERAGEIF('Daily KPI'!$D:$D,A13,'Daily KPI'!R:R),"")</f>
        <v>0.97854014798264566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0.99950935653749418</v>
      </c>
    </row>
    <row r="14" spans="1:14" x14ac:dyDescent="0.3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3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3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3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3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3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3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3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4.4" x14ac:dyDescent="0.3"/>
  <cols>
    <col min="2" max="2" width="10.10937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10.109375" bestFit="1" customWidth="1"/>
    <col min="9" max="9" width="10.10937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39" t="s">
        <v>59</v>
      </c>
      <c r="B1" s="40" cm="1">
        <f t="array" ref="B1:F1">'Daily Dashboard'!B3:F3</f>
        <v>45859</v>
      </c>
      <c r="C1" s="64">
        <v>0</v>
      </c>
      <c r="D1" s="64">
        <v>0</v>
      </c>
      <c r="E1" s="64">
        <v>0</v>
      </c>
      <c r="F1" s="64">
        <v>0</v>
      </c>
    </row>
    <row r="2" spans="1:14" ht="20.399999999999999" customHeight="1" x14ac:dyDescent="0.3">
      <c r="A2" s="250" t="s">
        <v>76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</row>
    <row r="3" spans="1:14" ht="43.2" x14ac:dyDescent="0.3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3">
      <c r="A4" s="28">
        <f>'Daily Dashboard'!B2</f>
        <v>45839</v>
      </c>
      <c r="B4" s="24">
        <f>DAY(B1)</f>
        <v>21</v>
      </c>
      <c r="C4" s="24">
        <f>_xlfn.XLOOKUP($A$4,'Modelling New'!$D:$D,'Modelling New'!R:R)</f>
        <v>81.967741935483872</v>
      </c>
      <c r="D4" s="78">
        <f>SUMIF('Daily KPI'!$D:$D,'Monthly KPI'!A4,'Daily KPI'!$I:$I)</f>
        <v>90.95999999999998</v>
      </c>
      <c r="E4" s="24">
        <f>_xlfn.XLOOKUP($A$4,'Modelling New'!$D:$D,'Modelling New'!U:U)</f>
        <v>426.19533885325285</v>
      </c>
      <c r="F4" s="78">
        <f>SUMIF('Daily KPI'!$D:$D,'Monthly KPI'!A4,'Daily KPI'!$AA:$AA)/1000</f>
        <v>498.39999999999981</v>
      </c>
      <c r="G4" s="26">
        <f>IFERROR(E4/C4/'Modelling New'!$AO$1,"")</f>
        <v>0.7324134534212966</v>
      </c>
      <c r="H4" s="27">
        <f>IFERROR(F4/D4/'Modelling New'!$AO$1,"")</f>
        <v>0.77182380751611179</v>
      </c>
      <c r="I4" s="26">
        <f>IFERROR(E4/(B4*24*'Modelling New'!$AO$1),"")</f>
        <v>0.11911562884943129</v>
      </c>
      <c r="J4" s="27">
        <f>IFERROR(F4/(B4*24*'Modelling New'!$AO$1),"")</f>
        <v>0.13929582049933634</v>
      </c>
      <c r="K4" s="26">
        <f>_xlfn.XLOOKUP($A$4,'Modelling New'!$D:$D,'Modelling New'!AF:AF)</f>
        <v>0.98</v>
      </c>
      <c r="L4" s="27">
        <f>IFERROR(AVERAGEIF('Daily KPI'!$D:$D,'Monthly KPI'!A4,'Daily KPI'!R:R),"")</f>
        <v>0.97854014798264566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0.99950935653749418</v>
      </c>
    </row>
    <row r="7" spans="1:14" x14ac:dyDescent="0.3">
      <c r="A7" s="39" t="s">
        <v>78</v>
      </c>
      <c r="B7" s="40">
        <f>B8-6</f>
        <v>45853</v>
      </c>
    </row>
    <row r="8" spans="1:14" x14ac:dyDescent="0.3">
      <c r="A8" s="39" t="s">
        <v>79</v>
      </c>
      <c r="B8" s="40">
        <f>B1</f>
        <v>45859</v>
      </c>
    </row>
    <row r="10" spans="1:14" ht="21" x14ac:dyDescent="0.3">
      <c r="A10" s="250" t="s">
        <v>76</v>
      </c>
      <c r="B10" s="250"/>
      <c r="C10" s="250"/>
      <c r="D10" s="250"/>
      <c r="E10" s="250"/>
      <c r="F10" s="250"/>
      <c r="G10" s="250"/>
      <c r="H10" s="250"/>
      <c r="I10" s="250"/>
      <c r="J10" s="250"/>
      <c r="K10" s="250"/>
      <c r="L10" s="250"/>
      <c r="M10" s="250"/>
      <c r="N10" s="250"/>
    </row>
    <row r="11" spans="1:14" ht="43.2" x14ac:dyDescent="0.3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3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30.639999999999997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169.69999999999996</v>
      </c>
      <c r="G12" s="26">
        <f>IFERROR(E12/C12/'Modelling New'!$AO$1,"")</f>
        <v>0.7324134534212966</v>
      </c>
      <c r="H12" s="27">
        <f>IFERROR(F12/D12/'Modelling New'!$AO$1,"")</f>
        <v>0.78015998272301923</v>
      </c>
      <c r="I12" s="26">
        <f>IFERROR(E12/(B12*24*'Modelling New'!$AO$1),"")</f>
        <v>0.11911562884943128</v>
      </c>
      <c r="J12" s="27">
        <f>IFERROR(F12/(B12*24*'Modelling New'!$AO$1),"")</f>
        <v>0.14228632065853158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0.99721149050301883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F116" sqref="F116:AB126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8" max="8" width="11.109375" customWidth="1"/>
    <col min="9" max="9" width="11.5546875" style="2" bestFit="1" customWidth="1"/>
    <col min="10" max="15" width="10.109375" style="2" bestFit="1" customWidth="1"/>
    <col min="16" max="17" width="8.5546875" style="2"/>
    <col min="27" max="27" width="10.109375" customWidth="1"/>
    <col min="28" max="28" width="9.88671875" customWidth="1"/>
  </cols>
  <sheetData>
    <row r="1" spans="1:28" x14ac:dyDescent="0.3">
      <c r="A1" s="77"/>
      <c r="B1" s="77"/>
      <c r="C1" s="77"/>
      <c r="D1" s="77"/>
      <c r="E1" s="77"/>
      <c r="F1" s="77"/>
      <c r="G1" s="77"/>
      <c r="H1" s="77"/>
    </row>
    <row r="2" spans="1:28" x14ac:dyDescent="0.3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3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3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3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3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3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3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3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3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3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3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3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3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3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3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3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3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3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3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3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3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3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3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3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3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3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3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3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3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3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3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3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3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3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3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3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3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3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3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3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3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3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3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3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3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3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3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3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3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3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3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3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3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3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3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3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3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3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3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3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3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3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3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3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3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3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3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3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3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3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3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3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3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3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3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3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3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3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3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3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3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3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3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3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3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3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3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3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3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3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3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3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3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3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3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3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3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3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3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3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3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3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3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3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3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3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3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3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3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3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3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3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3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3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3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3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3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3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0</v>
      </c>
      <c r="K119" s="1">
        <f>IFERROR('Raw Data'!L119/Inv_SY!K$2,"")</f>
        <v>0</v>
      </c>
      <c r="L119" s="1">
        <f>IFERROR('Raw Data'!M119/Inv_SY!L$2,"")</f>
        <v>0</v>
      </c>
      <c r="M119" s="1">
        <f>IFERROR('Raw Data'!N119/Inv_SY!M$2,"")</f>
        <v>0</v>
      </c>
      <c r="N119" s="1">
        <f>IFERROR('Raw Data'!O119/Inv_SY!N$2,"")</f>
        <v>0</v>
      </c>
      <c r="O119" s="1">
        <f>IFERROR('Raw Data'!P119/Inv_SY!O$2,"")</f>
        <v>0</v>
      </c>
      <c r="P119" s="1">
        <f>IFERROR('Raw Data'!Q119/Inv_SY!P$2,"")</f>
        <v>0</v>
      </c>
      <c r="Q119" s="1">
        <f>IFERROR('Raw Data'!R119/Inv_SY!Q$2,"")</f>
        <v>0</v>
      </c>
      <c r="R119" s="1">
        <f>IFERROR('Raw Data'!S119/Inv_SY!R$2,"")</f>
        <v>0</v>
      </c>
      <c r="S119" s="1">
        <f>IFERROR('Raw Data'!T119/Inv_SY!S$2,"")</f>
        <v>0</v>
      </c>
      <c r="T119" s="1">
        <f>IFERROR('Raw Data'!U119/Inv_SY!T$2,"")</f>
        <v>0</v>
      </c>
      <c r="U119" s="1">
        <f>IFERROR('Raw Data'!V119/Inv_SY!U$2,"")</f>
        <v>0</v>
      </c>
      <c r="V119" s="1">
        <f>IFERROR('Raw Data'!W119/Inv_SY!V$2,"")</f>
        <v>0</v>
      </c>
      <c r="W119" s="1">
        <f>IFERROR('Raw Data'!X119/Inv_SY!W$2,"")</f>
        <v>0</v>
      </c>
      <c r="X119" s="1">
        <f>IFERROR('Raw Data'!Y119/Inv_SY!X$2,"")</f>
        <v>0</v>
      </c>
      <c r="Y119" s="1" t="str">
        <f t="shared" si="20"/>
        <v/>
      </c>
      <c r="Z119" s="1">
        <f>IFERROR(_xlfn.MAXIFS(V119:X119,Inv_SY[[#This Row],[Inv1]:[Inv3]],"&gt;"&amp;0),"")</f>
        <v>0</v>
      </c>
      <c r="AA119" s="1" t="str">
        <f t="shared" si="21"/>
        <v/>
      </c>
      <c r="AB119" s="1">
        <f>IFERROR(_xlfn.MAXIFS(J119:U119,Inv_SY[[#This Row],[Inv 1 (630kw) unit 1]:[Inv 3 (630kw) unit 4]],"&gt;"&amp;0),"")</f>
        <v>0</v>
      </c>
    </row>
    <row r="120" spans="1:28" x14ac:dyDescent="0.3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0</v>
      </c>
      <c r="K120" s="1">
        <f>IFERROR('Raw Data'!L120/Inv_SY!K$2,"")</f>
        <v>0</v>
      </c>
      <c r="L120" s="1">
        <f>IFERROR('Raw Data'!M120/Inv_SY!L$2,"")</f>
        <v>0</v>
      </c>
      <c r="M120" s="1">
        <f>IFERROR('Raw Data'!N120/Inv_SY!M$2,"")</f>
        <v>0</v>
      </c>
      <c r="N120" s="1">
        <f>IFERROR('Raw Data'!O120/Inv_SY!N$2,"")</f>
        <v>0</v>
      </c>
      <c r="O120" s="1">
        <f>IFERROR('Raw Data'!P120/Inv_SY!O$2,"")</f>
        <v>0</v>
      </c>
      <c r="P120" s="1">
        <f>IFERROR('Raw Data'!Q120/Inv_SY!P$2,"")</f>
        <v>0</v>
      </c>
      <c r="Q120" s="1">
        <f>IFERROR('Raw Data'!R120/Inv_SY!Q$2,"")</f>
        <v>0</v>
      </c>
      <c r="R120" s="1">
        <f>IFERROR('Raw Data'!S120/Inv_SY!R$2,"")</f>
        <v>0</v>
      </c>
      <c r="S120" s="1">
        <f>IFERROR('Raw Data'!T120/Inv_SY!S$2,"")</f>
        <v>0</v>
      </c>
      <c r="T120" s="1">
        <f>IFERROR('Raw Data'!U120/Inv_SY!T$2,"")</f>
        <v>0</v>
      </c>
      <c r="U120" s="1">
        <f>IFERROR('Raw Data'!V120/Inv_SY!U$2,"")</f>
        <v>0</v>
      </c>
      <c r="V120" s="1">
        <f>IFERROR('Raw Data'!W120/Inv_SY!V$2,"")</f>
        <v>0</v>
      </c>
      <c r="W120" s="1">
        <f>IFERROR('Raw Data'!X120/Inv_SY!W$2,"")</f>
        <v>0</v>
      </c>
      <c r="X120" s="1">
        <f>IFERROR('Raw Data'!Y120/Inv_SY!X$2,"")</f>
        <v>0</v>
      </c>
      <c r="Y120" s="1" t="str">
        <f t="shared" si="20"/>
        <v/>
      </c>
      <c r="Z120" s="1">
        <f>IFERROR(_xlfn.MAXIFS(V120:X120,Inv_SY[[#This Row],[Inv1]:[Inv3]],"&gt;"&amp;0),"")</f>
        <v>0</v>
      </c>
      <c r="AA120" s="1" t="str">
        <f t="shared" si="21"/>
        <v/>
      </c>
      <c r="AB120" s="1">
        <f>IFERROR(_xlfn.MAXIFS(J120:U120,Inv_SY[[#This Row],[Inv 1 (630kw) unit 1]:[Inv 3 (630kw) unit 4]],"&gt;"&amp;0),"")</f>
        <v>0</v>
      </c>
    </row>
    <row r="121" spans="1:28" x14ac:dyDescent="0.3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0</v>
      </c>
      <c r="K121" s="1">
        <f>IFERROR('Raw Data'!L121/Inv_SY!K$2,"")</f>
        <v>0</v>
      </c>
      <c r="L121" s="1">
        <f>IFERROR('Raw Data'!M121/Inv_SY!L$2,"")</f>
        <v>0</v>
      </c>
      <c r="M121" s="1">
        <f>IFERROR('Raw Data'!N121/Inv_SY!M$2,"")</f>
        <v>0</v>
      </c>
      <c r="N121" s="1">
        <f>IFERROR('Raw Data'!O121/Inv_SY!N$2,"")</f>
        <v>0</v>
      </c>
      <c r="O121" s="1">
        <f>IFERROR('Raw Data'!P121/Inv_SY!O$2,"")</f>
        <v>0</v>
      </c>
      <c r="P121" s="1">
        <f>IFERROR('Raw Data'!Q121/Inv_SY!P$2,"")</f>
        <v>0</v>
      </c>
      <c r="Q121" s="1">
        <f>IFERROR('Raw Data'!R121/Inv_SY!Q$2,"")</f>
        <v>0</v>
      </c>
      <c r="R121" s="1">
        <f>IFERROR('Raw Data'!S121/Inv_SY!R$2,"")</f>
        <v>0</v>
      </c>
      <c r="S121" s="1">
        <f>IFERROR('Raw Data'!T121/Inv_SY!S$2,"")</f>
        <v>0</v>
      </c>
      <c r="T121" s="1">
        <f>IFERROR('Raw Data'!U121/Inv_SY!T$2,"")</f>
        <v>0</v>
      </c>
      <c r="U121" s="1">
        <f>IFERROR('Raw Data'!V121/Inv_SY!U$2,"")</f>
        <v>0</v>
      </c>
      <c r="V121" s="1">
        <f>IFERROR('Raw Data'!W121/Inv_SY!V$2,"")</f>
        <v>0</v>
      </c>
      <c r="W121" s="1">
        <f>IFERROR('Raw Data'!X121/Inv_SY!W$2,"")</f>
        <v>0</v>
      </c>
      <c r="X121" s="1">
        <f>IFERROR('Raw Data'!Y121/Inv_SY!X$2,"")</f>
        <v>0</v>
      </c>
      <c r="Y121" s="1" t="str">
        <f t="shared" si="20"/>
        <v/>
      </c>
      <c r="Z121" s="1">
        <f>IFERROR(_xlfn.MAXIFS(V121:X121,Inv_SY[[#This Row],[Inv1]:[Inv3]],"&gt;"&amp;0),"")</f>
        <v>0</v>
      </c>
      <c r="AA121" s="1" t="str">
        <f t="shared" si="21"/>
        <v/>
      </c>
      <c r="AB121" s="1">
        <f>IFERROR(_xlfn.MAXIFS(J121:U121,Inv_SY[[#This Row],[Inv 1 (630kw) unit 1]:[Inv 3 (630kw) unit 4]],"&gt;"&amp;0),"")</f>
        <v>0</v>
      </c>
    </row>
    <row r="122" spans="1:28" x14ac:dyDescent="0.3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0</v>
      </c>
      <c r="K122" s="1">
        <f>IFERROR('Raw Data'!L122/Inv_SY!K$2,"")</f>
        <v>0</v>
      </c>
      <c r="L122" s="1">
        <f>IFERROR('Raw Data'!M122/Inv_SY!L$2,"")</f>
        <v>0</v>
      </c>
      <c r="M122" s="1">
        <f>IFERROR('Raw Data'!N122/Inv_SY!M$2,"")</f>
        <v>0</v>
      </c>
      <c r="N122" s="1">
        <f>IFERROR('Raw Data'!O122/Inv_SY!N$2,"")</f>
        <v>0</v>
      </c>
      <c r="O122" s="1">
        <f>IFERROR('Raw Data'!P122/Inv_SY!O$2,"")</f>
        <v>0</v>
      </c>
      <c r="P122" s="1">
        <f>IFERROR('Raw Data'!Q122/Inv_SY!P$2,"")</f>
        <v>0</v>
      </c>
      <c r="Q122" s="1">
        <f>IFERROR('Raw Data'!R122/Inv_SY!Q$2,"")</f>
        <v>0</v>
      </c>
      <c r="R122" s="1">
        <f>IFERROR('Raw Data'!S122/Inv_SY!R$2,"")</f>
        <v>0</v>
      </c>
      <c r="S122" s="1">
        <f>IFERROR('Raw Data'!T122/Inv_SY!S$2,"")</f>
        <v>0</v>
      </c>
      <c r="T122" s="1">
        <f>IFERROR('Raw Data'!U122/Inv_SY!T$2,"")</f>
        <v>0</v>
      </c>
      <c r="U122" s="1">
        <f>IFERROR('Raw Data'!V122/Inv_SY!U$2,"")</f>
        <v>0</v>
      </c>
      <c r="V122" s="1">
        <f>IFERROR('Raw Data'!W122/Inv_SY!V$2,"")</f>
        <v>0</v>
      </c>
      <c r="W122" s="1">
        <f>IFERROR('Raw Data'!X122/Inv_SY!W$2,"")</f>
        <v>0</v>
      </c>
      <c r="X122" s="1">
        <f>IFERROR('Raw Data'!Y122/Inv_SY!X$2,"")</f>
        <v>0</v>
      </c>
      <c r="Y122" s="1" t="str">
        <f t="shared" si="20"/>
        <v/>
      </c>
      <c r="Z122" s="1">
        <f>IFERROR(_xlfn.MAXIFS(V122:X122,Inv_SY[[#This Row],[Inv1]:[Inv3]],"&gt;"&amp;0),"")</f>
        <v>0</v>
      </c>
      <c r="AA122" s="1" t="str">
        <f t="shared" si="21"/>
        <v/>
      </c>
      <c r="AB122" s="1">
        <f>IFERROR(_xlfn.MAXIFS(J122:U122,Inv_SY[[#This Row],[Inv 1 (630kw) unit 1]:[Inv 3 (630kw) unit 4]],"&gt;"&amp;0),"")</f>
        <v>0</v>
      </c>
    </row>
    <row r="123" spans="1:28" x14ac:dyDescent="0.3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</v>
      </c>
      <c r="K123" s="1">
        <f>IFERROR('Raw Data'!L123/Inv_SY!K$2,"")</f>
        <v>0</v>
      </c>
      <c r="L123" s="1">
        <f>IFERROR('Raw Data'!M123/Inv_SY!L$2,"")</f>
        <v>0</v>
      </c>
      <c r="M123" s="1">
        <f>IFERROR('Raw Data'!N123/Inv_SY!M$2,"")</f>
        <v>0</v>
      </c>
      <c r="N123" s="1">
        <f>IFERROR('Raw Data'!O123/Inv_SY!N$2,"")</f>
        <v>0</v>
      </c>
      <c r="O123" s="1">
        <f>IFERROR('Raw Data'!P123/Inv_SY!O$2,"")</f>
        <v>0</v>
      </c>
      <c r="P123" s="1">
        <f>IFERROR('Raw Data'!Q123/Inv_SY!P$2,"")</f>
        <v>0</v>
      </c>
      <c r="Q123" s="1">
        <f>IFERROR('Raw Data'!R123/Inv_SY!Q$2,"")</f>
        <v>0</v>
      </c>
      <c r="R123" s="1">
        <f>IFERROR('Raw Data'!S123/Inv_SY!R$2,"")</f>
        <v>0</v>
      </c>
      <c r="S123" s="1">
        <f>IFERROR('Raw Data'!T123/Inv_SY!S$2,"")</f>
        <v>0</v>
      </c>
      <c r="T123" s="1">
        <f>IFERROR('Raw Data'!U123/Inv_SY!T$2,"")</f>
        <v>0</v>
      </c>
      <c r="U123" s="1">
        <f>IFERROR('Raw Data'!V123/Inv_SY!U$2,"")</f>
        <v>0</v>
      </c>
      <c r="V123" s="1">
        <f>IFERROR('Raw Data'!W123/Inv_SY!V$2,"")</f>
        <v>0</v>
      </c>
      <c r="W123" s="1">
        <f>IFERROR('Raw Data'!X123/Inv_SY!W$2,"")</f>
        <v>0</v>
      </c>
      <c r="X123" s="1">
        <f>IFERROR('Raw Data'!Y123/Inv_SY!X$2,"")</f>
        <v>0</v>
      </c>
      <c r="Y123" s="1" t="str">
        <f t="shared" si="20"/>
        <v/>
      </c>
      <c r="Z123" s="1">
        <f>IFERROR(_xlfn.MAXIFS(V123:X123,Inv_SY[[#This Row],[Inv1]:[Inv3]],"&gt;"&amp;0),"")</f>
        <v>0</v>
      </c>
      <c r="AA123" s="1" t="str">
        <f t="shared" si="21"/>
        <v/>
      </c>
      <c r="AB123" s="1">
        <f>IFERROR(_xlfn.MAXIFS(J123:U123,Inv_SY[[#This Row],[Inv 1 (630kw) unit 1]:[Inv 3 (630kw) unit 4]],"&gt;"&amp;0),"")</f>
        <v>0</v>
      </c>
    </row>
    <row r="124" spans="1:28" x14ac:dyDescent="0.3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3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3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6640625" defaultRowHeight="14.4" x14ac:dyDescent="0.3"/>
  <cols>
    <col min="1" max="1" width="10.109375" style="117" bestFit="1" customWidth="1"/>
    <col min="2" max="5" width="9" style="117" customWidth="1"/>
    <col min="6" max="9" width="10.33203125" style="117" customWidth="1"/>
    <col min="10" max="12" width="11.33203125" style="117" customWidth="1"/>
    <col min="13" max="13" width="15.109375" style="117" bestFit="1" customWidth="1"/>
    <col min="14" max="39" width="11.33203125" style="117" customWidth="1"/>
    <col min="40" max="40" width="11.33203125" style="211" customWidth="1"/>
    <col min="41" max="43" width="11.33203125" style="117" customWidth="1"/>
    <col min="44" max="44" width="8.6640625" style="118"/>
    <col min="45" max="16384" width="8.6640625" style="117"/>
  </cols>
  <sheetData>
    <row r="1" spans="1:45" ht="57.6" x14ac:dyDescent="0.3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3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3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3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3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3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3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3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3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3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3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3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3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3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3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3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3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3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3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3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3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3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3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3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3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3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3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3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3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3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3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3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3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3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3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3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3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3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3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3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3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3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3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3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3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3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3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3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3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3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3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3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3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3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3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3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3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3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3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3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3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3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3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3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3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3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3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3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3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3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3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3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3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3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3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3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3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3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3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3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3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3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3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3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3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3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3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3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3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3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3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3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3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3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3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3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0.98969648728737969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3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3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3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3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3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3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3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3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3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3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3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3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3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3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3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3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3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3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3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3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3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0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0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0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 t="str">
        <f>IFERROR(1-SUMIF('Plant BD'!$F:$F,$A117,'Plant BD'!AE:AE)/($AA117+SUMIF('Plant BD'!$F:$F,$A117,'Plant BD'!AE:AE)),"")</f>
        <v/>
      </c>
      <c r="P117" s="122"/>
      <c r="Q117" s="121"/>
      <c r="R117" s="122" t="str">
        <f>IFERROR(1-SUMIF('Grid BD'!$H:$H,$A117,'Grid BD'!$AD:$AD)/($AA117+SUMIF('Grid BD'!$H:$H,$A117,'Plant BD'!$AE:$AE)),"")</f>
        <v/>
      </c>
      <c r="T117" s="121"/>
      <c r="U117" s="120" t="str">
        <f t="shared" ref="U117:U180" si="9">IFERROR(AA117/I117/AB117/1000,"")</f>
        <v/>
      </c>
      <c r="V117" s="120"/>
      <c r="W117" s="115">
        <f t="shared" si="8"/>
        <v>0</v>
      </c>
      <c r="X117" s="118">
        <f>IFERROR(_xlfn.XLOOKUP($A117,'Raw Data'!$G:$G,'Raw Data'!AI:AI),"")</f>
        <v>0</v>
      </c>
      <c r="Y117" s="118">
        <f>IFERROR(_xlfn.XLOOKUP($A117,'Raw Data'!$G:$G,'Raw Data'!AJ:AJ),"")</f>
        <v>0</v>
      </c>
      <c r="Z117" s="118">
        <f>IFERROR(_xlfn.XLOOKUP($A117,'Raw Data'!$G:$G,'Raw Data'!AK:AK),"")</f>
        <v>0</v>
      </c>
      <c r="AA117" s="118">
        <f>IFERROR(_xlfn.XLOOKUP($A117,'Raw Data'!$G:$G,'Raw Data'!AL:AL),"")</f>
        <v>0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3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0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0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0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 t="str">
        <f>IFERROR(1-SUMIF('Plant BD'!$F:$F,$A118,'Plant BD'!AE:AE)/($AA118+SUMIF('Plant BD'!$F:$F,$A118,'Plant BD'!AE:AE)),"")</f>
        <v/>
      </c>
      <c r="P118" s="122"/>
      <c r="Q118" s="121"/>
      <c r="R118" s="122" t="str">
        <f>IFERROR(1-SUMIF('Grid BD'!$H:$H,$A118,'Grid BD'!$AD:$AD)/($AA118+SUMIF('Grid BD'!$H:$H,$A118,'Plant BD'!$AE:$AE)),"")</f>
        <v/>
      </c>
      <c r="T118" s="121"/>
      <c r="U118" s="120" t="str">
        <f t="shared" si="9"/>
        <v/>
      </c>
      <c r="V118" s="120"/>
      <c r="W118" s="115">
        <f t="shared" si="8"/>
        <v>0</v>
      </c>
      <c r="X118" s="118">
        <f>IFERROR(_xlfn.XLOOKUP($A118,'Raw Data'!$G:$G,'Raw Data'!AI:AI),"")</f>
        <v>0</v>
      </c>
      <c r="Y118" s="118">
        <f>IFERROR(_xlfn.XLOOKUP($A118,'Raw Data'!$G:$G,'Raw Data'!AJ:AJ),"")</f>
        <v>0</v>
      </c>
      <c r="Z118" s="118">
        <f>IFERROR(_xlfn.XLOOKUP($A118,'Raw Data'!$G:$G,'Raw Data'!AK:AK),"")</f>
        <v>0</v>
      </c>
      <c r="AA118" s="118">
        <f>IFERROR(_xlfn.XLOOKUP($A118,'Raw Data'!$G:$G,'Raw Data'!AL:AL),"")</f>
        <v>0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3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0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0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0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 t="str">
        <f>IFERROR(1-SUMIF('Plant BD'!$F:$F,$A119,'Plant BD'!AE:AE)/($AA119+SUMIF('Plant BD'!$F:$F,$A119,'Plant BD'!AE:AE)),"")</f>
        <v/>
      </c>
      <c r="P119" s="122"/>
      <c r="Q119" s="121"/>
      <c r="R119" s="122" t="str">
        <f>IFERROR(1-SUMIF('Grid BD'!$H:$H,$A119,'Grid BD'!$AD:$AD)/($AA119+SUMIF('Grid BD'!$H:$H,$A119,'Plant BD'!$AE:$AE)),"")</f>
        <v/>
      </c>
      <c r="T119" s="121"/>
      <c r="U119" s="120" t="str">
        <f t="shared" si="9"/>
        <v/>
      </c>
      <c r="V119" s="120"/>
      <c r="W119" s="115">
        <f t="shared" si="8"/>
        <v>0</v>
      </c>
      <c r="X119" s="118">
        <f>IFERROR(_xlfn.XLOOKUP($A119,'Raw Data'!$G:$G,'Raw Data'!AI:AI),"")</f>
        <v>0</v>
      </c>
      <c r="Y119" s="118">
        <f>IFERROR(_xlfn.XLOOKUP($A119,'Raw Data'!$G:$G,'Raw Data'!AJ:AJ),"")</f>
        <v>0</v>
      </c>
      <c r="Z119" s="118">
        <f>IFERROR(_xlfn.XLOOKUP($A119,'Raw Data'!$G:$G,'Raw Data'!AK:AK),"")</f>
        <v>0</v>
      </c>
      <c r="AA119" s="118">
        <f>IFERROR(_xlfn.XLOOKUP($A119,'Raw Data'!$G:$G,'Raw Data'!AL:AL),"")</f>
        <v>0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3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0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0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0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 t="str">
        <f>IFERROR(1-SUMIF('Plant BD'!$F:$F,$A120,'Plant BD'!AE:AE)/($AA120+SUMIF('Plant BD'!$F:$F,$A120,'Plant BD'!AE:AE)),"")</f>
        <v/>
      </c>
      <c r="P120" s="122"/>
      <c r="Q120" s="121"/>
      <c r="R120" s="122" t="str">
        <f>IFERROR(1-SUMIF('Grid BD'!$H:$H,$A120,'Grid BD'!$AD:$AD)/($AA120+SUMIF('Grid BD'!$H:$H,$A120,'Plant BD'!$AE:$AE)),"")</f>
        <v/>
      </c>
      <c r="T120" s="121"/>
      <c r="U120" s="120" t="str">
        <f t="shared" si="9"/>
        <v/>
      </c>
      <c r="V120" s="120"/>
      <c r="W120" s="115">
        <f t="shared" si="8"/>
        <v>0</v>
      </c>
      <c r="X120" s="118">
        <f>IFERROR(_xlfn.XLOOKUP($A120,'Raw Data'!$G:$G,'Raw Data'!AI:AI),"")</f>
        <v>0</v>
      </c>
      <c r="Y120" s="118">
        <f>IFERROR(_xlfn.XLOOKUP($A120,'Raw Data'!$G:$G,'Raw Data'!AJ:AJ),"")</f>
        <v>0</v>
      </c>
      <c r="Z120" s="118">
        <f>IFERROR(_xlfn.XLOOKUP($A120,'Raw Data'!$G:$G,'Raw Data'!AK:AK),"")</f>
        <v>0</v>
      </c>
      <c r="AA120" s="118">
        <f>IFERROR(_xlfn.XLOOKUP($A120,'Raw Data'!$G:$G,'Raw Data'!AL:AL),"")</f>
        <v>0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3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0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0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0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 t="str">
        <f>IFERROR(1-SUMIF('Plant BD'!$F:$F,$A121,'Plant BD'!AE:AE)/($AA121+SUMIF('Plant BD'!$F:$F,$A121,'Plant BD'!AE:AE)),"")</f>
        <v/>
      </c>
      <c r="P121" s="122"/>
      <c r="Q121" s="121"/>
      <c r="R121" s="122" t="str">
        <f>IFERROR(1-SUMIF('Grid BD'!$H:$H,$A121,'Grid BD'!$AD:$AD)/($AA121+SUMIF('Grid BD'!$H:$H,$A121,'Plant BD'!$AE:$AE)),"")</f>
        <v/>
      </c>
      <c r="T121" s="121"/>
      <c r="U121" s="120" t="str">
        <f t="shared" si="9"/>
        <v/>
      </c>
      <c r="V121" s="120"/>
      <c r="W121" s="115">
        <f t="shared" si="8"/>
        <v>0</v>
      </c>
      <c r="X121" s="118">
        <f>IFERROR(_xlfn.XLOOKUP($A121,'Raw Data'!$G:$G,'Raw Data'!AI:AI),"")</f>
        <v>0</v>
      </c>
      <c r="Y121" s="118">
        <f>IFERROR(_xlfn.XLOOKUP($A121,'Raw Data'!$G:$G,'Raw Data'!AJ:AJ),"")</f>
        <v>0</v>
      </c>
      <c r="Z121" s="118">
        <f>IFERROR(_xlfn.XLOOKUP($A121,'Raw Data'!$G:$G,'Raw Data'!AK:AK),"")</f>
        <v>0</v>
      </c>
      <c r="AA121" s="118">
        <f>IFERROR(_xlfn.XLOOKUP($A121,'Raw Data'!$G:$G,'Raw Data'!AL:AL),"")</f>
        <v>0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3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3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3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3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3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3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3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3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3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3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3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3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3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3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3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3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3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3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3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3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3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3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3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3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3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3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3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3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3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3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3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3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3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3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3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3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3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3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3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3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3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3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3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3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3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3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3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3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3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3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3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3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3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3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3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3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3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3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3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3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3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3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3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3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3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3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3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3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3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3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3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3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3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3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3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3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3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3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3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3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3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3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3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3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3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3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3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3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3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3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3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3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3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3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3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3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3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3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3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3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3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3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3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3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3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3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3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3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3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3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3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3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3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3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3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3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3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3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3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3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3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3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3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3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3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3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3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3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3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3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3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3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3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3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3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3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3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3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3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3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3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3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3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3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3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3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3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3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3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3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3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3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3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3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3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3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3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3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3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3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3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3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3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3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3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3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3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3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3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3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3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3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3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3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3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3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3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3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3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3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3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3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3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3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3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3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3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3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3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3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3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3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3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3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3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3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3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3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3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3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3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3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3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3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3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3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3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3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3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3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3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3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3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3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3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3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3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3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3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3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3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3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3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3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3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3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3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3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3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3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3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3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3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3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3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3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3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3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3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3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3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3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3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3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3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3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3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3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03" activePane="bottomRight" state="frozen"/>
      <selection pane="topRight" activeCell="H1" sqref="H1"/>
      <selection pane="bottomLeft" activeCell="A4" sqref="A4"/>
      <selection pane="bottomRight" activeCell="AK119" sqref="AK119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5" width="9" style="2" customWidth="1"/>
    <col min="6" max="6" width="9" style="44" customWidth="1"/>
    <col min="7" max="7" width="12" style="45" customWidth="1"/>
    <col min="8" max="8" width="10.109375" style="2" customWidth="1"/>
    <col min="9" max="9" width="9.5546875" customWidth="1"/>
    <col min="10" max="22" width="10.88671875" customWidth="1"/>
    <col min="23" max="25" width="9.88671875" style="2" customWidth="1"/>
    <col min="26" max="26" width="10.109375" style="2" customWidth="1"/>
    <col min="27" max="27" width="12.109375" style="2" customWidth="1"/>
    <col min="28" max="28" width="12.5546875" style="2" bestFit="1" customWidth="1"/>
    <col min="29" max="29" width="13.5546875" style="2" bestFit="1" customWidth="1"/>
    <col min="30" max="30" width="20.5546875" style="2" bestFit="1" customWidth="1"/>
    <col min="31" max="31" width="19.5546875" style="2" bestFit="1" customWidth="1"/>
    <col min="32" max="32" width="14.44140625" style="2" bestFit="1" customWidth="1"/>
    <col min="33" max="33" width="9.44140625" style="2" customWidth="1"/>
    <col min="34" max="34" width="8.44140625" style="2" customWidth="1"/>
    <col min="35" max="39" width="9.88671875" style="2" customWidth="1"/>
  </cols>
  <sheetData>
    <row r="1" spans="1:40" x14ac:dyDescent="0.3">
      <c r="F1" s="2"/>
      <c r="G1"/>
      <c r="Z1" s="21">
        <v>1753.2748485000045</v>
      </c>
      <c r="AA1" s="2">
        <v>4.5499999999995975</v>
      </c>
    </row>
    <row r="2" spans="1:40" x14ac:dyDescent="0.3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3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3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3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3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3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3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3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3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3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3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3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3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3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3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3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3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3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3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3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3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3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3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3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3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3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3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3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3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3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3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3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3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3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3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3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3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3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3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3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3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3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3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3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3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3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3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3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3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3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3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3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3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3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3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3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3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3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3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3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3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3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3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3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3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3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3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3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3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3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3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3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3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3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3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3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3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3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3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3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3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3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3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3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3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3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3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3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3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3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3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3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3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3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3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3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3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3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3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3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3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3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3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3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3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3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3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3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3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3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3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3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3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3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3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3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3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3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/>
      <c r="J119" s="41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1"/>
      <c r="AA119" s="81"/>
      <c r="AB119" s="81"/>
      <c r="AC119" s="81"/>
      <c r="AD119" s="81"/>
      <c r="AE119" s="81"/>
      <c r="AF119" s="81"/>
      <c r="AG119" s="81"/>
      <c r="AH119" s="81"/>
      <c r="AI119" s="11">
        <f>SUM(Raw_Data[[#This Row],[Inv1]:[Inv3]])</f>
        <v>0</v>
      </c>
      <c r="AJ119" s="11">
        <v>0</v>
      </c>
      <c r="AK119" s="11"/>
      <c r="AL119" s="11">
        <f>Raw_Data[[#This Row],[Export  (kWh)]]-Raw_Data[[#This Row],[Import (kWh)]]</f>
        <v>0</v>
      </c>
      <c r="AM119" s="21">
        <f t="shared" ref="AM119:AM134" si="110">IFERROR((J119-I119)*24,"")</f>
        <v>0</v>
      </c>
    </row>
    <row r="120" spans="1:39" x14ac:dyDescent="0.3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/>
      <c r="J120" s="41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1"/>
      <c r="AA120" s="81"/>
      <c r="AB120" s="81"/>
      <c r="AC120" s="81"/>
      <c r="AD120" s="81"/>
      <c r="AE120" s="81"/>
      <c r="AF120" s="81"/>
      <c r="AG120" s="81"/>
      <c r="AH120" s="81"/>
      <c r="AI120" s="11">
        <f>SUM(Raw_Data[[#This Row],[Inv1]:[Inv3]])</f>
        <v>0</v>
      </c>
      <c r="AJ120" s="11">
        <v>0</v>
      </c>
      <c r="AK120" s="11"/>
      <c r="AL120" s="11">
        <f>Raw_Data[[#This Row],[Export  (kWh)]]-Raw_Data[[#This Row],[Import (kWh)]]</f>
        <v>0</v>
      </c>
      <c r="AM120" s="21">
        <f t="shared" si="110"/>
        <v>0</v>
      </c>
    </row>
    <row r="121" spans="1:39" x14ac:dyDescent="0.3">
      <c r="A121" s="164">
        <f>YEAR(Raw_Data[[#This Row],[Date]])+IF(MONTH(Raw_Data[[#This Row],[Date]])&gt;=4,1,0)</f>
        <v>2026</v>
      </c>
      <c r="B121" s="42"/>
      <c r="C121" s="81"/>
      <c r="D121" s="81"/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/>
      <c r="J121" s="4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1"/>
      <c r="AA121" s="81"/>
      <c r="AB121" s="81"/>
      <c r="AC121" s="81"/>
      <c r="AD121" s="81"/>
      <c r="AE121" s="81"/>
      <c r="AF121" s="81"/>
      <c r="AG121" s="81"/>
      <c r="AH121" s="81"/>
      <c r="AI121" s="11">
        <f>SUM(Raw_Data[[#This Row],[Inv1]:[Inv3]])</f>
        <v>0</v>
      </c>
      <c r="AJ121" s="11">
        <v>0</v>
      </c>
      <c r="AK121" s="11"/>
      <c r="AL121" s="11">
        <f>Raw_Data[[#This Row],[Export  (kWh)]]-Raw_Data[[#This Row],[Import (kWh)]]</f>
        <v>0</v>
      </c>
      <c r="AM121" s="21">
        <f t="shared" si="110"/>
        <v>0</v>
      </c>
    </row>
    <row r="122" spans="1:39" x14ac:dyDescent="0.3">
      <c r="A122" s="164">
        <f>YEAR(Raw_Data[[#This Row],[Date]])+IF(MONTH(Raw_Data[[#This Row],[Date]])&gt;=4,1,0)</f>
        <v>2026</v>
      </c>
      <c r="B122" s="42"/>
      <c r="C122" s="81"/>
      <c r="D122" s="81"/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/>
      <c r="J122" s="4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1"/>
      <c r="AA122" s="81"/>
      <c r="AB122" s="81"/>
      <c r="AC122" s="81"/>
      <c r="AD122" s="81"/>
      <c r="AE122" s="81"/>
      <c r="AF122" s="81"/>
      <c r="AG122" s="81"/>
      <c r="AH122" s="81"/>
      <c r="AI122" s="11">
        <f>SUM(Raw_Data[[#This Row],[Inv1]:[Inv3]])</f>
        <v>0</v>
      </c>
      <c r="AJ122" s="11">
        <v>0</v>
      </c>
      <c r="AK122" s="11"/>
      <c r="AL122" s="11">
        <f>Raw_Data[[#This Row],[Export  (kWh)]]-Raw_Data[[#This Row],[Import (kWh)]]</f>
        <v>0</v>
      </c>
      <c r="AM122" s="21">
        <f t="shared" si="110"/>
        <v>0</v>
      </c>
    </row>
    <row r="123" spans="1:39" x14ac:dyDescent="0.3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si="110"/>
        <v>0</v>
      </c>
    </row>
    <row r="124" spans="1:39" x14ac:dyDescent="0.3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10"/>
        <v>0</v>
      </c>
    </row>
    <row r="125" spans="1:39" x14ac:dyDescent="0.3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10"/>
        <v>0</v>
      </c>
    </row>
    <row r="126" spans="1:39" x14ac:dyDescent="0.3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0"/>
        <v>0</v>
      </c>
    </row>
    <row r="127" spans="1:39" x14ac:dyDescent="0.3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0"/>
        <v>0</v>
      </c>
    </row>
    <row r="128" spans="1:39" x14ac:dyDescent="0.3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0"/>
        <v>0</v>
      </c>
    </row>
    <row r="129" spans="1:39" x14ac:dyDescent="0.3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0"/>
        <v>0</v>
      </c>
    </row>
    <row r="130" spans="1:39" x14ac:dyDescent="0.3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0"/>
        <v>0</v>
      </c>
    </row>
    <row r="131" spans="1:39" x14ac:dyDescent="0.3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0"/>
        <v>0</v>
      </c>
    </row>
    <row r="132" spans="1:39" x14ac:dyDescent="0.3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0"/>
        <v>0</v>
      </c>
    </row>
    <row r="133" spans="1:39" x14ac:dyDescent="0.3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1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0"/>
        <v>0</v>
      </c>
    </row>
    <row r="134" spans="1:39" x14ac:dyDescent="0.3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1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0"/>
        <v>0</v>
      </c>
    </row>
    <row r="135" spans="1:39" x14ac:dyDescent="0.3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3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3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3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3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3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3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3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3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3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3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3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3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4.4" x14ac:dyDescent="0.3"/>
  <cols>
    <col min="1" max="1" width="22.44140625" bestFit="1" customWidth="1"/>
    <col min="2" max="2" width="19.5546875" style="2" bestFit="1" customWidth="1"/>
    <col min="3" max="3" width="18.33203125" style="2" customWidth="1"/>
    <col min="5" max="5" width="25.5546875" bestFit="1" customWidth="1"/>
  </cols>
  <sheetData>
    <row r="1" spans="1:10" s="10" customFormat="1" ht="28.8" x14ac:dyDescent="0.3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3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3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3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3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3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3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3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3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3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3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3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3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3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3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3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3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3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3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3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3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3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3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3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3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3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3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3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3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3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3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3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3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3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3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3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3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3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3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3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3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3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3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3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3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3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3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3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3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3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3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3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3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3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3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3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3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3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3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3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3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3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3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3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3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3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3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3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3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3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3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3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3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3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3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3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3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3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3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3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3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3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3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3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3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3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3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3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3">
      <c r="A89" s="4" t="s">
        <v>283</v>
      </c>
      <c r="B89" s="6">
        <f>SUM(B86:B88)</f>
        <v>7099.2000000000007</v>
      </c>
      <c r="C89" s="9">
        <v>1</v>
      </c>
    </row>
    <row r="90" spans="1:3" x14ac:dyDescent="0.3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3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3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3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3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3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3">
      <c r="A96" s="82" t="s">
        <v>290</v>
      </c>
      <c r="B96" s="83">
        <v>11.34</v>
      </c>
      <c r="C96" s="9">
        <f t="shared" si="2"/>
        <v>1.5973630831643E-3</v>
      </c>
    </row>
    <row r="97" spans="1:3" x14ac:dyDescent="0.3">
      <c r="A97" s="82" t="s">
        <v>291</v>
      </c>
      <c r="B97" s="83">
        <v>11.34</v>
      </c>
      <c r="C97" s="9">
        <f t="shared" si="2"/>
        <v>1.5973630831643E-3</v>
      </c>
    </row>
    <row r="98" spans="1:3" x14ac:dyDescent="0.3">
      <c r="A98" s="82" t="s">
        <v>292</v>
      </c>
      <c r="B98" s="83">
        <v>11.34</v>
      </c>
      <c r="C98" s="9">
        <f t="shared" si="2"/>
        <v>1.5973630831643E-3</v>
      </c>
    </row>
    <row r="99" spans="1:3" x14ac:dyDescent="0.3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3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3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3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3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3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3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3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3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3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3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3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3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3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3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3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3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3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3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3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3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3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3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3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3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3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3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3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3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3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3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3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3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3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3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3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3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3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3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3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3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3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3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3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3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3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3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3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3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3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3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3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3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3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3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3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3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3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3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3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3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3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3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3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3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3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3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3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3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3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3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3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3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3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3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3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3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3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3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3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3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3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3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3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3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3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3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3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3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3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3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3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3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3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3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3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3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3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3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3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3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3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3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3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3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3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3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3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3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3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3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3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3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3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3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3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3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3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3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3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3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3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3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3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3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3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3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3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3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3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3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3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3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3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3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3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3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3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3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3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3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3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3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3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3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3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3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3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3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3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3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3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3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3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3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3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3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3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3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3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3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3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3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3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3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3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3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3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3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3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3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3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3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3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3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3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3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3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3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3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3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3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3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3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3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3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3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3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3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3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3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3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3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3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3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3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3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3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3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3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3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3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3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3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3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3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3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3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3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3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3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3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3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3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3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3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3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3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3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3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3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3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3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3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3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3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3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3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3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3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3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3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3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3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3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3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3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3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3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3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3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3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3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3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3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3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3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3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3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3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3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3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3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3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3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3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3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3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3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3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3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3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3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3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3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3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3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3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3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3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3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3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3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3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3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3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3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3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3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3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3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3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3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3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3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3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3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3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3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3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3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3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3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3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3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3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3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3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3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3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3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3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3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3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3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3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3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3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3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3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3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3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3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3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3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3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3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3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3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3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3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3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3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3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3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3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3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3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3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3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3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3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3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3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3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3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3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3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3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3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3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3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3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3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3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3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3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3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3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3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3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3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3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3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3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3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3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3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3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3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3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3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3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3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3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3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3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3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3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3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3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3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3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3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3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3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3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3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3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3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3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3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3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3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3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3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3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3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3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3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3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3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3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3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3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3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3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3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3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3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3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3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3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3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3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3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3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3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3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3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3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3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3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3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3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3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3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3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3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3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3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3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3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3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3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3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3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3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3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3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3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3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3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3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3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3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3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3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3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3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3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3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3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3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3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3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3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3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3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3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3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3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3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3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3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3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3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3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3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3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3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3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3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3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3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3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3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3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3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3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3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3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3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3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3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3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3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3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3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3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3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3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3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3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3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3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3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3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3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3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3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3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3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3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3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3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3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3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3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3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3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3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3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3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3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3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3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3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3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3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3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3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3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3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3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3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3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3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3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3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3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3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3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3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3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3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3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3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3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3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3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3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3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3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3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3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3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3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3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3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3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3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3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3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3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3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3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3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3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3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3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3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3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3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3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3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3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3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3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3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3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3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3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3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3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3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3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3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3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3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3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3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3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3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3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3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3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3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3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3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3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3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3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3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3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3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3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3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3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3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3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3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3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3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3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3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3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3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3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3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3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3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3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3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3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3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3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3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3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3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3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3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3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3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3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3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3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3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3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3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3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3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3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3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3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3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6640625" defaultRowHeight="14.4" x14ac:dyDescent="0.3"/>
  <cols>
    <col min="1" max="2" width="9.33203125" style="117" customWidth="1"/>
    <col min="3" max="3" width="15.88671875" style="117" customWidth="1"/>
    <col min="4" max="6" width="8.6640625" style="117"/>
    <col min="7" max="7" width="20.5546875" style="117" customWidth="1"/>
    <col min="8" max="8" width="8.6640625" style="117"/>
    <col min="9" max="9" width="9.44140625" style="117" bestFit="1" customWidth="1"/>
    <col min="10" max="14" width="8.6640625" style="117"/>
    <col min="15" max="15" width="9.88671875" style="117" bestFit="1" customWidth="1"/>
    <col min="16" max="16" width="11" style="117" customWidth="1"/>
    <col min="17" max="17" width="15.33203125" style="117" customWidth="1"/>
    <col min="18" max="19" width="10.88671875" style="117" customWidth="1"/>
    <col min="20" max="20" width="13" style="117" customWidth="1"/>
    <col min="21" max="25" width="12.88671875" style="117" customWidth="1"/>
    <col min="26" max="27" width="14.5546875" style="117" customWidth="1"/>
    <col min="28" max="29" width="15.5546875" style="117" customWidth="1"/>
    <col min="30" max="38" width="9.88671875" style="117" customWidth="1"/>
    <col min="39" max="39" width="12" style="117" bestFit="1" customWidth="1"/>
    <col min="40" max="40" width="27.5546875" style="117" bestFit="1" customWidth="1"/>
    <col min="41" max="16384" width="8.6640625" style="117"/>
  </cols>
  <sheetData>
    <row r="1" spans="1:41" ht="43.2" x14ac:dyDescent="0.3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3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3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3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3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3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3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3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3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3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3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3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3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3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3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3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3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3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3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3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3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3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3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3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3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3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3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3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3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3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3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3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3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3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3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3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3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3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3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3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3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3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3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3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3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3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3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3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3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3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3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3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3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3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3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3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3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3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3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3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3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3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3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3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3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3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3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3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3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3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3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3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3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3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3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3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3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3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3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3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3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3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3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3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3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3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3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21</v>
      </c>
      <c r="R89" s="141">
        <f t="shared" si="37"/>
        <v>81.967741935483872</v>
      </c>
      <c r="S89" s="149">
        <f>SUMIF($F$2:F89,F89,$R$2:R89)</f>
        <v>598.56774193548381</v>
      </c>
      <c r="T89" s="140">
        <f t="shared" si="38"/>
        <v>20.295016135869183</v>
      </c>
      <c r="U89" s="141">
        <f t="shared" si="39"/>
        <v>426.19533885325285</v>
      </c>
      <c r="V89" s="149">
        <f>SUMIF($F$2:F89,F89,$U$2:U89)</f>
        <v>2954.7222083529123</v>
      </c>
      <c r="W89" s="142">
        <f t="shared" si="40"/>
        <v>0.11911562884943129</v>
      </c>
      <c r="X89" s="142">
        <f t="shared" si="73"/>
        <v>0.11911562884943129</v>
      </c>
      <c r="Y89" s="142">
        <f t="shared" si="74"/>
        <v>0.15483815247296226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3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598.56774193548381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2954.7222083529123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0.15483815247296226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3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598.56774193548381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2954.7222083529123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0.15483815247296226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3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598.56774193548381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2954.7222083529123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0.15483815247296226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3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598.56774193548381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2954.7222083529123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0.15483815247296226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3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598.56774193548381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2954.7222083529123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0.15483815247296226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3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598.56774193548381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2954.7222083529123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0.15483815247296226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3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598.56774193548381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2954.7222083529123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0.15483815247296226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3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598.56774193548381</v>
      </c>
      <c r="T97" s="140">
        <f>M97/G97</f>
        <v>33.827192387794739</v>
      </c>
      <c r="U97" s="141">
        <f>M97/G97*Q97</f>
        <v>0</v>
      </c>
      <c r="V97" s="149">
        <f>SUMIF($F$2:F97,F97,$U$2:U97)</f>
        <v>2954.7222083529123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0.15483815247296226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18"/>
  <sheetViews>
    <sheetView tabSelected="1" zoomScaleNormal="100" workbookViewId="0">
      <pane xSplit="8" ySplit="1" topLeftCell="I104" activePane="bottomRight" state="frozen"/>
      <selection pane="topRight" activeCell="I1" sqref="I1"/>
      <selection pane="bottomLeft" activeCell="A2" sqref="A2"/>
      <selection pane="bottomRight" activeCell="P121" sqref="P121"/>
    </sheetView>
  </sheetViews>
  <sheetFormatPr defaultColWidth="9.109375" defaultRowHeight="14.4" x14ac:dyDescent="0.3"/>
  <cols>
    <col min="1" max="2" width="11.109375" style="8" customWidth="1"/>
    <col min="3" max="3" width="12.44140625" style="8" customWidth="1"/>
    <col min="4" max="4" width="14.109375" style="8" customWidth="1"/>
    <col min="5" max="5" width="13" style="8" customWidth="1"/>
    <col min="6" max="6" width="10.88671875" style="8" customWidth="1"/>
    <col min="7" max="7" width="8.5546875" style="8" customWidth="1"/>
    <col min="8" max="8" width="11.5546875" style="8" customWidth="1"/>
    <col min="9" max="9" width="12.44140625" style="8" customWidth="1"/>
    <col min="10" max="11" width="8.88671875" style="8" customWidth="1"/>
    <col min="12" max="12" width="8.5546875" style="8" customWidth="1"/>
    <col min="13" max="15" width="8.88671875" style="8" customWidth="1"/>
    <col min="16" max="16" width="8.5546875" style="8" customWidth="1"/>
    <col min="17" max="21" width="9.5546875" style="8" customWidth="1"/>
    <col min="22" max="16384" width="9.109375" style="8"/>
  </cols>
  <sheetData>
    <row r="1" spans="1:39" ht="48" x14ac:dyDescent="0.3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3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3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3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3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3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3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3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3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3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3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3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3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3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3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3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3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3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3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3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3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3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3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3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3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3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3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3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3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3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3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3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3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3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3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3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3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3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3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3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3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3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3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3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3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3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3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3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3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3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3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3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3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3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3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3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3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3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3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3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3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3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3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3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3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3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3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3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3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3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3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3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3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3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3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3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3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18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3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3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3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3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3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3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3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3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3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3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3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3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3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3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3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3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3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3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3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3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3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3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3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3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3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3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3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3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3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3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3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3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3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3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3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3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3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3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3">
      <c r="A116" s="251">
        <f>YEAR(Inv_SY_D[[#This Row],[Date]])+IF(MONTH(Inv_SY_D[[#This Row],[Date]])&gt;=4,1,0)</f>
        <v>2026</v>
      </c>
      <c r="B116" s="251"/>
      <c r="C116" s="251">
        <f>YEAR(Inv_SY_D[[#This Row],[Month Year]])</f>
        <v>2025</v>
      </c>
      <c r="D116" s="251"/>
      <c r="E116" s="251"/>
      <c r="F116" s="252" t="str">
        <f>TEXT(Inv_SY_D[[#This Row],[Date]],"mmm-yy")</f>
        <v>Jul-25</v>
      </c>
      <c r="G116" s="253">
        <f>DAY(EOMONTH(Inv_SY_D[[#This Row],[Month Year]],0))</f>
        <v>31</v>
      </c>
      <c r="H116" s="219">
        <f t="shared" si="2"/>
        <v>45859</v>
      </c>
      <c r="I116" s="221">
        <v>7.0991999999999997</v>
      </c>
      <c r="J116" s="220">
        <f>IFERROR(Inv_SY!J118/Inv_SY!$Y118-1,"")</f>
        <v>3.1167299308979102E-2</v>
      </c>
      <c r="K116" s="220">
        <f>IFERROR(Inv_SY!K118/Inv_SY!$Y118-1,"")</f>
        <v>-0.14568988283994444</v>
      </c>
      <c r="L116" s="220">
        <f>IFERROR(Inv_SY!L118/Inv_SY!$Y118-1,"")</f>
        <v>2.3334018680888136E-2</v>
      </c>
      <c r="M116" s="220">
        <f>IFERROR(Inv_SY!M118/Inv_SY!$Y118-1,"")</f>
        <v>7.8099097345416757E-2</v>
      </c>
      <c r="N116" s="220">
        <f>IFERROR(Inv_SY!N118/Inv_SY!$Y118-1,"")</f>
        <v>-0.12350105616163476</v>
      </c>
      <c r="O116" s="220">
        <f>IFERROR(Inv_SY!O118/Inv_SY!$Y118-1,"")</f>
        <v>8.3488684474762653E-2</v>
      </c>
      <c r="P116" s="220">
        <f>IFERROR(Inv_SY!P118/Inv_SY!$Y118-1,"")</f>
        <v>-0.1235174369029326</v>
      </c>
      <c r="Q116" s="220">
        <f>IFERROR(Inv_SY!Q118/Inv_SY!$Y118-1,"")</f>
        <v>0.31222620597659745</v>
      </c>
      <c r="R116" s="220">
        <f>IFERROR(Inv_SY!R118/Inv_SY!$Y118-1,"")</f>
        <v>6.0009252586661121E-2</v>
      </c>
      <c r="S116" s="220">
        <f>IFERROR(Inv_SY!S118/Inv_SY!$Y118-1,"")</f>
        <v>-0.12217164053290663</v>
      </c>
      <c r="T116" s="220">
        <f>IFERROR(Inv_SY!T118/Inv_SY!$Y118-1,"")</f>
        <v>0.30292579393199381</v>
      </c>
      <c r="U116" s="220">
        <f>IFERROR(Inv_SY!U118/Inv_SY!$Y118-1,"")</f>
        <v>-0.12844675392844773</v>
      </c>
      <c r="V116" s="220">
        <f>IFERROR(Inv_SY!J118/Inv_SY!$Z118-1,"")</f>
        <v>2.143835007556194E-2</v>
      </c>
      <c r="W116" s="220">
        <f>IFERROR(Inv_SY!K118/Inv_SY!$Z118-1,"")</f>
        <v>-0.15375020415251395</v>
      </c>
      <c r="X116" s="220">
        <f>IFERROR(Inv_SY!L118/Inv_SY!$Z118-1,"")</f>
        <v>1.3678975582404718E-2</v>
      </c>
      <c r="Y116" s="220">
        <f>IFERROR(Inv_SY!M118/Inv_SY!$Z118-1,"")</f>
        <v>6.7927351796760238E-2</v>
      </c>
      <c r="Z116" s="220">
        <f>IFERROR(Inv_SY!N118/Inv_SY!$Z118-1,"")</f>
        <v>-0.13177072659577449</v>
      </c>
      <c r="AA116" s="220">
        <f>IFERROR(Inv_SY!O118/Inv_SY!$Z118-1,"")</f>
        <v>7.3266088768613846E-2</v>
      </c>
      <c r="AB116" s="220">
        <f>IFERROR(Inv_SY!P118/Inv_SY!$Z118-1,"")</f>
        <v>-0.13178695278659291</v>
      </c>
      <c r="AC116" s="220">
        <f>IFERROR(Inv_SY!Q118/Inv_SY!$Z118-1,"")</f>
        <v>0.29984549709525377</v>
      </c>
      <c r="AD116" s="220">
        <f>IFERROR(Inv_SY!R118/Inv_SY!$Z118-1,"")</f>
        <v>5.0008182719260219E-2</v>
      </c>
      <c r="AE116" s="220">
        <f>IFERROR(Inv_SY!S118/Inv_SY!$Z118-1,"")</f>
        <v>-0.1304538538562271</v>
      </c>
      <c r="AF116" s="220">
        <f>IFERROR(Inv_SY!T118/Inv_SY!$Z118-1,"")</f>
        <v>0.29063283340796553</v>
      </c>
      <c r="AG116" s="220">
        <f>IFERROR(Inv_SY!U118/Inv_SY!$Z118-1,"")</f>
        <v>-0.13666976225205574</v>
      </c>
      <c r="AH116" s="220">
        <f>IFERROR(Inv_SY!V118/Inv_SY!$Y118-1,"")</f>
        <v>-1.0079409153983088E-2</v>
      </c>
      <c r="AI116" s="220">
        <f>IFERROR(Inv_SY!W118/Inv_SY!$Y118-1,"")</f>
        <v>9.5247542181056133E-3</v>
      </c>
      <c r="AJ116" s="220">
        <f>IFERROR(Inv_SY!X118/Inv_SY!$Y118-1,"")</f>
        <v>5.5465493587791848E-4</v>
      </c>
      <c r="AK116" s="220">
        <f>IFERROR(Inv_SY!V118/Inv_SY!$Z118-1,"")</f>
        <v>-1.9419200262476566E-2</v>
      </c>
      <c r="AL116" s="220">
        <f>IFERROR(Inv_SY!W118/Inv_SY!$Z118-1,"")</f>
        <v>0</v>
      </c>
      <c r="AM116" s="220">
        <f>IFERROR(Inv_SY!X118/Inv_SY!$Z118-1,"")</f>
        <v>-8.8854673892324598E-3</v>
      </c>
    </row>
    <row r="117" spans="1:39" x14ac:dyDescent="0.3">
      <c r="A117" s="251">
        <f>YEAR(Inv_SY_D[[#This Row],[Date]])+IF(MONTH(Inv_SY_D[[#This Row],[Date]])&gt;=4,1,0)</f>
        <v>2026</v>
      </c>
      <c r="B117" s="251"/>
      <c r="C117" s="251">
        <f>YEAR(Inv_SY_D[[#This Row],[Month Year]])</f>
        <v>2025</v>
      </c>
      <c r="D117" s="251"/>
      <c r="E117" s="251"/>
      <c r="F117" s="252" t="str">
        <f>TEXT(Inv_SY_D[[#This Row],[Date]],"mmm-yy")</f>
        <v>Jul-25</v>
      </c>
      <c r="G117" s="253">
        <f>DAY(EOMONTH(Inv_SY_D[[#This Row],[Month Year]],0))</f>
        <v>31</v>
      </c>
      <c r="H117" s="219">
        <f t="shared" si="2"/>
        <v>45860</v>
      </c>
      <c r="I117" s="221">
        <v>7.0991999999999997</v>
      </c>
      <c r="J117" s="220" t="str">
        <f>IFERROR(Inv_SY!J119/Inv_SY!$Y119-1,"")</f>
        <v/>
      </c>
      <c r="K117" s="220" t="str">
        <f>IFERROR(Inv_SY!K119/Inv_SY!$Y119-1,"")</f>
        <v/>
      </c>
      <c r="L117" s="220" t="str">
        <f>IFERROR(Inv_SY!L119/Inv_SY!$Y119-1,"")</f>
        <v/>
      </c>
      <c r="M117" s="220" t="str">
        <f>IFERROR(Inv_SY!M119/Inv_SY!$Y119-1,"")</f>
        <v/>
      </c>
      <c r="N117" s="220" t="str">
        <f>IFERROR(Inv_SY!N119/Inv_SY!$Y119-1,"")</f>
        <v/>
      </c>
      <c r="O117" s="220" t="str">
        <f>IFERROR(Inv_SY!O119/Inv_SY!$Y119-1,"")</f>
        <v/>
      </c>
      <c r="P117" s="220" t="str">
        <f>IFERROR(Inv_SY!P119/Inv_SY!$Y119-1,"")</f>
        <v/>
      </c>
      <c r="Q117" s="220" t="str">
        <f>IFERROR(Inv_SY!Q119/Inv_SY!$Y119-1,"")</f>
        <v/>
      </c>
      <c r="R117" s="220" t="str">
        <f>IFERROR(Inv_SY!R119/Inv_SY!$Y119-1,"")</f>
        <v/>
      </c>
      <c r="S117" s="220" t="str">
        <f>IFERROR(Inv_SY!S119/Inv_SY!$Y119-1,"")</f>
        <v/>
      </c>
      <c r="T117" s="220" t="str">
        <f>IFERROR(Inv_SY!T119/Inv_SY!$Y119-1,"")</f>
        <v/>
      </c>
      <c r="U117" s="220" t="str">
        <f>IFERROR(Inv_SY!U119/Inv_SY!$Y119-1,"")</f>
        <v/>
      </c>
      <c r="V117" s="220" t="str">
        <f>IFERROR(Inv_SY!J119/Inv_SY!$Z119-1,"")</f>
        <v/>
      </c>
      <c r="W117" s="220" t="str">
        <f>IFERROR(Inv_SY!K119/Inv_SY!$Z119-1,"")</f>
        <v/>
      </c>
      <c r="X117" s="220" t="str">
        <f>IFERROR(Inv_SY!L119/Inv_SY!$Z119-1,"")</f>
        <v/>
      </c>
      <c r="Y117" s="220" t="str">
        <f>IFERROR(Inv_SY!M119/Inv_SY!$Z119-1,"")</f>
        <v/>
      </c>
      <c r="Z117" s="220" t="str">
        <f>IFERROR(Inv_SY!N119/Inv_SY!$Z119-1,"")</f>
        <v/>
      </c>
      <c r="AA117" s="220" t="str">
        <f>IFERROR(Inv_SY!O119/Inv_SY!$Z119-1,"")</f>
        <v/>
      </c>
      <c r="AB117" s="220" t="str">
        <f>IFERROR(Inv_SY!P119/Inv_SY!$Z119-1,"")</f>
        <v/>
      </c>
      <c r="AC117" s="220" t="str">
        <f>IFERROR(Inv_SY!Q119/Inv_SY!$Z119-1,"")</f>
        <v/>
      </c>
      <c r="AD117" s="220" t="str">
        <f>IFERROR(Inv_SY!R119/Inv_SY!$Z119-1,"")</f>
        <v/>
      </c>
      <c r="AE117" s="220" t="str">
        <f>IFERROR(Inv_SY!S119/Inv_SY!$Z119-1,"")</f>
        <v/>
      </c>
      <c r="AF117" s="220" t="str">
        <f>IFERROR(Inv_SY!T119/Inv_SY!$Z119-1,"")</f>
        <v/>
      </c>
      <c r="AG117" s="220" t="str">
        <f>IFERROR(Inv_SY!U119/Inv_SY!$Z119-1,"")</f>
        <v/>
      </c>
      <c r="AH117" s="220" t="str">
        <f>IFERROR(Inv_SY!V119/Inv_SY!$Y119-1,"")</f>
        <v/>
      </c>
      <c r="AI117" s="220" t="str">
        <f>IFERROR(Inv_SY!W119/Inv_SY!$Y119-1,"")</f>
        <v/>
      </c>
      <c r="AJ117" s="220" t="str">
        <f>IFERROR(Inv_SY!X119/Inv_SY!$Y119-1,"")</f>
        <v/>
      </c>
      <c r="AK117" s="220" t="str">
        <f>IFERROR(Inv_SY!V119/Inv_SY!$Z119-1,"")</f>
        <v/>
      </c>
      <c r="AL117" s="220" t="str">
        <f>IFERROR(Inv_SY!W119/Inv_SY!$Z119-1,"")</f>
        <v/>
      </c>
      <c r="AM117" s="220" t="str">
        <f>IFERROR(Inv_SY!X119/Inv_SY!$Z119-1,"")</f>
        <v/>
      </c>
    </row>
    <row r="118" spans="1:39" x14ac:dyDescent="0.3">
      <c r="A118" s="251">
        <f>YEAR(Inv_SY_D[[#This Row],[Date]])+IF(MONTH(Inv_SY_D[[#This Row],[Date]])&gt;=4,1,0)</f>
        <v>2026</v>
      </c>
      <c r="B118" s="251"/>
      <c r="C118" s="251">
        <f>YEAR(Inv_SY_D[[#This Row],[Month Year]])</f>
        <v>2025</v>
      </c>
      <c r="D118" s="251"/>
      <c r="E118" s="251"/>
      <c r="F118" s="252" t="str">
        <f>TEXT(Inv_SY_D[[#This Row],[Date]],"mmm-yy")</f>
        <v>Jul-25</v>
      </c>
      <c r="G118" s="253">
        <f>DAY(EOMONTH(Inv_SY_D[[#This Row],[Month Year]],0))</f>
        <v>31</v>
      </c>
      <c r="H118" s="219">
        <f t="shared" si="2"/>
        <v>45861</v>
      </c>
      <c r="I118" s="221">
        <v>7.0991999999999997</v>
      </c>
      <c r="J118" s="220" t="str">
        <f>IFERROR(Inv_SY!J120/Inv_SY!$Y120-1,"")</f>
        <v/>
      </c>
      <c r="K118" s="220" t="str">
        <f>IFERROR(Inv_SY!K120/Inv_SY!$Y120-1,"")</f>
        <v/>
      </c>
      <c r="L118" s="220" t="str">
        <f>IFERROR(Inv_SY!L120/Inv_SY!$Y120-1,"")</f>
        <v/>
      </c>
      <c r="M118" s="220" t="str">
        <f>IFERROR(Inv_SY!M120/Inv_SY!$Y120-1,"")</f>
        <v/>
      </c>
      <c r="N118" s="220" t="str">
        <f>IFERROR(Inv_SY!N120/Inv_SY!$Y120-1,"")</f>
        <v/>
      </c>
      <c r="O118" s="220" t="str">
        <f>IFERROR(Inv_SY!O120/Inv_SY!$Y120-1,"")</f>
        <v/>
      </c>
      <c r="P118" s="220" t="str">
        <f>IFERROR(Inv_SY!P120/Inv_SY!$Y120-1,"")</f>
        <v/>
      </c>
      <c r="Q118" s="220" t="str">
        <f>IFERROR(Inv_SY!Q120/Inv_SY!$Y120-1,"")</f>
        <v/>
      </c>
      <c r="R118" s="220" t="str">
        <f>IFERROR(Inv_SY!R120/Inv_SY!$Y120-1,"")</f>
        <v/>
      </c>
      <c r="S118" s="220" t="str">
        <f>IFERROR(Inv_SY!S120/Inv_SY!$Y120-1,"")</f>
        <v/>
      </c>
      <c r="T118" s="220" t="str">
        <f>IFERROR(Inv_SY!T120/Inv_SY!$Y120-1,"")</f>
        <v/>
      </c>
      <c r="U118" s="220" t="str">
        <f>IFERROR(Inv_SY!U120/Inv_SY!$Y120-1,"")</f>
        <v/>
      </c>
      <c r="V118" s="220" t="str">
        <f>IFERROR(Inv_SY!J120/Inv_SY!$Z120-1,"")</f>
        <v/>
      </c>
      <c r="W118" s="220" t="str">
        <f>IFERROR(Inv_SY!K120/Inv_SY!$Z120-1,"")</f>
        <v/>
      </c>
      <c r="X118" s="220" t="str">
        <f>IFERROR(Inv_SY!L120/Inv_SY!$Z120-1,"")</f>
        <v/>
      </c>
      <c r="Y118" s="220" t="str">
        <f>IFERROR(Inv_SY!M120/Inv_SY!$Z120-1,"")</f>
        <v/>
      </c>
      <c r="Z118" s="220" t="str">
        <f>IFERROR(Inv_SY!N120/Inv_SY!$Z120-1,"")</f>
        <v/>
      </c>
      <c r="AA118" s="220" t="str">
        <f>IFERROR(Inv_SY!O120/Inv_SY!$Z120-1,"")</f>
        <v/>
      </c>
      <c r="AB118" s="220" t="str">
        <f>IFERROR(Inv_SY!P120/Inv_SY!$Z120-1,"")</f>
        <v/>
      </c>
      <c r="AC118" s="220" t="str">
        <f>IFERROR(Inv_SY!Q120/Inv_SY!$Z120-1,"")</f>
        <v/>
      </c>
      <c r="AD118" s="220" t="str">
        <f>IFERROR(Inv_SY!R120/Inv_SY!$Z120-1,"")</f>
        <v/>
      </c>
      <c r="AE118" s="220" t="str">
        <f>IFERROR(Inv_SY!S120/Inv_SY!$Z120-1,"")</f>
        <v/>
      </c>
      <c r="AF118" s="220" t="str">
        <f>IFERROR(Inv_SY!T120/Inv_SY!$Z120-1,"")</f>
        <v/>
      </c>
      <c r="AG118" s="220" t="str">
        <f>IFERROR(Inv_SY!U120/Inv_SY!$Z120-1,"")</f>
        <v/>
      </c>
      <c r="AH118" s="220" t="str">
        <f>IFERROR(Inv_SY!V120/Inv_SY!$Y120-1,"")</f>
        <v/>
      </c>
      <c r="AI118" s="220" t="str">
        <f>IFERROR(Inv_SY!W120/Inv_SY!$Y120-1,"")</f>
        <v/>
      </c>
      <c r="AJ118" s="220" t="str">
        <f>IFERROR(Inv_SY!X120/Inv_SY!$Y120-1,"")</f>
        <v/>
      </c>
      <c r="AK118" s="220" t="str">
        <f>IFERROR(Inv_SY!V120/Inv_SY!$Z120-1,"")</f>
        <v/>
      </c>
      <c r="AL118" s="220" t="str">
        <f>IFERROR(Inv_SY!W120/Inv_SY!$Z120-1,"")</f>
        <v/>
      </c>
      <c r="AM118" s="220" t="str">
        <f>IFERROR(Inv_SY!X120/Inv_SY!$Z120-1,"")</f>
        <v/>
      </c>
    </row>
  </sheetData>
  <phoneticPr fontId="17" type="noConversion"/>
  <conditionalFormatting sqref="J2:J118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18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18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18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18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18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18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18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18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18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1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18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18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18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18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2" sqref="AF42"/>
    </sheetView>
  </sheetViews>
  <sheetFormatPr defaultRowHeight="14.4" x14ac:dyDescent="0.3"/>
  <cols>
    <col min="1" max="1" width="11.88671875" bestFit="1" customWidth="1"/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5546875" style="2" customWidth="1"/>
    <col min="8" max="8" width="11.44140625" customWidth="1"/>
    <col min="9" max="9" width="16.44140625" customWidth="1"/>
    <col min="10" max="10" width="12.88671875" customWidth="1"/>
    <col min="11" max="11" width="13.6640625" style="3" customWidth="1"/>
    <col min="12" max="12" width="11.5546875" customWidth="1"/>
    <col min="13" max="13" width="14.5546875" style="2" customWidth="1"/>
    <col min="14" max="14" width="11.5546875" customWidth="1"/>
    <col min="15" max="15" width="11.33203125" customWidth="1"/>
    <col min="16" max="16" width="14.5546875" style="2" customWidth="1"/>
    <col min="17" max="17" width="20" customWidth="1"/>
    <col min="18" max="18" width="48.5546875" hidden="1" customWidth="1"/>
    <col min="19" max="20" width="9" customWidth="1"/>
    <col min="21" max="21" width="9.33203125" customWidth="1"/>
    <col min="22" max="22" width="13.33203125" customWidth="1"/>
    <col min="23" max="23" width="13.88671875" bestFit="1" customWidth="1"/>
    <col min="24" max="24" width="12.5546875" customWidth="1"/>
    <col min="25" max="25" width="17.109375" customWidth="1"/>
    <col min="26" max="26" width="51" bestFit="1" customWidth="1"/>
    <col min="27" max="27" width="13" customWidth="1"/>
    <col min="28" max="28" width="22.44140625" customWidth="1"/>
    <col min="29" max="29" width="11.44140625" customWidth="1"/>
    <col min="30" max="30" width="15.44140625" customWidth="1"/>
  </cols>
  <sheetData>
    <row r="1" spans="1:31" hidden="1" x14ac:dyDescent="0.3"/>
    <row r="2" spans="1:31" ht="41.4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3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3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3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3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3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3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3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3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3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3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3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3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3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3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3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3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3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3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3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3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3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3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3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3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3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3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3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3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3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3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3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3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3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3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3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3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3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3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3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3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3">
      <c r="A43" s="70">
        <f t="shared" si="0"/>
        <v>41</v>
      </c>
      <c r="B43" s="53">
        <f>YEAR(Grid_BD[[#This Row],[Date]])+IF(MONTH(Grid_BD[[#This Row],[Date]])&gt;=4,1,0)</f>
        <v>1900</v>
      </c>
      <c r="C43" s="54">
        <f>YEAR(Grid_BD[[#This Row],[Month Year]])</f>
        <v>1900</v>
      </c>
      <c r="D43" s="54"/>
      <c r="E43" s="54"/>
      <c r="F43" s="105">
        <f>Grid_BD[[#This Row],[Date]]-DAY(Grid_BD[[#This Row],[Date]])+1</f>
        <v>1</v>
      </c>
      <c r="G43" s="46">
        <f>DAY(EOMONTH(Grid_BD[[#This Row],[Month Year]],0))</f>
        <v>31</v>
      </c>
      <c r="H43" s="57"/>
      <c r="I43" s="48" t="str">
        <f>IFERROR(VLOOKUP(Grid_BD[[#This Row],[Date]],'Raw Data'!$G$4:$J$1048576,3,0),"")</f>
        <v/>
      </c>
      <c r="J43" s="72" t="str">
        <f>IFERROR(VLOOKUP(Grid_BD[[#This Row],[Date]],'Raw Data'!$G$4:$J$1048576,4,0),"")</f>
        <v/>
      </c>
      <c r="K43" s="47" t="str">
        <f>IFERROR((Grid_BD[[#This Row],[Sunset Time (POA&lt;20 W/m2)]]-Grid_BD[[#This Row],[Sunrise Time (POA&gt;20 W/m2)]])*24," ")</f>
        <v xml:space="preserve"> </v>
      </c>
      <c r="L43" s="54"/>
      <c r="M43" s="46" t="str">
        <f>IFERROR(VLOOKUP(Grid_BD[[#This Row],[Affceted Equipment]],'Basic Data'!$A$2:$B$108,2,0),"")</f>
        <v/>
      </c>
      <c r="N43" s="54"/>
      <c r="O43" s="54"/>
      <c r="P43" s="49" t="str">
        <f>IFERROR(VLOOKUP(Grid_BD[[#This Row],[Affceted Equipment]],'Basic Data'!$A$2:$C$118,3,0),"")</f>
        <v/>
      </c>
      <c r="Q43" s="54"/>
      <c r="R43" s="54"/>
      <c r="S43" s="60"/>
      <c r="T43" s="60"/>
      <c r="U43" s="60"/>
      <c r="V43" s="60"/>
      <c r="W43" s="46"/>
      <c r="X43" s="46"/>
      <c r="Y43" s="59"/>
      <c r="Z43" s="59"/>
      <c r="AA43" s="54"/>
      <c r="AB43" s="86" t="str">
        <f>IFERROR(Grid_BD[[#This Row],[Plant Equivalent Weightage]]*Grid_BD[[#This Row],[Resolution Time]],"")</f>
        <v/>
      </c>
      <c r="AC43" s="47"/>
      <c r="AD43" s="79" t="str">
        <f>IFERROR(_xlfn.XLOOKUP($F43,'Modelling New'!$D:$D,'Modelling New'!$O:$O)*Grid_BD[[#This Row],[Lost POA (kWh/m2)]]*Grid_BD[[#This Row],[DC Capacity Affceted (kW)]],"")</f>
        <v/>
      </c>
    </row>
    <row r="44" spans="1:30" x14ac:dyDescent="0.3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3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3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3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3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3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3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3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3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3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3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3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3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3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3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3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3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3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3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3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3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3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3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3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3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3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3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3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3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3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3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3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3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3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3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3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3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3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3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3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3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3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3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3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3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3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3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3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3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3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3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3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3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3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3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3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3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3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3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3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3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3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3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3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3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3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3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3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3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3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3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3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3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3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3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3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3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3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3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3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3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3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3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3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3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3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3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3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3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3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3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3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3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3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3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3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3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3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3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3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3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3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3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3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3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3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3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3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3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3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3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3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3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3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3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3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3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3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3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3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3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3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3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3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3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3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3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3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3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3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3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3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3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3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3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3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3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3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3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3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3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3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3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3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3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3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3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3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3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3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3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3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3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3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3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3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3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3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3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3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3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3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3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3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3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3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3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3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3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3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3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3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3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3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3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3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3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3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3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3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3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3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3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3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3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3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3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3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3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3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3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3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3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3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3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3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3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3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3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3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3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3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3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3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3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3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3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3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3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3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3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3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3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3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3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3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3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3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3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3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3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3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3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3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3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3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3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3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3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3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3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3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3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3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3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3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3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3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3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3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3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3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3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3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3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3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3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3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3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3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3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3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3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3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3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3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3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3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3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3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3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3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3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3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3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3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3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3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3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3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3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3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3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3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3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3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3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3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3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3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3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3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3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3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3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3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3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3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3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3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3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3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3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3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3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3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3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3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3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3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3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3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3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3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3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3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3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3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3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3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3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3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3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3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3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3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3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3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3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3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3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3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3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3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3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3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3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3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3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3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3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3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3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3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3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3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3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3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3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3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3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3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3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3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3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3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3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3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3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3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3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3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3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3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3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3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3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3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3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3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3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3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3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3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3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3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3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3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3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3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3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3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3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3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3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3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3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3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3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3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3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3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3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3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3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3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3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3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3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3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3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3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3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3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3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3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3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3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3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3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3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3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3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3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3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3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3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3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3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3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3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3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3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3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3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3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3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3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3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3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3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3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3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3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3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3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3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3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3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3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3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3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3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3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3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3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3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3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3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3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3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3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3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3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3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3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3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3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3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3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3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3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3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3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3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3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3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3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3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3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3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3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3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3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3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3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3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3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3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3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3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3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3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3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3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3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3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3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3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3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3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3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3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3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3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3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3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3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3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3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3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3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3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3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3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3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3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3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3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3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3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3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3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3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3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3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3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3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3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3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3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3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3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3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3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3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3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3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3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3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3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3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3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3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3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3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3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3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3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3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3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3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3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3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3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3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3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3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3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3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3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3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3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3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3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3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3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3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3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3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3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3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3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3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3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3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3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3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3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3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3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3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3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3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3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3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3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3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3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3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3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3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3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3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3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3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3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3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3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3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3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3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3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3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3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3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3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3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3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3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3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3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3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3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3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3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3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3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3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3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3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3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3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3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3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3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3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3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3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3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3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3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3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3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3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3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3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3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3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3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3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3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3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3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3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3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3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3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3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3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3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3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3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3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3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3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3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3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3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3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3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3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3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3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3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3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3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3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3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3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3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3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3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3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3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3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3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3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3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3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3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3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3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3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3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3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3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3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3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3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3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3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3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3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3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3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3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3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3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3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3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3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3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3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3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3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3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3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3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3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3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3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3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3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3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3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3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3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3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3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3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3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3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3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3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3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3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3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3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3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3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3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3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3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3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3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3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3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3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3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3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3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3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3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3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3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3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3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3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3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3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48"/>
  <sheetViews>
    <sheetView topLeftCell="A3" zoomScale="85" zoomScaleNormal="85" workbookViewId="0">
      <pane xSplit="8" ySplit="1" topLeftCell="I37" activePane="bottomRight" state="frozen"/>
      <selection pane="topRight" activeCell="I3" sqref="I3"/>
      <selection pane="bottomLeft" activeCell="A4" sqref="A4"/>
      <selection pane="bottomRight" activeCell="A47" sqref="A47"/>
    </sheetView>
  </sheetViews>
  <sheetFormatPr defaultRowHeight="14.4" x14ac:dyDescent="0.3"/>
  <cols>
    <col min="1" max="1" width="9" style="2" customWidth="1"/>
    <col min="2" max="2" width="12.109375" style="2" bestFit="1" customWidth="1"/>
    <col min="3" max="7" width="9" style="2" customWidth="1"/>
    <col min="8" max="8" width="10.109375" bestFit="1" customWidth="1"/>
    <col min="9" max="11" width="10.109375" customWidth="1"/>
    <col min="12" max="12" width="13.5546875" bestFit="1" customWidth="1"/>
    <col min="13" max="13" width="14.88671875" style="2" customWidth="1"/>
    <col min="14" max="14" width="11.109375" customWidth="1"/>
    <col min="15" max="15" width="28.44140625" bestFit="1" customWidth="1"/>
    <col min="16" max="16" width="13" customWidth="1"/>
    <col min="17" max="17" width="26.44140625" bestFit="1" customWidth="1"/>
    <col min="18" max="18" width="36.5546875" bestFit="1" customWidth="1"/>
    <col min="19" max="19" width="12.5546875" bestFit="1" customWidth="1"/>
    <col min="20" max="21" width="11" customWidth="1"/>
    <col min="22" max="22" width="12.5546875" bestFit="1" customWidth="1"/>
    <col min="23" max="23" width="9.88671875" style="2" customWidth="1"/>
    <col min="24" max="26" width="10.109375" style="2" customWidth="1"/>
    <col min="27" max="27" width="99.109375" bestFit="1" customWidth="1"/>
    <col min="28" max="28" width="17.109375" customWidth="1"/>
    <col min="29" max="29" width="9.109375" style="2" customWidth="1"/>
    <col min="30" max="30" width="17.109375" customWidth="1"/>
    <col min="31" max="31" width="13.33203125" style="2" customWidth="1"/>
    <col min="32" max="34" width="8.5546875" style="64"/>
  </cols>
  <sheetData>
    <row r="1" spans="1:33" hidden="1" x14ac:dyDescent="0.3"/>
    <row r="2" spans="1:33" hidden="1" x14ac:dyDescent="0.3"/>
    <row r="3" spans="1:33" ht="69" x14ac:dyDescent="0.3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3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3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3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3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3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3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3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3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3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3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3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3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3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3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3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3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3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3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3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3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3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3">
      <c r="A25" s="54">
        <f t="shared" ref="A25:A48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3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3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3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3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3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3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3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3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3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3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3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3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3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3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3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3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3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3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3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3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3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3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3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L4:L48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AD117" sqref="AD117"/>
    </sheetView>
  </sheetViews>
  <sheetFormatPr defaultRowHeight="14.4" x14ac:dyDescent="0.3"/>
  <cols>
    <col min="1" max="5" width="13.44140625" customWidth="1"/>
    <col min="6" max="6" width="10.88671875" style="105" customWidth="1"/>
    <col min="7" max="7" width="8.5546875" style="2"/>
    <col min="8" max="8" width="11.44140625" customWidth="1"/>
    <col min="9" max="10" width="13.44140625" customWidth="1"/>
    <col min="11" max="12" width="11.5546875" bestFit="1" customWidth="1"/>
    <col min="13" max="22" width="13.44140625" customWidth="1"/>
    <col min="23" max="23" width="11.109375" style="2" customWidth="1"/>
    <col min="24" max="29" width="13.44140625" customWidth="1"/>
    <col min="30" max="30" width="48.44140625" customWidth="1"/>
  </cols>
  <sheetData>
    <row r="1" spans="1:30" hidden="1" x14ac:dyDescent="0.3">
      <c r="F1" s="2"/>
    </row>
    <row r="2" spans="1:30" s="10" customFormat="1" ht="41.4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3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3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3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3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3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3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3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3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3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3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3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3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3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3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3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3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3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3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3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3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3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3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3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3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3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3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3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3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3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3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3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3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3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3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3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3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3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3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3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3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3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3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3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3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3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3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3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3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3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3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3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3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3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3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3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3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3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3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3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3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3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3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3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3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3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3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3">
      <c r="A69" s="53">
        <f t="shared" ref="A69:A117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3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3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3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3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3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3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3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3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3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3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3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3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3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3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3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3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3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3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3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3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3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3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3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3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3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3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3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3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3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3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3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3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3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3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3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3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3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3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3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3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3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3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3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3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3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3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3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3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3">
      <c r="A118" s="53"/>
      <c r="B118" s="53"/>
      <c r="C118" s="53"/>
      <c r="D118" s="53"/>
      <c r="E118" s="53"/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2">
        <f>SUM(Mod_CL[[#This Row],[Inv 1 (630kw) unit 1]:[Inv 3 (630kw) unit 4]])</f>
        <v>0</v>
      </c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2">
        <f>SUM(Mod_CL[[#This Row],[Inv 1 (630kw) unit 1]:[Inv 3 (630kw) unit 4]])</f>
        <v>0</v>
      </c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2">
        <f>SUM(Mod_CL[[#This Row],[Inv 1 (630kw) unit 1]:[Inv 3 (630kw) unit 4]])</f>
        <v>0</v>
      </c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2">
        <f>SUM(Mod_CL[[#This Row],[Inv 1 (630kw) unit 1]:[Inv 3 (630kw) unit 4]])</f>
        <v>0</v>
      </c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3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3">
      <c r="AE810" s="55"/>
    </row>
    <row r="811" spans="31:31" x14ac:dyDescent="0.3">
      <c r="AE811" s="53"/>
    </row>
    <row r="812" spans="31:31" x14ac:dyDescent="0.3">
      <c r="AE812" s="53"/>
    </row>
    <row r="813" spans="31:31" x14ac:dyDescent="0.3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97" activePane="bottomRight" state="frozen"/>
      <selection pane="topRight" activeCell="I2" sqref="I2"/>
      <selection pane="bottomLeft" activeCell="A3" sqref="A3"/>
      <selection pane="bottomRight" activeCell="A117" sqref="A117"/>
    </sheetView>
  </sheetViews>
  <sheetFormatPr defaultRowHeight="14.4" x14ac:dyDescent="0.3"/>
  <cols>
    <col min="1" max="5" width="13.44140625" customWidth="1"/>
    <col min="6" max="6" width="10.88671875" style="2" customWidth="1"/>
    <col min="7" max="7" width="8.5546875" style="2"/>
    <col min="8" max="8" width="11.44140625" customWidth="1"/>
    <col min="9" max="9" width="10.109375" customWidth="1"/>
    <col min="10" max="10" width="9.109375" customWidth="1"/>
    <col min="11" max="13" width="10.109375" customWidth="1"/>
    <col min="14" max="14" width="12.5546875" customWidth="1"/>
    <col min="15" max="15" width="51.5546875" customWidth="1"/>
    <col min="16" max="16" width="19.88671875" customWidth="1"/>
  </cols>
  <sheetData>
    <row r="1" spans="1:15" hidden="1" x14ac:dyDescent="0.3"/>
    <row r="2" spans="1:15" ht="27.6" x14ac:dyDescent="0.3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3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3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3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3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3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3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3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3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3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3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3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3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3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3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3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3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3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3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3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3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3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3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3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3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3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3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3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3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3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3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3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3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3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3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3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3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3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3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3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3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3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3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3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3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3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3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3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3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3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3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3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3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3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3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3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3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3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3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3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3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3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3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3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3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3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3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3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3">
      <c r="A70" s="55">
        <f t="shared" ref="A70:A117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3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3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3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3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3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3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3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3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3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3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3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3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3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3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3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3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3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3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3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3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3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3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3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3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3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3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3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3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3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3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3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3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3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3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3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3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3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3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3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3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3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3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3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3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3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3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3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3">
      <c r="A118" s="53"/>
      <c r="B118" s="53"/>
      <c r="C118" s="53">
        <f>YEAR(GC[[#This Row],[Date]])</f>
        <v>2025</v>
      </c>
      <c r="D118" s="53"/>
      <c r="E118" s="53"/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/>
      <c r="J118" s="53"/>
      <c r="K118" s="53"/>
      <c r="L118" s="53"/>
      <c r="M118" s="53"/>
      <c r="N118" s="2">
        <f>SUM(GC[[#This Row],[Inv1]:[Inv3]])</f>
        <v>0</v>
      </c>
    </row>
    <row r="119" spans="1:15" x14ac:dyDescent="0.3">
      <c r="A119" s="53"/>
      <c r="B119" s="53"/>
      <c r="C119" s="53">
        <f>YEAR(GC[[#This Row],[Date]])</f>
        <v>2025</v>
      </c>
      <c r="D119" s="53"/>
      <c r="E119" s="53"/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/>
      <c r="J119" s="53"/>
      <c r="K119" s="53"/>
      <c r="L119" s="53"/>
      <c r="M119" s="53"/>
      <c r="N119" s="2">
        <f>SUM(GC[[#This Row],[Inv1]:[Inv3]])</f>
        <v>0</v>
      </c>
    </row>
    <row r="120" spans="1:15" x14ac:dyDescent="0.3">
      <c r="A120" s="53"/>
      <c r="B120" s="53"/>
      <c r="C120" s="53">
        <f>YEAR(GC[[#This Row],[Date]])</f>
        <v>2025</v>
      </c>
      <c r="D120" s="53"/>
      <c r="E120" s="53"/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/>
      <c r="J120" s="53"/>
      <c r="K120" s="53"/>
      <c r="L120" s="53"/>
      <c r="M120" s="53"/>
      <c r="N120" s="2">
        <f>SUM(GC[[#This Row],[Inv1]:[Inv3]])</f>
        <v>0</v>
      </c>
    </row>
    <row r="121" spans="1:15" x14ac:dyDescent="0.3">
      <c r="A121" s="53"/>
      <c r="B121" s="53"/>
      <c r="C121" s="53">
        <f>YEAR(GC[[#This Row],[Date]])</f>
        <v>2025</v>
      </c>
      <c r="D121" s="53"/>
      <c r="E121" s="53"/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/>
      <c r="J121" s="53"/>
      <c r="K121" s="53"/>
      <c r="L121" s="53"/>
      <c r="M121" s="53"/>
      <c r="N121" s="2">
        <f>SUM(GC[[#This Row],[Inv1]:[Inv3]])</f>
        <v>0</v>
      </c>
    </row>
    <row r="122" spans="1:15" x14ac:dyDescent="0.3">
      <c r="A122" s="53"/>
      <c r="B122" s="53"/>
      <c r="C122" s="53">
        <f>YEAR(GC[[#This Row],[Date]])</f>
        <v>2025</v>
      </c>
      <c r="D122" s="53"/>
      <c r="E122" s="53"/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3">
      <c r="A123" s="53"/>
      <c r="B123" s="53"/>
      <c r="C123" s="53">
        <f>YEAR(GC[[#This Row],[Date]])</f>
        <v>2025</v>
      </c>
      <c r="D123" s="53"/>
      <c r="E123" s="53"/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3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3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3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3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3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3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3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3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3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3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3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3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3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3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3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3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3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3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3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3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3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3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3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3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3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3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3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3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3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3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6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L35" sqref="L35:M36"/>
    </sheetView>
  </sheetViews>
  <sheetFormatPr defaultColWidth="9.109375" defaultRowHeight="14.4" x14ac:dyDescent="0.3"/>
  <cols>
    <col min="1" max="1" width="9.109375" style="8"/>
    <col min="2" max="2" width="11.109375" style="8" bestFit="1" customWidth="1"/>
    <col min="3" max="3" width="12.5546875" style="8" bestFit="1" customWidth="1"/>
    <col min="4" max="4" width="14.88671875" style="8" bestFit="1" customWidth="1"/>
    <col min="5" max="5" width="13.44140625" style="8" bestFit="1" customWidth="1"/>
    <col min="6" max="6" width="10.109375" style="8" bestFit="1" customWidth="1"/>
    <col min="7" max="7" width="8.44140625" style="8" bestFit="1" customWidth="1"/>
    <col min="8" max="8" width="10.109375" style="8" bestFit="1" customWidth="1"/>
    <col min="9" max="9" width="23.88671875" style="8" customWidth="1"/>
    <col min="10" max="10" width="10.109375" style="8" customWidth="1"/>
    <col min="11" max="11" width="15.44140625" style="8" bestFit="1" customWidth="1"/>
    <col min="12" max="12" width="17.44140625" style="8" customWidth="1"/>
    <col min="13" max="13" width="39.44140625" style="8" bestFit="1" customWidth="1"/>
    <col min="14" max="16384" width="9.109375" style="8"/>
  </cols>
  <sheetData>
    <row r="1" spans="1:13" ht="28.8" x14ac:dyDescent="0.3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3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3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3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3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3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3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3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3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3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3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3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3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3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3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3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3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3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3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3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3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3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3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3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3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3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3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3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3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3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3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3">
      <c r="A32" s="8">
        <v>547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1116</v>
      </c>
      <c r="L32" s="8" t="s">
        <v>1063</v>
      </c>
      <c r="M32" s="8" t="s">
        <v>1061</v>
      </c>
    </row>
    <row r="33" spans="1:13" x14ac:dyDescent="0.3">
      <c r="A33" s="8">
        <v>547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50</v>
      </c>
      <c r="K33" s="8" t="s">
        <v>1116</v>
      </c>
      <c r="L33" s="8" t="s">
        <v>1063</v>
      </c>
      <c r="M33" s="8" t="s">
        <v>1061</v>
      </c>
    </row>
    <row r="34" spans="1:13" x14ac:dyDescent="0.3">
      <c r="A34" s="8">
        <v>547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1117</v>
      </c>
      <c r="L34" s="8" t="s">
        <v>1063</v>
      </c>
      <c r="M34" s="8" t="s">
        <v>1061</v>
      </c>
    </row>
    <row r="35" spans="1:13" x14ac:dyDescent="0.3">
      <c r="A35" s="8">
        <v>547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1117</v>
      </c>
      <c r="L35" s="8" t="s">
        <v>1063</v>
      </c>
      <c r="M35" s="8" t="s">
        <v>1061</v>
      </c>
    </row>
    <row r="36" spans="1:13" x14ac:dyDescent="0.3">
      <c r="A36" s="8">
        <v>547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1117</v>
      </c>
      <c r="L36" s="8" t="s">
        <v>1063</v>
      </c>
      <c r="M36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Shashank Kumar</cp:lastModifiedBy>
  <cp:revision/>
  <cp:lastPrinted>2025-07-07T02:25:44Z</cp:lastPrinted>
  <dcterms:created xsi:type="dcterms:W3CDTF">2015-06-05T18:17:20Z</dcterms:created>
  <dcterms:modified xsi:type="dcterms:W3CDTF">2025-07-22T17:44:59Z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