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008A5B6B-08C1-44AC-80D6-3637F08D9A73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90" i="4" l="1"/>
  <c r="AI1590" i="4" s="1"/>
  <c r="AB1591" i="4"/>
  <c r="AB1593" i="4"/>
  <c r="AB1594" i="4"/>
  <c r="AD1595" i="4"/>
  <c r="AI1595" i="4" s="1"/>
  <c r="AB1596" i="4"/>
  <c r="AD1597" i="4"/>
  <c r="AI1597" i="4" s="1"/>
  <c r="AD1598" i="4"/>
  <c r="AI1598" i="4" s="1"/>
  <c r="AC1599" i="4"/>
  <c r="AD1600" i="4"/>
  <c r="AI1600" i="4" s="1"/>
  <c r="AC1601" i="4"/>
  <c r="AA1590" i="4"/>
  <c r="AA1593" i="4"/>
  <c r="AA1594" i="4"/>
  <c r="AA1595" i="4"/>
  <c r="AA1599" i="4"/>
  <c r="AA1601" i="4"/>
  <c r="AH1602" i="4"/>
  <c r="X1602" i="4"/>
  <c r="W1602" i="4"/>
  <c r="AD1602" i="4" s="1"/>
  <c r="AI1602" i="4" s="1"/>
  <c r="M1602" i="4"/>
  <c r="J1602" i="4"/>
  <c r="I1602" i="4"/>
  <c r="G1602" i="4"/>
  <c r="C1602" i="4"/>
  <c r="B1602" i="4"/>
  <c r="AH1601" i="4"/>
  <c r="M1601" i="4"/>
  <c r="J1601" i="4"/>
  <c r="I1601" i="4"/>
  <c r="G1601" i="4"/>
  <c r="C1601" i="4"/>
  <c r="B1601" i="4"/>
  <c r="AH1600" i="4"/>
  <c r="AA1600" i="4"/>
  <c r="M1600" i="4"/>
  <c r="J1600" i="4"/>
  <c r="I1600" i="4"/>
  <c r="G1600" i="4"/>
  <c r="C1600" i="4"/>
  <c r="B1600" i="4"/>
  <c r="AH1599" i="4"/>
  <c r="AB1599" i="4"/>
  <c r="M1599" i="4"/>
  <c r="J1599" i="4"/>
  <c r="I1599" i="4"/>
  <c r="G1599" i="4"/>
  <c r="C1599" i="4"/>
  <c r="B1599" i="4"/>
  <c r="AH1598" i="4"/>
  <c r="M1598" i="4"/>
  <c r="J1598" i="4"/>
  <c r="I1598" i="4"/>
  <c r="G1598" i="4"/>
  <c r="C1598" i="4"/>
  <c r="B1598" i="4"/>
  <c r="AH1597" i="4"/>
  <c r="M1597" i="4"/>
  <c r="J1597" i="4"/>
  <c r="I1597" i="4"/>
  <c r="G1597" i="4"/>
  <c r="C1597" i="4"/>
  <c r="B1597" i="4"/>
  <c r="AH1596" i="4"/>
  <c r="M1596" i="4"/>
  <c r="J1596" i="4"/>
  <c r="I1596" i="4"/>
  <c r="G1596" i="4"/>
  <c r="C1596" i="4"/>
  <c r="B1596" i="4"/>
  <c r="AH1595" i="4"/>
  <c r="M1595" i="4"/>
  <c r="J1595" i="4"/>
  <c r="I1595" i="4"/>
  <c r="G1595" i="4"/>
  <c r="C1595" i="4"/>
  <c r="B1595" i="4"/>
  <c r="AH1594" i="4"/>
  <c r="M1594" i="4"/>
  <c r="J1594" i="4"/>
  <c r="I1594" i="4"/>
  <c r="G1594" i="4"/>
  <c r="C1594" i="4"/>
  <c r="B1594" i="4"/>
  <c r="AH1593" i="4"/>
  <c r="M1593" i="4"/>
  <c r="J1593" i="4"/>
  <c r="I1593" i="4"/>
  <c r="G1593" i="4"/>
  <c r="C1593" i="4"/>
  <c r="B1593" i="4"/>
  <c r="AH1592" i="4"/>
  <c r="X1592" i="4"/>
  <c r="W1592" i="4"/>
  <c r="AC1592" i="4" s="1"/>
  <c r="M1592" i="4"/>
  <c r="J1592" i="4"/>
  <c r="I1592" i="4"/>
  <c r="G1592" i="4"/>
  <c r="C1592" i="4"/>
  <c r="B1592" i="4"/>
  <c r="AH1591" i="4"/>
  <c r="M1591" i="4"/>
  <c r="J1591" i="4"/>
  <c r="I1591" i="4"/>
  <c r="G1591" i="4"/>
  <c r="C1591" i="4"/>
  <c r="B1591" i="4"/>
  <c r="AH1590" i="4"/>
  <c r="AB1590" i="4"/>
  <c r="M1590" i="4"/>
  <c r="J1590" i="4"/>
  <c r="I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Q117" i="6" s="1"/>
  <c r="L117" i="6"/>
  <c r="P117" i="6" s="1"/>
  <c r="M117" i="6"/>
  <c r="M116" i="7" s="1"/>
  <c r="N117" i="6"/>
  <c r="N116" i="7" s="1"/>
  <c r="O117" i="6"/>
  <c r="U116" i="7" s="1"/>
  <c r="F118" i="1"/>
  <c r="AB118" i="1"/>
  <c r="AC118" i="1"/>
  <c r="AE118" i="1" s="1"/>
  <c r="AD118" i="1"/>
  <c r="AF118" i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I1585" i="4" s="1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I1581" i="4" s="1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Q115" i="6" s="1"/>
  <c r="S114" i="7" s="1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Q114" i="6" s="1"/>
  <c r="S113" i="7" s="1"/>
  <c r="K114" i="6"/>
  <c r="L114" i="6"/>
  <c r="M114" i="6"/>
  <c r="N114" i="6"/>
  <c r="O114" i="6"/>
  <c r="AB1600" i="4" l="1"/>
  <c r="AA1591" i="4"/>
  <c r="K1599" i="4"/>
  <c r="S116" i="7"/>
  <c r="Q116" i="7"/>
  <c r="K116" i="7"/>
  <c r="O116" i="7"/>
  <c r="P116" i="7"/>
  <c r="J116" i="7"/>
  <c r="T116" i="7"/>
  <c r="L116" i="7"/>
  <c r="R116" i="7"/>
  <c r="K1592" i="4"/>
  <c r="K1596" i="4"/>
  <c r="AB1598" i="4"/>
  <c r="K1602" i="4"/>
  <c r="AA1598" i="4"/>
  <c r="AC1598" i="4"/>
  <c r="K1590" i="4"/>
  <c r="K1598" i="4"/>
  <c r="K1595" i="4"/>
  <c r="K1601" i="4"/>
  <c r="K1594" i="4"/>
  <c r="AB1601" i="4"/>
  <c r="AD1601" i="4"/>
  <c r="AI1601" i="4" s="1"/>
  <c r="AC1600" i="4"/>
  <c r="K1600" i="4"/>
  <c r="AD1599" i="4"/>
  <c r="AI1599" i="4" s="1"/>
  <c r="K1597" i="4"/>
  <c r="AD1596" i="4"/>
  <c r="AI1596" i="4" s="1"/>
  <c r="AB1595" i="4"/>
  <c r="AC1595" i="4"/>
  <c r="AC1594" i="4"/>
  <c r="AD1594" i="4"/>
  <c r="AI1594" i="4" s="1"/>
  <c r="AC1593" i="4"/>
  <c r="AD1593" i="4"/>
  <c r="AI1593" i="4" s="1"/>
  <c r="K1593" i="4"/>
  <c r="AA1592" i="4"/>
  <c r="AB1592" i="4"/>
  <c r="AD1592" i="4"/>
  <c r="AI1592" i="4" s="1"/>
  <c r="AC1591" i="4"/>
  <c r="AD1591" i="4"/>
  <c r="AI1591" i="4" s="1"/>
  <c r="K1591" i="4"/>
  <c r="AC1590" i="4"/>
  <c r="AI1562" i="4"/>
  <c r="AI1586" i="4"/>
  <c r="AC1596" i="4"/>
  <c r="AI1582" i="4"/>
  <c r="AA1597" i="4"/>
  <c r="AA1602" i="4"/>
  <c r="AI1584" i="4"/>
  <c r="AB1597" i="4"/>
  <c r="AB1602" i="4"/>
  <c r="AI1588" i="4"/>
  <c r="AA1596" i="4"/>
  <c r="AC1597" i="4"/>
  <c r="AC1602" i="4"/>
  <c r="B116" i="7"/>
  <c r="C117" i="6"/>
  <c r="B117" i="6"/>
  <c r="R114" i="7"/>
  <c r="L115" i="7"/>
  <c r="P116" i="6"/>
  <c r="P115" i="7" s="1"/>
  <c r="J115" i="7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U113" i="7"/>
  <c r="P115" i="6"/>
  <c r="T113" i="7"/>
  <c r="M113" i="7"/>
  <c r="L113" i="7"/>
  <c r="U114" i="7"/>
  <c r="T114" i="7"/>
  <c r="J113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R113" i="7"/>
  <c r="Q113" i="7"/>
  <c r="O113" i="7"/>
  <c r="N113" i="7"/>
  <c r="K113" i="7"/>
  <c r="AB1557" i="4"/>
  <c r="AC1557" i="4"/>
  <c r="AC1555" i="4"/>
  <c r="AD1555" i="4"/>
  <c r="AI1555" i="4" s="1"/>
  <c r="AI1552" i="4"/>
  <c r="AB1551" i="4"/>
  <c r="AD1551" i="4"/>
  <c r="AI1551" i="4" s="1"/>
  <c r="Q115" i="7" l="1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30" i="3"/>
  <c r="Y30" i="3"/>
  <c r="X30" i="3"/>
  <c r="W30" i="3"/>
  <c r="N30" i="3"/>
  <c r="M30" i="3"/>
  <c r="AE30" i="3" s="1"/>
  <c r="Z29" i="3"/>
  <c r="AC29" i="3" s="1"/>
  <c r="Y29" i="3"/>
  <c r="X29" i="3"/>
  <c r="W29" i="3"/>
  <c r="N29" i="3"/>
  <c r="M29" i="3"/>
  <c r="AE29" i="3" s="1"/>
  <c r="Z28" i="3"/>
  <c r="Y28" i="3"/>
  <c r="X28" i="3"/>
  <c r="W28" i="3"/>
  <c r="N28" i="3"/>
  <c r="M28" i="3"/>
  <c r="AE28" i="3" s="1"/>
  <c r="Z27" i="3"/>
  <c r="Y27" i="3"/>
  <c r="X27" i="3"/>
  <c r="W27" i="3"/>
  <c r="N27" i="3"/>
  <c r="M27" i="3"/>
  <c r="AE27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28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0" i="3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27" i="3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M97" i="7" l="1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18" i="1" l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K1585" i="4" s="1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K1578" i="4" s="1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K1442" i="4" s="1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K1355" i="4" s="1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I28" i="3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27" i="3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I29" i="3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K411" i="11" s="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J28" i="3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J27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J29" i="3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I30" i="3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K153" i="11" s="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K368" i="3" s="1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K126" i="11" s="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J30" i="3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46" i="11" l="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28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0" i="3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27" i="3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T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T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T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T120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T115" i="18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T119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4" i="18" l="1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<sst xmlns="http://schemas.openxmlformats.org/spreadsheetml/2006/main" count="20688" uniqueCount="528">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</sst>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18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17" totalsRowShown="0">
  <autoFilter ref="A2:Q117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16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02" totalsRowShown="0">
  <autoFilter ref="A3:AK1602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45859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48.917699999991783</v>
      </c>
      <c r="E9" s="104">
        <f>-(C9-D9)/C9</f>
        <v>0.20183071669881045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854.75573699891629</v>
      </c>
      <c r="D10" s="107">
        <f>'Monthly KPI'!$F$4</f>
        <v>875.07520000000909</v>
      </c>
      <c r="E10" s="108">
        <f t="shared" ref="E10:E29" si="0">-(C10-D10)/C10</f>
        <v>2.377224524100335E-2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6212.5166418840045</v>
      </c>
      <c r="D11" s="110">
        <f>'Annual KPI'!$F$4</f>
        <v>5181.4580999999871</v>
      </c>
      <c r="E11" s="111">
        <f t="shared" si="0"/>
        <v>-0.16596471306535432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0.17391104948802535</v>
      </c>
      <c r="E12" s="104">
        <f t="shared" si="0"/>
        <v>0.20183071669881036</v>
      </c>
      <c r="F12" s="190"/>
    </row>
    <row r="13" spans="1:7">
      <c r="A13" s="229"/>
      <c r="B13" s="105" t="s">
        <v>15</v>
      </c>
      <c r="C13" s="114">
        <f>'Monthly KPI'!$I$4</f>
        <v>0.14470511285127111</v>
      </c>
      <c r="D13" s="115">
        <f>'Monthly KPI'!$J$4</f>
        <v>0.14814507828159859</v>
      </c>
      <c r="E13" s="108">
        <f t="shared" si="0"/>
        <v>2.3772245241003371E-2</v>
      </c>
      <c r="F13" s="188"/>
    </row>
    <row r="14" spans="1:7" ht="15.75" thickBot="1">
      <c r="A14" s="230"/>
      <c r="B14" s="109" t="s">
        <v>16</v>
      </c>
      <c r="C14" s="114">
        <f>'Annual KPI'!$I$4</f>
        <v>0.19720171568632694</v>
      </c>
      <c r="D14" s="117">
        <f>'Annual KPI'!$J$4</f>
        <v>0.1644731895264501</v>
      </c>
      <c r="E14" s="111">
        <f t="shared" si="0"/>
        <v>-0.16596471306535437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0.7524545137394284</v>
      </c>
      <c r="E15" s="104">
        <f t="shared" si="0"/>
        <v>2.4861210847733203E-3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0.74497128429317572</v>
      </c>
      <c r="E16" s="108">
        <f t="shared" si="0"/>
        <v>-7.4836957264516023E-3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0.72649207245279512</v>
      </c>
      <c r="D17" s="117">
        <f>'Annual KPI'!$H$4</f>
        <v>0.68803739654178742</v>
      </c>
      <c r="E17" s="111">
        <f t="shared" si="0"/>
        <v>-5.2931996602765895E-2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5.5469999999999997</v>
      </c>
      <c r="E18" s="104">
        <f t="shared" si="0"/>
        <v>0.19885022986485795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97.165598419354808</v>
      </c>
      <c r="D19" s="179">
        <f>'Monthly KPI'!$D$4</f>
        <v>100.2255</v>
      </c>
      <c r="E19" s="108">
        <f t="shared" si="0"/>
        <v>3.1491614629274745E-2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731.19860441935475</v>
      </c>
      <c r="D20" s="181">
        <f>'Annual KPI'!$D$4</f>
        <v>642.55799999999999</v>
      </c>
      <c r="E20" s="111">
        <f t="shared" si="0"/>
        <v>-0.12122644091989797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0.99993251118578486</v>
      </c>
      <c r="E22" s="108">
        <f t="shared" si="0"/>
        <v>4.9572976741556387E-3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0.98890507103192238</v>
      </c>
      <c r="E23" s="111">
        <f t="shared" si="0"/>
        <v>-6.1255567518368019E-3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0.98671955616085594</v>
      </c>
      <c r="E25" s="108">
        <f t="shared" si="0"/>
        <v>1.2374999095442869E-3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0.95784939946225744</v>
      </c>
      <c r="E26" s="111">
        <f t="shared" si="0"/>
        <v>-2.8057433320895584E-2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0.98424315032815923</v>
      </c>
      <c r="E27" s="124">
        <f t="shared" si="0"/>
        <v>-1.0810904192804786E-2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0.98717119843594836</v>
      </c>
      <c r="E28" s="108">
        <f t="shared" si="0"/>
        <v>-7.8681422754287786E-3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0.97986373981430486</v>
      </c>
      <c r="E29" s="111">
        <f t="shared" si="0"/>
        <v>-1.5212321794668481E-2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45859</v>
      </c>
      <c r="D7" s="86">
        <f>'Daily Dashboard'!C9</f>
        <v>40.702654142805535</v>
      </c>
      <c r="E7" s="86">
        <f>'Daily Dashboard'!D9</f>
        <v>48.917699999991783</v>
      </c>
      <c r="F7" s="86">
        <f>D7-E7</f>
        <v>-8.2150458571862472</v>
      </c>
    </row>
    <row r="8" spans="2:6">
      <c r="B8" s="84" t="s">
        <v>38</v>
      </c>
      <c r="C8" s="85">
        <f t="shared" ref="C8:C30" si="0">$C$7</f>
        <v>45859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45859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45859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45859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45859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45859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45859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45859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45859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45859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45859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45859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45859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45859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45859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45859</v>
      </c>
      <c r="D23" s="84">
        <f>'Daily Dashboard'!C27*100</f>
        <v>99.5</v>
      </c>
      <c r="E23" s="84">
        <f>'Daily Dashboard'!D27*100</f>
        <v>98.424315032815926</v>
      </c>
      <c r="F23" s="84">
        <f>E23-D23</f>
        <v>-1.075684967184074</v>
      </c>
      <c r="G23" s="87">
        <f>((F23/100)*$D$7)*20%</f>
        <v>-8.7566466371816976E-2</v>
      </c>
    </row>
    <row r="24" spans="2:7">
      <c r="B24" s="84" t="s">
        <v>54</v>
      </c>
      <c r="C24" s="85">
        <f t="shared" si="0"/>
        <v>45859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45859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45859</v>
      </c>
      <c r="D26" s="88">
        <f>'Daily Dashboard'!$D$9</f>
        <v>48.917699999991783</v>
      </c>
      <c r="E26" s="88">
        <f>'Daily Dashboard'!$D$9</f>
        <v>48.917699999991783</v>
      </c>
      <c r="F26" s="88">
        <f>'Daily Dashboard'!$D$9</f>
        <v>48.917699999991783</v>
      </c>
    </row>
    <row r="27" spans="2:7">
      <c r="B27" s="84" t="s">
        <v>56</v>
      </c>
      <c r="C27" s="85">
        <f t="shared" si="0"/>
        <v>45859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45859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45859</v>
      </c>
      <c r="D29" s="84">
        <v>0</v>
      </c>
      <c r="E29" s="86">
        <f>-(F7+G30)+(SUM(G21:G23))</f>
        <v>0.82744901419244077</v>
      </c>
      <c r="F29" s="86">
        <f>E29</f>
        <v>0.82744901419244077</v>
      </c>
    </row>
    <row r="30" spans="2:7">
      <c r="B30" s="84" t="s">
        <v>59</v>
      </c>
      <c r="C30" s="85">
        <f t="shared" si="0"/>
        <v>45859</v>
      </c>
      <c r="D30" s="84">
        <f>'Daily Dashboard'!C18</f>
        <v>4.6269332580645148</v>
      </c>
      <c r="E30" s="89">
        <f>'Daily Dashboard'!D18</f>
        <v>5.5469999999999997</v>
      </c>
      <c r="F30" s="84">
        <f>E30-D30</f>
        <v>0.92006674193548488</v>
      </c>
      <c r="G30" s="83">
        <f>(F30/D30)*D7</f>
        <v>8.0937321324066929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45859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112</v>
      </c>
      <c r="C4" s="78">
        <f>_xlfn.XLOOKUP($C$1,'Modelling New'!$D:$D,'Modelling New'!S:S)</f>
        <v>731.19860441935475</v>
      </c>
      <c r="D4" s="79">
        <f>IFERROR(SUMIFS('Daily KPI'!$I:$I,'Daily KPI'!$B:$B,$A4,'Daily KPI'!$A:$A,"&lt;="&amp;$B$1),"")</f>
        <v>642.55799999999999</v>
      </c>
      <c r="E4" s="78">
        <f>_xlfn.XLOOKUP($C$1,'Modelling New'!$D:$D,'Modelling New'!V:V)</f>
        <v>6212.5166418840045</v>
      </c>
      <c r="F4" s="79">
        <f>SUMIFS('Daily KPI'!$AA:$AA,'Daily KPI'!$B:$B,'Annual KPI'!A4,'Daily KPI'!$A:$A,"&lt;="&amp;'Annual KPI'!$B$1)/1000</f>
        <v>5181.4580999999871</v>
      </c>
      <c r="G4" s="80">
        <f>IFERROR(E4/C4/'Modelling New'!$AQ$1,"")</f>
        <v>0.72494423342859393</v>
      </c>
      <c r="H4" s="81">
        <f>IFERROR(F4/D4/'Modelling New'!$AQ$1,"")</f>
        <v>0.68803739654178742</v>
      </c>
      <c r="I4" s="80">
        <f>IFERROR(E4/(B4*24*'Modelling New'!$AQ$1),"")</f>
        <v>0.19720171568632694</v>
      </c>
      <c r="J4" s="81">
        <f>IFERROR(F4/(B4*24*'Modelling New'!$AQ$1),"")</f>
        <v>0.1644731895264501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0.95784939946225744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0.98890507103192238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0.97986373981430486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731.19860441935475</v>
      </c>
      <c r="D13" s="79">
        <f>SUMIF('Daily KPI'!$D:$D,$A13,'Daily KPI'!I:I)</f>
        <v>100.2255</v>
      </c>
      <c r="E13" s="78">
        <f>_xlfn.XLOOKUP($A13,'Modelling New'!$D:$D,'Modelling New'!V:V)</f>
        <v>6212.5166418840045</v>
      </c>
      <c r="F13" s="79">
        <f>SUMIF('Daily KPI'!$D:$D,$A13,'Daily KPI'!AA:AA)/1000</f>
        <v>875.07520000000909</v>
      </c>
      <c r="G13" s="73">
        <f>IFERROR(E13/C13/'Modelling New'!$AQ$1,"")</f>
        <v>0.72494423342859393</v>
      </c>
      <c r="H13" s="74">
        <f>IFERROR(F13/D13/'Modelling New'!$AQ$1,"")</f>
        <v>0.74497128429317572</v>
      </c>
      <c r="I13" s="73">
        <f>IFERROR(E13/(B13*24*'Modelling New'!$AQ$1),"")</f>
        <v>0.7124707147376973</v>
      </c>
      <c r="J13" s="74">
        <f>IFERROR(F13/(B13*24*'Modelling New'!$AQ$1),"")</f>
        <v>0.10035634335205065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0.98671955616085594</v>
      </c>
      <c r="M13" s="73">
        <f>_xlfn.XLOOKUP($A13,'Modelling New'!$D:$D,'Modelling New'!AE:AE)</f>
        <v>0.995</v>
      </c>
      <c r="N13" s="74">
        <f>IFERROR(AVERAGEIF('Daily KPI'!$D:$D,$A13,'Daily KPI'!O:O),"")</f>
        <v>0.99993251118578486</v>
      </c>
      <c r="O13" s="73">
        <f>_xlfn.XLOOKUP($A13,'Modelling New'!$D:$D,'Modelling New'!AG:AG)</f>
        <v>0.995</v>
      </c>
      <c r="P13" s="74">
        <f>IFERROR(AVERAGEIF('Daily KPI'!$D:$D,$A13,'Daily KPI'!T:T),"")</f>
        <v>0.98717119843594836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731.19860441935475</v>
      </c>
      <c r="D14" s="79">
        <f>SUMIF('Daily KPI'!$D:$D,$A14,'Daily KPI'!I:I)</f>
        <v>0</v>
      </c>
      <c r="E14" s="78">
        <f>_xlfn.XLOOKUP($A14,'Modelling New'!$D:$D,'Modelling New'!V:V)</f>
        <v>6212.5166418840045</v>
      </c>
      <c r="F14" s="79">
        <f>SUMIF('Daily KPI'!$D:$D,$A14,'Daily KPI'!AA:AA)/1000</f>
        <v>0</v>
      </c>
      <c r="G14" s="73">
        <f>IFERROR(E14/C14/'Modelling New'!$AQ$1,"")</f>
        <v>0.72494423342859393</v>
      </c>
      <c r="H14" s="74" t="str">
        <f>IFERROR(F14/D14/'Modelling New'!$AQ$1,"")</f>
        <v/>
      </c>
      <c r="I14" s="73">
        <f>IFERROR(E14/(B14*24*'Modelling New'!$AQ$1),"")</f>
        <v>0.7124707147376973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731.19860441935475</v>
      </c>
      <c r="D15" s="79">
        <f>SUMIF('Daily KPI'!$D:$D,$A15,'Daily KPI'!I:I)</f>
        <v>0</v>
      </c>
      <c r="E15" s="78">
        <f>_xlfn.XLOOKUP($A15,'Modelling New'!$D:$D,'Modelling New'!V:V)</f>
        <v>6212.5166418840045</v>
      </c>
      <c r="F15" s="79">
        <f>SUMIF('Daily KPI'!$D:$D,$A15,'Daily KPI'!AA:AA)/1000</f>
        <v>0</v>
      </c>
      <c r="G15" s="73">
        <f>IFERROR(E15/C15/'Modelling New'!$AQ$1,"")</f>
        <v>0.72494423342859393</v>
      </c>
      <c r="H15" s="74" t="str">
        <f>IFERROR(F15/D15/'Modelling New'!$AQ$1,"")</f>
        <v/>
      </c>
      <c r="I15" s="73">
        <f>IFERROR(E15/(B15*24*'Modelling New'!$AQ$1),"")</f>
        <v>0.73621973856228728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731.19860441935475</v>
      </c>
      <c r="D16" s="79">
        <f>SUMIF('Daily KPI'!$D:$D,$A16,'Daily KPI'!I:I)</f>
        <v>0</v>
      </c>
      <c r="E16" s="78">
        <f>_xlfn.XLOOKUP($A16,'Modelling New'!$D:$D,'Modelling New'!V:V)</f>
        <v>6212.5166418840045</v>
      </c>
      <c r="F16" s="79">
        <f>SUMIF('Daily KPI'!$D:$D,$A16,'Daily KPI'!AA:AA)/1000</f>
        <v>0</v>
      </c>
      <c r="G16" s="73">
        <f>IFERROR(E16/C16/'Modelling New'!$AQ$1,"")</f>
        <v>0.72494423342859393</v>
      </c>
      <c r="H16" s="74" t="str">
        <f>IFERROR(F16/D16/'Modelling New'!$AQ$1,"")</f>
        <v/>
      </c>
      <c r="I16" s="73">
        <f>IFERROR(E16/(B16*24*'Modelling New'!$AQ$1),"")</f>
        <v>0.7124707147376973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731.19860441935475</v>
      </c>
      <c r="D17" s="79">
        <f>SUMIF('Daily KPI'!$D:$D,$A17,'Daily KPI'!I:I)</f>
        <v>0</v>
      </c>
      <c r="E17" s="78">
        <f>_xlfn.XLOOKUP($A17,'Modelling New'!$D:$D,'Modelling New'!V:V)</f>
        <v>6212.5166418840045</v>
      </c>
      <c r="F17" s="79">
        <f>SUMIF('Daily KPI'!$D:$D,$A17,'Daily KPI'!AA:AA)/1000</f>
        <v>0</v>
      </c>
      <c r="G17" s="73">
        <f>IFERROR(E17/C17/'Modelling New'!$AQ$1,"")</f>
        <v>0.72494423342859393</v>
      </c>
      <c r="H17" s="74" t="str">
        <f>IFERROR(F17/D17/'Modelling New'!$AQ$1,"")</f>
        <v/>
      </c>
      <c r="I17" s="73">
        <f>IFERROR(E17/(B17*24*'Modelling New'!$AQ$1),"")</f>
        <v>0.73621973856228728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731.19860441935475</v>
      </c>
      <c r="D18" s="79">
        <f>SUMIF('Daily KPI'!$D:$D,$A18,'Daily KPI'!I:I)</f>
        <v>0</v>
      </c>
      <c r="E18" s="78">
        <f>_xlfn.XLOOKUP($A18,'Modelling New'!$D:$D,'Modelling New'!V:V)</f>
        <v>6212.5166418840045</v>
      </c>
      <c r="F18" s="79">
        <f>SUMIF('Daily KPI'!$D:$D,$A18,'Daily KPI'!AA:AA)/1000</f>
        <v>0</v>
      </c>
      <c r="G18" s="73">
        <f>IFERROR(E18/C18/'Modelling New'!$AQ$1,"")</f>
        <v>0.72494423342859393</v>
      </c>
      <c r="H18" s="74" t="str">
        <f>IFERROR(F18/D18/'Modelling New'!$AQ$1,"")</f>
        <v/>
      </c>
      <c r="I18" s="73">
        <f>IFERROR(E18/(B18*24*'Modelling New'!$AQ$1),"")</f>
        <v>0.7124707147376973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731.19860441935475</v>
      </c>
      <c r="D19" s="79">
        <f>SUMIF('Daily KPI'!$D:$D,$A19,'Daily KPI'!I:I)</f>
        <v>0</v>
      </c>
      <c r="E19" s="78">
        <f>_xlfn.XLOOKUP($A19,'Modelling New'!$D:$D,'Modelling New'!V:V)</f>
        <v>6212.5166418840045</v>
      </c>
      <c r="F19" s="79">
        <f>SUMIF('Daily KPI'!$D:$D,$A19,'Daily KPI'!AA:AA)/1000</f>
        <v>0</v>
      </c>
      <c r="G19" s="73">
        <f>IFERROR(E19/C19/'Modelling New'!$AQ$1,"")</f>
        <v>0.72494423342859393</v>
      </c>
      <c r="H19" s="74" t="str">
        <f>IFERROR(F19/D19/'Modelling New'!$AQ$1,"")</f>
        <v/>
      </c>
      <c r="I19" s="73">
        <f>IFERROR(E19/(B19*24*'Modelling New'!$AQ$1),"")</f>
        <v>0.7124707147376973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731.19860441935475</v>
      </c>
      <c r="D20" s="79">
        <f>SUMIF('Daily KPI'!$D:$D,$A20,'Daily KPI'!I:I)</f>
        <v>0</v>
      </c>
      <c r="E20" s="78">
        <f>_xlfn.XLOOKUP($A20,'Modelling New'!$D:$D,'Modelling New'!V:V)</f>
        <v>6212.5166418840045</v>
      </c>
      <c r="F20" s="79">
        <f>SUMIF('Daily KPI'!$D:$D,$A20,'Daily KPI'!AA:AA)/1000</f>
        <v>0</v>
      </c>
      <c r="G20" s="73">
        <f>IFERROR(E20/C20/'Modelling New'!$AQ$1,"")</f>
        <v>0.72494423342859393</v>
      </c>
      <c r="H20" s="74" t="str">
        <f>IFERROR(F20/D20/'Modelling New'!$AQ$1,"")</f>
        <v/>
      </c>
      <c r="I20" s="73">
        <f>IFERROR(E20/(B20*24*'Modelling New'!$AQ$1),"")</f>
        <v>0.78880686274530776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731.19860441935475</v>
      </c>
      <c r="D21" s="79">
        <f>SUMIF('Daily KPI'!$D:$D,$A21,'Daily KPI'!I:I)</f>
        <v>0</v>
      </c>
      <c r="E21" s="78">
        <f>_xlfn.XLOOKUP($A21,'Modelling New'!$D:$D,'Modelling New'!V:V)</f>
        <v>6212.5166418840045</v>
      </c>
      <c r="F21" s="79">
        <f>SUMIF('Daily KPI'!$D:$D,$A21,'Daily KPI'!AA:AA)/1000</f>
        <v>0</v>
      </c>
      <c r="G21" s="73">
        <f>IFERROR(E21/C21/'Modelling New'!$AQ$1,"")</f>
        <v>0.72494423342859393</v>
      </c>
      <c r="H21" s="74" t="str">
        <f>IFERROR(F21/D21/'Modelling New'!$AQ$1,"")</f>
        <v/>
      </c>
      <c r="I21" s="73">
        <f>IFERROR(E21/(B21*24*'Modelling New'!$AQ$1),"")</f>
        <v>0.7124707147376973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45859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21</v>
      </c>
      <c r="C4" s="71">
        <f>_xlfn.XLOOKUP($A$4,'Modelling New'!$D:$D,'Modelling New'!R:R)</f>
        <v>97.165598419354808</v>
      </c>
      <c r="D4" s="72">
        <f>SUMIF('Daily KPI'!$D:$D,$A$4,'Daily KPI'!I:I)</f>
        <v>100.2255</v>
      </c>
      <c r="E4" s="71">
        <f>_xlfn.XLOOKUP($A$4,'Modelling New'!$D:$D,'Modelling New'!U:U)</f>
        <v>854.75573699891629</v>
      </c>
      <c r="F4" s="72">
        <f>SUMIF('Daily KPI'!$D:$D,$A$4,'Daily KPI'!$AA:$AA)/1000</f>
        <v>875.07520000000909</v>
      </c>
      <c r="G4" s="73">
        <f>IFERROR(E4/C4/'Modelling New'!$AQ$1,"")</f>
        <v>0.75058845994317613</v>
      </c>
      <c r="H4" s="74">
        <f>IFERROR(F4/D4/'Modelling New'!$AQ$1,"")</f>
        <v>0.74497128429317572</v>
      </c>
      <c r="I4" s="73">
        <f>IFERROR(E4/(B4*24*'Modelling New'!$AQ$1),"")</f>
        <v>0.14470511285127111</v>
      </c>
      <c r="J4" s="74">
        <f>IFERROR(F4/(B4*24*'Modelling New'!$AQ$1),"")</f>
        <v>0.14814507828159859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0.98671955616085594</v>
      </c>
      <c r="M4" s="73">
        <f>_xlfn.XLOOKUP($A$4,'Modelling New'!$D:$D,'Modelling New'!AE:AE)</f>
        <v>0.995</v>
      </c>
      <c r="N4" s="74">
        <f>IFERROR(AVERAGEIF('Daily KPI'!$D:$D,$A$4,'Daily KPI'!O:O),"")</f>
        <v>0.99993251118578486</v>
      </c>
      <c r="O4" s="73">
        <f>_xlfn.XLOOKUP($A$4,'Modelling New'!$D:$D,'Modelling New'!AG:AG)</f>
        <v>0.995</v>
      </c>
      <c r="P4" s="74">
        <f>IFERROR(AVERAGEIF('Daily KPI'!$D:$D,$A$4,'Daily KPI'!T:T),"")</f>
        <v>0.98717119843594836</v>
      </c>
    </row>
    <row r="7" spans="1:16">
      <c r="A7" s="66" t="s">
        <v>80</v>
      </c>
      <c r="B7" s="67">
        <f>B8-6</f>
        <v>45853</v>
      </c>
      <c r="D7" s="75"/>
      <c r="F7" s="75"/>
    </row>
    <row r="8" spans="1:16">
      <c r="A8" s="66" t="s">
        <v>81</v>
      </c>
      <c r="B8" s="67">
        <f>$B$1</f>
        <v>45859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35.600999999999999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307.27919999998898</v>
      </c>
      <c r="G11" s="73">
        <f>IFERROR(E11/C11/'Modelling New'!$AQ$1,"")</f>
        <v>0.75058845994317613</v>
      </c>
      <c r="H11" s="74">
        <f>IFERROR(F11/D11/'Modelling New'!$AQ$1,"")</f>
        <v>0.73645014956723376</v>
      </c>
      <c r="I11" s="73">
        <f>IFERROR(E11/(B11*24*'Modelling New'!$AQ$1),"")</f>
        <v>0.14470511285127111</v>
      </c>
      <c r="J11" s="74">
        <f>IFERROR(F11/(B11*24*'Modelling New'!$AQ$1),"")</f>
        <v>0.15606167723061362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0.97061163015504237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0.9997975335573549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0.9855814124885931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38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38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38</v>
      </c>
      <c r="M116" s="131">
        <f>IFERROR(_xlfn.XLOOKUP($A116,'Raw Data'!$G:$G,'Raw Data'!Y:Y),"")</f>
        <v>2</v>
      </c>
      <c r="N116" s="131">
        <f>IFERROR(_xlfn.XLOOKUP($A116,'Raw Data'!$G:$G,'Raw Data'!Z:Z),"")</f>
        <v>5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 t="str">
        <f>IFERROR(_xlfn.XLOOKUP($A117,'Raw Data'!$G:$G,'Raw Data'!$AH:$AH),"")</f>
        <v/>
      </c>
      <c r="G117" s="131" t="str">
        <f>IFERROR(_xlfn.XLOOKUP($A117,'Raw Data'!$G:$G,'Raw Data'!$S:$S)/1000,"")</f>
        <v/>
      </c>
      <c r="H117" s="131"/>
      <c r="I117" s="131" t="str">
        <f>IFERROR(_xlfn.XLOOKUP($A117,'Raw Data'!$G:$G,'Raw Data'!$AF:$AF)/1000,"")</f>
        <v/>
      </c>
      <c r="J117" s="131"/>
      <c r="K117" s="131" t="str">
        <f>IFERROR(_xlfn.XLOOKUP($A117,'Raw Data'!$G:$G,'Raw Data'!W:W),"")</f>
        <v/>
      </c>
      <c r="L117" s="131" t="str">
        <f>IFERROR(_xlfn.XLOOKUP($A117,'Raw Data'!$G:$G,'Raw Data'!X:X),"")</f>
        <v/>
      </c>
      <c r="M117" s="131" t="str">
        <f>IFERROR(_xlfn.XLOOKUP($A117,'Raw Data'!$G:$G,'Raw Data'!Y:Y),"")</f>
        <v/>
      </c>
      <c r="N117" s="131" t="str">
        <f>IFERROR(_xlfn.XLOOKUP($A117,'Raw Data'!$G:$G,'Raw Data'!Z:Z),"")</f>
        <v/>
      </c>
      <c r="O117" s="158" t="str">
        <f>IFERROR(1-SUMIF('Plant BD'!$H:$H,$A117,'Plant BD'!AC:AC)/$F117,"")</f>
        <v/>
      </c>
      <c r="P117" s="158"/>
      <c r="Q117" s="159"/>
      <c r="R117" s="158" t="str">
        <f>IFERROR(1-SUMIF('Grid BD'!$H:$H,$A117,'Grid BD'!AB:AB)/$F117,"")</f>
        <v/>
      </c>
      <c r="T117" s="159" t="str">
        <f>IFERROR(1-SUMIF(Tracker_BD!$H:$H,$A117,Tracker_BD!AI:AI)/$F117,"")</f>
        <v/>
      </c>
      <c r="U117" s="160" t="str">
        <f t="shared" si="5"/>
        <v/>
      </c>
      <c r="V117" s="160"/>
      <c r="W117" s="161" t="str">
        <f t="shared" si="6"/>
        <v/>
      </c>
      <c r="X117" s="156" t="str">
        <f>IFERROR(_xlfn.XLOOKUP($A117,'Raw Data'!$G:$G,'Raw Data'!$AB:$AB),"")</f>
        <v/>
      </c>
      <c r="Y117" s="156" t="str">
        <f>IFERROR(_xlfn.XLOOKUP($A117,'Raw Data'!$G:$G,'Raw Data'!AC:AC),"")</f>
        <v/>
      </c>
      <c r="Z117" s="156" t="str">
        <f>IFERROR(_xlfn.XLOOKUP($A117,'Raw Data'!$G:$G,'Raw Data'!AD:AD),"")</f>
        <v/>
      </c>
      <c r="AA117" s="156" t="str">
        <f>IFERROR(_xlfn.XLOOKUP($A117,'Raw Data'!$G:$G,'Raw Data'!AE:AE),"")</f>
        <v/>
      </c>
      <c r="AB117" s="156" t="str">
        <f>IFERROR(_xlfn.XLOOKUP($A117,'Raw Data'!$G:$G,'Raw Data'!$H:$H),"")</f>
        <v/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 t="str">
        <f>IFERROR(_xlfn.XLOOKUP($A118,'Raw Data'!$G:$G,'Raw Data'!$AH:$AH),"")</f>
        <v/>
      </c>
      <c r="G118" s="131" t="str">
        <f>IFERROR(_xlfn.XLOOKUP($A118,'Raw Data'!$G:$G,'Raw Data'!$S:$S)/1000,"")</f>
        <v/>
      </c>
      <c r="H118" s="131"/>
      <c r="I118" s="131" t="str">
        <f>IFERROR(_xlfn.XLOOKUP($A118,'Raw Data'!$G:$G,'Raw Data'!$AF:$AF)/1000,"")</f>
        <v/>
      </c>
      <c r="J118" s="131"/>
      <c r="K118" s="131" t="str">
        <f>IFERROR(_xlfn.XLOOKUP($A118,'Raw Data'!$G:$G,'Raw Data'!W:W),"")</f>
        <v/>
      </c>
      <c r="L118" s="131" t="str">
        <f>IFERROR(_xlfn.XLOOKUP($A118,'Raw Data'!$G:$G,'Raw Data'!X:X),"")</f>
        <v/>
      </c>
      <c r="M118" s="131" t="str">
        <f>IFERROR(_xlfn.XLOOKUP($A118,'Raw Data'!$G:$G,'Raw Data'!Y:Y),"")</f>
        <v/>
      </c>
      <c r="N118" s="131" t="str">
        <f>IFERROR(_xlfn.XLOOKUP($A118,'Raw Data'!$G:$G,'Raw Data'!Z:Z),"")</f>
        <v/>
      </c>
      <c r="O118" s="158" t="str">
        <f>IFERROR(1-SUMIF('Plant BD'!$H:$H,$A118,'Plant BD'!AC:AC)/$F118,"")</f>
        <v/>
      </c>
      <c r="P118" s="158"/>
      <c r="Q118" s="159"/>
      <c r="R118" s="158" t="str">
        <f>IFERROR(1-SUMIF('Grid BD'!$H:$H,$A118,'Grid BD'!AB:AB)/$F118,"")</f>
        <v/>
      </c>
      <c r="T118" s="159" t="str">
        <f>IFERROR(1-SUMIF(Tracker_BD!$H:$H,$A118,Tracker_BD!AI:AI)/$F118,"")</f>
        <v/>
      </c>
      <c r="U118" s="160" t="str">
        <f t="shared" si="5"/>
        <v/>
      </c>
      <c r="V118" s="160"/>
      <c r="W118" s="161" t="str">
        <f t="shared" si="6"/>
        <v/>
      </c>
      <c r="X118" s="156" t="str">
        <f>IFERROR(_xlfn.XLOOKUP($A118,'Raw Data'!$G:$G,'Raw Data'!$AB:$AB),"")</f>
        <v/>
      </c>
      <c r="Y118" s="156" t="str">
        <f>IFERROR(_xlfn.XLOOKUP($A118,'Raw Data'!$G:$G,'Raw Data'!AC:AC),"")</f>
        <v/>
      </c>
      <c r="Z118" s="156" t="str">
        <f>IFERROR(_xlfn.XLOOKUP($A118,'Raw Data'!$G:$G,'Raw Data'!AD:AD),"")</f>
        <v/>
      </c>
      <c r="AA118" s="156" t="str">
        <f>IFERROR(_xlfn.XLOOKUP($A118,'Raw Data'!$G:$G,'Raw Data'!AE:AE),"")</f>
        <v/>
      </c>
      <c r="AB118" s="156" t="str">
        <f>IFERROR(_xlfn.XLOOKUP($A118,'Raw Data'!$G:$G,'Raw Data'!$H:$H),"")</f>
        <v/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 t="str">
        <f>IFERROR(_xlfn.XLOOKUP($A119,'Raw Data'!$G:$G,'Raw Data'!$AH:$AH),"")</f>
        <v/>
      </c>
      <c r="G119" s="131" t="str">
        <f>IFERROR(_xlfn.XLOOKUP($A119,'Raw Data'!$G:$G,'Raw Data'!$S:$S)/1000,"")</f>
        <v/>
      </c>
      <c r="H119" s="131"/>
      <c r="I119" s="131" t="str">
        <f>IFERROR(_xlfn.XLOOKUP($A119,'Raw Data'!$G:$G,'Raw Data'!$AF:$AF)/1000,"")</f>
        <v/>
      </c>
      <c r="J119" s="131"/>
      <c r="K119" s="131" t="str">
        <f>IFERROR(_xlfn.XLOOKUP($A119,'Raw Data'!$G:$G,'Raw Data'!W:W),"")</f>
        <v/>
      </c>
      <c r="L119" s="131" t="str">
        <f>IFERROR(_xlfn.XLOOKUP($A119,'Raw Data'!$G:$G,'Raw Data'!X:X),"")</f>
        <v/>
      </c>
      <c r="M119" s="131" t="str">
        <f>IFERROR(_xlfn.XLOOKUP($A119,'Raw Data'!$G:$G,'Raw Data'!Y:Y),"")</f>
        <v/>
      </c>
      <c r="N119" s="131" t="str">
        <f>IFERROR(_xlfn.XLOOKUP($A119,'Raw Data'!$G:$G,'Raw Data'!Z:Z),"")</f>
        <v/>
      </c>
      <c r="O119" s="158" t="str">
        <f>IFERROR(1-SUMIF('Plant BD'!$H:$H,$A119,'Plant BD'!AC:AC)/$F119,"")</f>
        <v/>
      </c>
      <c r="P119" s="158"/>
      <c r="Q119" s="159"/>
      <c r="R119" s="158" t="str">
        <f>IFERROR(1-SUMIF('Grid BD'!$H:$H,$A119,'Grid BD'!AB:AB)/$F119,"")</f>
        <v/>
      </c>
      <c r="T119" s="159" t="str">
        <f>IFERROR(1-SUMIF(Tracker_BD!$H:$H,$A119,Tracker_BD!AI:AI)/$F119,"")</f>
        <v/>
      </c>
      <c r="U119" s="160" t="str">
        <f t="shared" si="5"/>
        <v/>
      </c>
      <c r="V119" s="160"/>
      <c r="W119" s="161" t="str">
        <f t="shared" si="6"/>
        <v/>
      </c>
      <c r="X119" s="156" t="str">
        <f>IFERROR(_xlfn.XLOOKUP($A119,'Raw Data'!$G:$G,'Raw Data'!$AB:$AB),"")</f>
        <v/>
      </c>
      <c r="Y119" s="156" t="str">
        <f>IFERROR(_xlfn.XLOOKUP($A119,'Raw Data'!$G:$G,'Raw Data'!AC:AC),"")</f>
        <v/>
      </c>
      <c r="Z119" s="156" t="str">
        <f>IFERROR(_xlfn.XLOOKUP($A119,'Raw Data'!$G:$G,'Raw Data'!AD:AD),"")</f>
        <v/>
      </c>
      <c r="AA119" s="156" t="str">
        <f>IFERROR(_xlfn.XLOOKUP($A119,'Raw Data'!$G:$G,'Raw Data'!AE:AE),"")</f>
        <v/>
      </c>
      <c r="AB119" s="156" t="str">
        <f>IFERROR(_xlfn.XLOOKUP($A119,'Raw Data'!$G:$G,'Raw Data'!$H:$H),"")</f>
        <v/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 t="str">
        <f>IFERROR(_xlfn.XLOOKUP($A120,'Raw Data'!$G:$G,'Raw Data'!$AH:$AH),"")</f>
        <v/>
      </c>
      <c r="G120" s="131" t="str">
        <f>IFERROR(_xlfn.XLOOKUP($A120,'Raw Data'!$G:$G,'Raw Data'!$S:$S)/1000,"")</f>
        <v/>
      </c>
      <c r="H120" s="131"/>
      <c r="I120" s="131" t="str">
        <f>IFERROR(_xlfn.XLOOKUP($A120,'Raw Data'!$G:$G,'Raw Data'!$AF:$AF)/1000,"")</f>
        <v/>
      </c>
      <c r="J120" s="131"/>
      <c r="K120" s="131" t="str">
        <f>IFERROR(_xlfn.XLOOKUP($A120,'Raw Data'!$G:$G,'Raw Data'!W:W),"")</f>
        <v/>
      </c>
      <c r="L120" s="131" t="str">
        <f>IFERROR(_xlfn.XLOOKUP($A120,'Raw Data'!$G:$G,'Raw Data'!X:X),"")</f>
        <v/>
      </c>
      <c r="M120" s="131" t="str">
        <f>IFERROR(_xlfn.XLOOKUP($A120,'Raw Data'!$G:$G,'Raw Data'!Y:Y),"")</f>
        <v/>
      </c>
      <c r="N120" s="131" t="str">
        <f>IFERROR(_xlfn.XLOOKUP($A120,'Raw Data'!$G:$G,'Raw Data'!Z:Z),"")</f>
        <v/>
      </c>
      <c r="O120" s="158" t="str">
        <f>IFERROR(1-SUMIF('Plant BD'!$H:$H,$A120,'Plant BD'!AC:AC)/$F120,"")</f>
        <v/>
      </c>
      <c r="P120" s="158"/>
      <c r="Q120" s="159"/>
      <c r="R120" s="158" t="str">
        <f>IFERROR(1-SUMIF('Grid BD'!$H:$H,$A120,'Grid BD'!AB:AB)/$F120,"")</f>
        <v/>
      </c>
      <c r="T120" s="159" t="str">
        <f>IFERROR(1-SUMIF(Tracker_BD!$H:$H,$A120,Tracker_BD!AI:AI)/$F120,"")</f>
        <v/>
      </c>
      <c r="U120" s="160" t="str">
        <f t="shared" si="5"/>
        <v/>
      </c>
      <c r="V120" s="160"/>
      <c r="W120" s="161" t="str">
        <f t="shared" si="6"/>
        <v/>
      </c>
      <c r="X120" s="156" t="str">
        <f>IFERROR(_xlfn.XLOOKUP($A120,'Raw Data'!$G:$G,'Raw Data'!$AB:$AB),"")</f>
        <v/>
      </c>
      <c r="Y120" s="156" t="str">
        <f>IFERROR(_xlfn.XLOOKUP($A120,'Raw Data'!$G:$G,'Raw Data'!AC:AC),"")</f>
        <v/>
      </c>
      <c r="Z120" s="156" t="str">
        <f>IFERROR(_xlfn.XLOOKUP($A120,'Raw Data'!$G:$G,'Raw Data'!AD:AD),"")</f>
        <v/>
      </c>
      <c r="AA120" s="156" t="str">
        <f>IFERROR(_xlfn.XLOOKUP($A120,'Raw Data'!$G:$G,'Raw Data'!AE:AE),"")</f>
        <v/>
      </c>
      <c r="AB120" s="156" t="str">
        <f>IFERROR(_xlfn.XLOOKUP($A120,'Raw Data'!$G:$G,'Raw Data'!$H:$H),"")</f>
        <v/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 t="str">
        <f>IFERROR(_xlfn.XLOOKUP($A121,'Raw Data'!$G:$G,'Raw Data'!$AH:$AH),"")</f>
        <v/>
      </c>
      <c r="G121" s="131" t="str">
        <f>IFERROR(_xlfn.XLOOKUP($A121,'Raw Data'!$G:$G,'Raw Data'!$S:$S)/1000,"")</f>
        <v/>
      </c>
      <c r="H121" s="131"/>
      <c r="I121" s="131" t="str">
        <f>IFERROR(_xlfn.XLOOKUP($A121,'Raw Data'!$G:$G,'Raw Data'!$AF:$AF)/1000,"")</f>
        <v/>
      </c>
      <c r="J121" s="131"/>
      <c r="K121" s="131" t="str">
        <f>IFERROR(_xlfn.XLOOKUP($A121,'Raw Data'!$G:$G,'Raw Data'!W:W),"")</f>
        <v/>
      </c>
      <c r="L121" s="131" t="str">
        <f>IFERROR(_xlfn.XLOOKUP($A121,'Raw Data'!$G:$G,'Raw Data'!X:X),"")</f>
        <v/>
      </c>
      <c r="M121" s="131" t="str">
        <f>IFERROR(_xlfn.XLOOKUP($A121,'Raw Data'!$G:$G,'Raw Data'!Y:Y),"")</f>
        <v/>
      </c>
      <c r="N121" s="131" t="str">
        <f>IFERROR(_xlfn.XLOOKUP($A121,'Raw Data'!$G:$G,'Raw Data'!Z:Z),"")</f>
        <v/>
      </c>
      <c r="O121" s="158" t="str">
        <f>IFERROR(1-SUMIF('Plant BD'!$H:$H,$A121,'Plant BD'!AC:AC)/$F121,"")</f>
        <v/>
      </c>
      <c r="P121" s="158"/>
      <c r="Q121" s="159"/>
      <c r="R121" s="158" t="str">
        <f>IFERROR(1-SUMIF('Grid BD'!$H:$H,$A121,'Grid BD'!AB:AB)/$F121,"")</f>
        <v/>
      </c>
      <c r="T121" s="159" t="str">
        <f>IFERROR(1-SUMIF(Tracker_BD!$H:$H,$A121,Tracker_BD!AI:AI)/$F121,"")</f>
        <v/>
      </c>
      <c r="U121" s="160" t="str">
        <f t="shared" si="5"/>
        <v/>
      </c>
      <c r="V121" s="160"/>
      <c r="W121" s="161" t="str">
        <f t="shared" si="6"/>
        <v/>
      </c>
      <c r="X121" s="156" t="str">
        <f>IFERROR(_xlfn.XLOOKUP($A121,'Raw Data'!$G:$G,'Raw Data'!$AB:$AB),"")</f>
        <v/>
      </c>
      <c r="Y121" s="156" t="str">
        <f>IFERROR(_xlfn.XLOOKUP($A121,'Raw Data'!$G:$G,'Raw Data'!AC:AC),"")</f>
        <v/>
      </c>
      <c r="Z121" s="156" t="str">
        <f>IFERROR(_xlfn.XLOOKUP($A121,'Raw Data'!$G:$G,'Raw Data'!AD:AD),"")</f>
        <v/>
      </c>
      <c r="AA121" s="156" t="str">
        <f>IFERROR(_xlfn.XLOOKUP($A121,'Raw Data'!$G:$G,'Raw Data'!AE:AE),"")</f>
        <v/>
      </c>
      <c r="AB121" s="156" t="str">
        <f>IFERROR(_xlfn.XLOOKUP($A121,'Raw Data'!$G:$G,'Raw Data'!$H:$H),"")</f>
        <v/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18"/>
  <sheetViews>
    <sheetView zoomScale="98" zoomScaleNormal="98" workbookViewId="0">
      <pane xSplit="7" ySplit="3" topLeftCell="N114" activePane="bottomRight" state="frozen"/>
      <selection pane="topRight" activeCell="H1" sqref="H1"/>
      <selection pane="bottomLeft" activeCell="A4" sqref="A4"/>
      <selection pane="bottomRight" activeCell="W118" sqref="W118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18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38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38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v>6615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33">
        <f>DAY(EOMONTH(Raw_Data[[#This Row],[Month Year]],0))</f>
        <v>31</v>
      </c>
      <c r="G118" s="63">
        <f t="shared" si="4"/>
        <v>45859</v>
      </c>
      <c r="H118" s="233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38</v>
      </c>
      <c r="Y118" s="2">
        <v>2</v>
      </c>
      <c r="Z118" s="2">
        <v>5</v>
      </c>
      <c r="AA118" s="2">
        <v>0</v>
      </c>
      <c r="AB118" s="233">
        <f>SUM(Raw_Data[[#This Row],[IC1_Inv1]:[IC2_Inv2]])</f>
        <v>49163</v>
      </c>
      <c r="AC118" s="233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33">
        <f>Raw_Data[[#This Row],[Export  (kWh)]]-Raw_Data[[#This Row],[Import (kWh)]]</f>
        <v>48917.699999991783</v>
      </c>
      <c r="AF118" s="233">
        <f>IFERROR(AVERAGE(Raw_Data[[#This Row],[POA1(Wh/m2)]:[POA2(Wh/m2)]]),"")</f>
        <v>5547</v>
      </c>
      <c r="AG118" s="233">
        <v>6615</v>
      </c>
      <c r="AH118" s="35">
        <f t="shared" ref="AH118" si="96">IFERROR((J118-I118)*24,"")</f>
        <v>11.033333333333335</v>
      </c>
      <c r="AI118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21</v>
      </c>
      <c r="R41" s="141">
        <f t="shared" si="42"/>
        <v>97.165598419354808</v>
      </c>
      <c r="S41" s="149">
        <f>SUMIF($F$2:F41,F41,$R$2:R41)</f>
        <v>731.19860441935475</v>
      </c>
      <c r="T41" s="140">
        <f t="shared" si="43"/>
        <v>40.702654142805535</v>
      </c>
      <c r="U41" s="141">
        <f t="shared" si="44"/>
        <v>854.75573699891629</v>
      </c>
      <c r="V41" s="149">
        <f>SUMIF($F$2:F41,F41,$U$2:U41)</f>
        <v>6212.5166418840045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0.19720171568632691</v>
      </c>
      <c r="Z41" s="140">
        <f>IFERROR(AVERAGEIF('Daily KPI'!D:D,Table14[[#This Row],[Month]],'Daily KPI'!AB:AB),"")</f>
        <v>11.72</v>
      </c>
      <c r="AA41" s="143">
        <f>IFERROR(AVERAGEIF($F$2:F41,F41,$Z$2:Z41),"")</f>
        <v>11.720000000000006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731.19860441935475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6212.5166418840045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0.19720171568632691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11.720000000000006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731.19860441935475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6212.5166418840045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0.19720171568632691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11.720000000000006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731.19860441935475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6212.5166418840045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0.19720171568632691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11.720000000000006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731.19860441935475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6212.5166418840045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0.19720171568632691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11.720000000000006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731.19860441935475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6212.5166418840045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0.19720171568632691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11.720000000000006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731.19860441935475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6212.5166418840045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0.19720171568632691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11.720000000000006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731.19860441935475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6212.5166418840045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0.19720171568632691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11.720000000000006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731.19860441935475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6212.5166418840045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0.19720171568632691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11.720000000000006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17"/>
  <sheetViews>
    <sheetView topLeftCell="A2" workbookViewId="0">
      <pane xSplit="1" ySplit="1" topLeftCell="B103" activePane="bottomRight" state="frozen"/>
      <selection pane="topRight" activeCell="B2" sqref="B2"/>
      <selection pane="bottomLeft" activeCell="A3" sqref="A3"/>
      <selection pane="bottomRight" activeCell="A118" sqref="A118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17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6"/>
  <sheetViews>
    <sheetView zoomScale="106" zoomScaleNormal="106" workbookViewId="0">
      <pane xSplit="1" ySplit="1" topLeftCell="B102" activePane="bottomRight" state="frozen"/>
      <selection pane="topRight" activeCell="B1" sqref="B1"/>
      <selection pane="bottomLeft" activeCell="A2" sqref="A2"/>
      <selection pane="bottomRight" activeCell="A117" sqref="A117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>DAY(EOMONTH(F112,0))</f>
        <v>31</v>
      </c>
      <c r="H112" s="211">
        <f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2">YEAR(H113)+IF(MONTH(H113)&gt;=4,1,0)</f>
        <v>2026</v>
      </c>
      <c r="B113" s="217">
        <f t="shared" ref="B113" si="243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>DAY(EOMONTH(F113,0))</f>
        <v>31</v>
      </c>
      <c r="H113" s="211">
        <f>H112+1</f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4">YEAR(H114)+IF(MONTH(H114)&gt;=4,1,0)</f>
        <v>2026</v>
      </c>
      <c r="B114" s="217">
        <f t="shared" ref="B114" si="245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>DAY(EOMONTH(F114,0))</f>
        <v>31</v>
      </c>
      <c r="H114" s="211">
        <f>H113+1</f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6">YEAR(H115)+IF(MONTH(H115)&gt;=4,1,0)</f>
        <v>2026</v>
      </c>
      <c r="B115" s="217">
        <f t="shared" ref="B115" si="247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>DAY(EOMONTH(F115,0))</f>
        <v>31</v>
      </c>
      <c r="H115" s="211">
        <f>H114+1</f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34">
        <f t="shared" ref="A116" si="248">YEAR(H116)+IF(MONTH(H116)&gt;=4,1,0)</f>
        <v>2026</v>
      </c>
      <c r="B116" s="235">
        <f t="shared" ref="B116" si="249">YEAR(H116)</f>
        <v>2025</v>
      </c>
      <c r="C116" s="236" t="str">
        <f>TEXT(Table5[[#This Row],[Date]],"yyyy")</f>
        <v>2025</v>
      </c>
      <c r="D116" s="236" t="s">
        <v>224</v>
      </c>
      <c r="E116" s="236" t="s">
        <v>224</v>
      </c>
      <c r="F116" s="237" t="str">
        <f>TEXT(Table5[[#This Row],[Date]],"mmm-yy")</f>
        <v>Jul-25</v>
      </c>
      <c r="G116" s="236">
        <f>DAY(EOMONTH(F116,0))</f>
        <v>31</v>
      </c>
      <c r="H116" s="238">
        <f>H115+1</f>
        <v>45859</v>
      </c>
      <c r="I116" s="236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</sheetData>
  <phoneticPr fontId="34" type="noConversion"/>
  <conditionalFormatting sqref="J2:Q11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1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V12" activePane="bottomRight" state="frozen"/>
      <selection pane="topRight" activeCell="I1" sqref="I1"/>
      <selection pane="bottomLeft" activeCell="A4" sqref="A4"/>
      <selection pane="bottomRight" activeCell="Z30" sqref="Z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1900</v>
      </c>
      <c r="C27" s="129">
        <f t="shared" si="2"/>
        <v>1900</v>
      </c>
      <c r="I27" s="29" t="str">
        <f>IFERROR(VLOOKUP(PA[[#This Row],[Date]],Raw_Data[[Date]:[Sunset Time (POA&lt;20 W/m2)]],3,0),"")</f>
        <v/>
      </c>
      <c r="J27" s="29" t="str">
        <f>IFERROR(VLOOKUP(PA[[#This Row],[Date]],Raw_Data[[Date]:[Sunset Time (POA&lt;20 W/m2)]],4,0),"")</f>
        <v/>
      </c>
      <c r="K27" s="27" t="str">
        <f>IFERROR((PA[[#This Row],[Sunset Time (POA&lt;20 W/m2)]]-PA[[#This Row],[Sunrise Time (POA&gt;20 W/m2)]])*24,"")</f>
        <v/>
      </c>
      <c r="M27" s="46" t="str">
        <f>IFERROR(VLOOKUP(PA[[#This Row],[Affceted Equipment]],'Basic Data'!$A$2:$B$114,2,0),"")</f>
        <v/>
      </c>
      <c r="N27" s="48" t="str">
        <f>IFERROR(VLOOKUP(PA[[#This Row],[Affceted Equipment]],'Basic Data'!$A$1:$C$118,3,0),"")</f>
        <v/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0</v>
      </c>
      <c r="Y27" s="35">
        <f>(PA[[#This Row],[Work Completiuon time on fualt]]-PA[[#This Row],[Fault Time]])*24</f>
        <v>0</v>
      </c>
      <c r="Z27" s="35">
        <f>IFERROR((PA[[#This Row],[Work Completiuon time on fualt]]-PA[[#This Row],[Fault Time]])*24,"")</f>
        <v>0</v>
      </c>
      <c r="AC27" s="47" t="str">
        <f>IFERROR(PA[[#This Row],[Breakdown Time]]*PA[[#This Row],[Plant Equivalent Weightage]],"")</f>
        <v/>
      </c>
      <c r="AE27" s="33" t="str">
        <f>IFERROR((_xlfn.XLOOKUP(PA[[#This Row],[Month Year]],'Modelling New'!D:D,'Modelling New'!$O:$O)*PA[[#This Row],[Lost PoA(Wh/m2)]]*PA[[#This Row],[DC Capacity Affceted (kW)]])/1000,"")</f>
        <v/>
      </c>
      <c r="AF27" s="35"/>
    </row>
    <row r="28" spans="1:32">
      <c r="A28" s="2">
        <f t="shared" si="7"/>
        <v>25</v>
      </c>
      <c r="B28" s="156">
        <f t="shared" si="1"/>
        <v>1900</v>
      </c>
      <c r="C28" s="129">
        <f t="shared" si="2"/>
        <v>1900</v>
      </c>
      <c r="I28" s="29" t="str">
        <f>IFERROR(VLOOKUP(PA[[#This Row],[Date]],Raw_Data[[Date]:[Sunset Time (POA&lt;20 W/m2)]],3,0),"")</f>
        <v/>
      </c>
      <c r="J28" s="29" t="str">
        <f>IFERROR(VLOOKUP(PA[[#This Row],[Date]],Raw_Data[[Date]:[Sunset Time (POA&lt;20 W/m2)]],4,0),"")</f>
        <v/>
      </c>
      <c r="K28" s="27" t="str">
        <f>IFERROR((PA[[#This Row],[Sunset Time (POA&lt;20 W/m2)]]-PA[[#This Row],[Sunrise Time (POA&gt;20 W/m2)]])*24,"")</f>
        <v/>
      </c>
      <c r="M28" s="46" t="str">
        <f>IFERROR(VLOOKUP(PA[[#This Row],[Affceted Equipment]],'Basic Data'!$A$2:$B$114,2,0),"")</f>
        <v/>
      </c>
      <c r="N28" s="48" t="str">
        <f>IFERROR(VLOOKUP(PA[[#This Row],[Affceted Equipment]],'Basic Data'!$A$1:$C$118,3,0),"")</f>
        <v/>
      </c>
      <c r="W28" s="33">
        <f>IF(PA[[#This Row],[Acknowledgemnet Time ]]="NA","",(PA[[#This Row],[Acknowledgemnet Time ]]-PA[[#This Row],[Fault Time]])*24)</f>
        <v>0</v>
      </c>
      <c r="X28" s="33">
        <f>IF(PA[[#This Row],[Work Start time on Fault]]="NA","",(PA[[#This Row],[Work Start time on Fault]]-PA[[#This Row],[Fault Time]])*24)</f>
        <v>0</v>
      </c>
      <c r="Y28" s="35">
        <f>(PA[[#This Row],[Work Completiuon time on fualt]]-PA[[#This Row],[Fault Time]])*24</f>
        <v>0</v>
      </c>
      <c r="Z28" s="35">
        <f>IFERROR((PA[[#This Row],[Work Completiuon time on fualt]]-PA[[#This Row],[Fault Time]])*24,"")</f>
        <v>0</v>
      </c>
      <c r="AC28" s="47" t="str">
        <f>IFERROR(PA[[#This Row],[Breakdown Time]]*PA[[#This Row],[Plant Equivalent Weightage]],"")</f>
        <v/>
      </c>
      <c r="AE28" s="33" t="str">
        <f>IFERROR((_xlfn.XLOOKUP(PA[[#This Row],[Month Year]],'Modelling New'!D:D,'Modelling New'!$O:$O)*PA[[#This Row],[Lost PoA(Wh/m2)]]*PA[[#This Row],[DC Capacity Affceted (kW)]])/1000,"")</f>
        <v/>
      </c>
      <c r="AF28" s="35"/>
    </row>
    <row r="29" spans="1:32">
      <c r="A29" s="2">
        <f t="shared" si="7"/>
        <v>26</v>
      </c>
      <c r="B29" s="156">
        <f t="shared" si="1"/>
        <v>1900</v>
      </c>
      <c r="C29" s="129">
        <f t="shared" si="2"/>
        <v>1900</v>
      </c>
      <c r="I29" s="29" t="str">
        <f>IFERROR(VLOOKUP(PA[[#This Row],[Date]],Raw_Data[[Date]:[Sunset Time (POA&lt;20 W/m2)]],3,0),"")</f>
        <v/>
      </c>
      <c r="J29" s="29" t="str">
        <f>IFERROR(VLOOKUP(PA[[#This Row],[Date]],Raw_Data[[Date]:[Sunset Time (POA&lt;20 W/m2)]],4,0),"")</f>
        <v/>
      </c>
      <c r="K29" s="27" t="str">
        <f>IFERROR((PA[[#This Row],[Sunset Time (POA&lt;20 W/m2)]]-PA[[#This Row],[Sunrise Time (POA&gt;20 W/m2)]])*24,"")</f>
        <v/>
      </c>
      <c r="M29" s="46" t="str">
        <f>IFERROR(VLOOKUP(PA[[#This Row],[Affceted Equipment]],'Basic Data'!$A$2:$B$114,2,0),"")</f>
        <v/>
      </c>
      <c r="N29" s="48" t="str">
        <f>IFERROR(VLOOKUP(PA[[#This Row],[Affceted Equipment]],'Basic Data'!$A$1:$C$118,3,0),"")</f>
        <v/>
      </c>
      <c r="W29" s="33">
        <f>IF(PA[[#This Row],[Acknowledgemnet Time ]]="NA","",(PA[[#This Row],[Acknowledgemnet Time ]]-PA[[#This Row],[Fault Time]])*24)</f>
        <v>0</v>
      </c>
      <c r="X29" s="33">
        <f>IF(PA[[#This Row],[Work Start time on Fault]]="NA","",(PA[[#This Row],[Work Start time on Fault]]-PA[[#This Row],[Fault Time]])*24)</f>
        <v>0</v>
      </c>
      <c r="Y29" s="35">
        <f>(PA[[#This Row],[Work Completiuon time on fualt]]-PA[[#This Row],[Fault Time]])*24</f>
        <v>0</v>
      </c>
      <c r="Z29" s="35">
        <f>IFERROR((PA[[#This Row],[Work Completiuon time on fualt]]-PA[[#This Row],[Fault Time]])*24,"")</f>
        <v>0</v>
      </c>
      <c r="AC29" s="47" t="str">
        <f>IFERROR(PA[[#This Row],[Breakdown Time]]*PA[[#This Row],[Plant Equivalent Weightage]],"")</f>
        <v/>
      </c>
      <c r="AE29" s="33" t="str">
        <f>IFERROR((_xlfn.XLOOKUP(PA[[#This Row],[Month Year]],'Modelling New'!D:D,'Modelling New'!$O:$O)*PA[[#This Row],[Lost PoA(Wh/m2)]]*PA[[#This Row],[DC Capacity Affceted (kW)]])/1000,"")</f>
        <v/>
      </c>
      <c r="AF29" s="35"/>
    </row>
    <row r="30" spans="1:32">
      <c r="A30" s="2">
        <f t="shared" si="7"/>
        <v>27</v>
      </c>
      <c r="B30" s="156">
        <f t="shared" si="1"/>
        <v>1900</v>
      </c>
      <c r="C30" s="129">
        <f t="shared" si="2"/>
        <v>1900</v>
      </c>
      <c r="I30" s="29" t="str">
        <f>IFERROR(VLOOKUP(PA[[#This Row],[Date]],Raw_Data[[Date]:[Sunset Time (POA&lt;20 W/m2)]],3,0),"")</f>
        <v/>
      </c>
      <c r="J30" s="29" t="str">
        <f>IFERROR(VLOOKUP(PA[[#This Row],[Date]],Raw_Data[[Date]:[Sunset Time (POA&lt;20 W/m2)]],4,0),"")</f>
        <v/>
      </c>
      <c r="K30" s="27" t="str">
        <f>IFERROR((PA[[#This Row],[Sunset Time (POA&lt;20 W/m2)]]-PA[[#This Row],[Sunrise Time (POA&gt;20 W/m2)]])*24,"")</f>
        <v/>
      </c>
      <c r="M30" s="46" t="str">
        <f>IFERROR(VLOOKUP(PA[[#This Row],[Affceted Equipment]],'Basic Data'!$A$2:$B$114,2,0),"")</f>
        <v/>
      </c>
      <c r="N30" s="48" t="str">
        <f>IFERROR(VLOOKUP(PA[[#This Row],[Affceted Equipment]],'Basic Data'!$A$1:$C$118,3,0),"")</f>
        <v/>
      </c>
      <c r="W30" s="33">
        <f>IF(PA[[#This Row],[Acknowledgemnet Time ]]="NA","",(PA[[#This Row],[Acknowledgemnet Time ]]-PA[[#This Row],[Fault Time]])*24)</f>
        <v>0</v>
      </c>
      <c r="X30" s="33">
        <f>IF(PA[[#This Row],[Work Start time on Fault]]="NA","",(PA[[#This Row],[Work Start time on Fault]]-PA[[#This Row],[Fault Time]])*24)</f>
        <v>0</v>
      </c>
      <c r="Y30" s="35">
        <f>(PA[[#This Row],[Work Completiuon time on fualt]]-PA[[#This Row],[Fault Time]])*24</f>
        <v>0</v>
      </c>
      <c r="Z30" s="35">
        <f>IFERROR((PA[[#This Row],[Work Completiuon time on fualt]]-PA[[#This Row],[Fault Time]])*24,"")</f>
        <v>0</v>
      </c>
      <c r="AC30" s="47" t="str">
        <f>IFERROR(PA[[#This Row],[Breakdown Time]]*PA[[#This Row],[Plant Equivalent Weightage]],"")</f>
        <v/>
      </c>
      <c r="AE30" s="33" t="str">
        <f>IFERROR((_xlfn.XLOOKUP(PA[[#This Row],[Month Year]],'Modelling New'!D:D,'Modelling New'!$O:$O)*PA[[#This Row],[Lost PoA(Wh/m2)]]*PA[[#This Row],[DC Capacity Affceted (kW)]])/1000,"")</f>
        <v/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P27:P557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AB27:AB557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O4:O26 L4:L557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02"/>
  <sheetViews>
    <sheetView workbookViewId="0">
      <pane xSplit="8" ySplit="3" topLeftCell="I1503" activePane="bottomRight" state="frozen"/>
      <selection pane="topRight" activeCell="I1" sqref="I1"/>
      <selection pane="bottomLeft" activeCell="A4" sqref="A4"/>
      <selection pane="bottomRight" activeCell="I1516" sqref="I1516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0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33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33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33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33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33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33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33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33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33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33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33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33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33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AF4:AF1602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03" activePane="bottomRight" state="frozen"/>
      <selection pane="topRight" activeCell="I2" sqref="I2"/>
      <selection pane="bottomLeft" activeCell="A3" sqref="A3"/>
      <selection pane="bottomRight" activeCell="Q111" sqref="Q111:Q117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Q118" s="2">
        <f>SUM(MC[[#This Row],[IC1_Inv1_MC]:[IC2_Inv2_MC]])</f>
        <v>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I96" activePane="bottomRight" state="frozen"/>
      <selection pane="topRight" activeCell="I2" sqref="I2"/>
      <selection pane="bottomLeft" activeCell="A3" sqref="A3"/>
      <selection pane="bottomRight" activeCell="K109" sqref="K109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7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7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7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7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7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7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7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Q119" s="2">
        <f>SUM(GC[[#This Row],[IC1_Inv1_GC]:[IC2_Inv2_GC]])</f>
        <v>0</v>
      </c>
    </row>
    <row r="120" spans="1:17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7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7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7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7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7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7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7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7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2025-07-22T03:29:46Z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