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amol_dhorekar_o2power_in/Documents/Desktop/Daily report send/July-25/"/>
    </mc:Choice>
  </mc:AlternateContent>
  <xr:revisionPtr revIDLastSave="2" documentId="13_ncr:1_{D13AD6F2-F411-4A5B-B914-6084133D42A9}" xr6:coauthVersionLast="47" xr6:coauthVersionMax="47" xr10:uidLastSave="{ADDE2CBB-5FCE-4D98-86B8-F7B9678EA600}"/>
  <bookViews>
    <workbookView xWindow="-120" yWindow="-120" windowWidth="20730" windowHeight="1104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W119" i="20" l="1"/>
  <c r="EV118" i="20"/>
  <c r="EV119" i="20"/>
  <c r="EU119" i="20"/>
  <c r="EU120" i="20"/>
  <c r="EU121" i="20"/>
  <c r="EU122" i="20"/>
  <c r="ET119" i="20"/>
  <c r="ET120" i="20"/>
  <c r="EO119" i="20"/>
  <c r="EN119" i="20"/>
  <c r="EL119" i="20"/>
  <c r="EK119" i="20"/>
  <c r="EJ119" i="20"/>
  <c r="EW118" i="20"/>
  <c r="ET118" i="20"/>
  <c r="EO118" i="20"/>
  <c r="EJ118" i="20"/>
  <c r="ET116" i="20"/>
  <c r="ET117" i="20"/>
  <c r="EY117" i="20" s="1"/>
  <c r="EZ117" i="20"/>
  <c r="EW117" i="20"/>
  <c r="EV117" i="20"/>
  <c r="EU117" i="20"/>
  <c r="EU118" i="20"/>
  <c r="EO117" i="20"/>
  <c r="EV116" i="20" l="1"/>
  <c r="EO116" i="20"/>
  <c r="ES116" i="20" l="1"/>
  <c r="ES117" i="20"/>
  <c r="ES118" i="20"/>
  <c r="ES119" i="20"/>
  <c r="ES120" i="20"/>
  <c r="ES121" i="20"/>
  <c r="ES122" i="20"/>
  <c r="ES123" i="20"/>
  <c r="ES124" i="20"/>
  <c r="ES125" i="20"/>
  <c r="ES115" i="20"/>
  <c r="EO115" i="20"/>
  <c r="C36" i="36"/>
  <c r="D36" i="36"/>
  <c r="E36" i="36"/>
  <c r="F36" i="36"/>
  <c r="G36" i="36"/>
  <c r="H36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U36" i="36"/>
  <c r="V36" i="36"/>
  <c r="W36" i="36"/>
  <c r="X36" i="36"/>
  <c r="Y36" i="36"/>
  <c r="Z36" i="36"/>
  <c r="AA36" i="36"/>
  <c r="AB36" i="36"/>
  <c r="AC36" i="36"/>
  <c r="AD36" i="36"/>
  <c r="AE36" i="36"/>
  <c r="AF36" i="36"/>
  <c r="AG36" i="36"/>
  <c r="AH36" i="36"/>
  <c r="AI36" i="36"/>
  <c r="AJ36" i="36"/>
  <c r="AK36" i="36"/>
  <c r="AL36" i="36"/>
  <c r="AM36" i="36"/>
  <c r="AN36" i="36"/>
  <c r="AO36" i="36"/>
  <c r="AP36" i="36"/>
  <c r="AQ36" i="36"/>
  <c r="AR36" i="36"/>
  <c r="AS36" i="36"/>
  <c r="AT36" i="36"/>
  <c r="AU36" i="36"/>
  <c r="AV36" i="36"/>
  <c r="AW36" i="36"/>
  <c r="AX36" i="36"/>
  <c r="AY36" i="36"/>
  <c r="AZ36" i="36"/>
  <c r="BA36" i="36"/>
  <c r="BB36" i="36"/>
  <c r="BC36" i="36"/>
  <c r="BD36" i="36"/>
  <c r="BE36" i="36"/>
  <c r="BF36" i="36"/>
  <c r="BG36" i="36"/>
  <c r="BH36" i="36"/>
  <c r="BI36" i="36"/>
  <c r="BJ36" i="36"/>
  <c r="BK36" i="36"/>
  <c r="BL36" i="36"/>
  <c r="BM36" i="36"/>
  <c r="BN36" i="36"/>
  <c r="BO36" i="36"/>
  <c r="BP36" i="36"/>
  <c r="BQ36" i="36"/>
  <c r="BR36" i="36"/>
  <c r="BS36" i="36"/>
  <c r="BT36" i="36"/>
  <c r="BU36" i="36"/>
  <c r="BV36" i="36"/>
  <c r="BW36" i="36"/>
  <c r="BX36" i="36"/>
  <c r="C37" i="36"/>
  <c r="D37" i="36"/>
  <c r="E37" i="36"/>
  <c r="F37" i="36"/>
  <c r="G37" i="36"/>
  <c r="H37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U37" i="36"/>
  <c r="V37" i="36"/>
  <c r="W37" i="36"/>
  <c r="X37" i="36"/>
  <c r="Y37" i="36"/>
  <c r="Z37" i="36"/>
  <c r="AA37" i="36"/>
  <c r="AB37" i="36"/>
  <c r="AC37" i="36"/>
  <c r="AD37" i="36"/>
  <c r="AE37" i="36"/>
  <c r="AF37" i="36"/>
  <c r="AG37" i="36"/>
  <c r="AH37" i="36"/>
  <c r="AI37" i="36"/>
  <c r="AJ37" i="36"/>
  <c r="AK37" i="36"/>
  <c r="AL37" i="36"/>
  <c r="AM37" i="36"/>
  <c r="AN37" i="36"/>
  <c r="AO37" i="36"/>
  <c r="AP37" i="36"/>
  <c r="AQ37" i="36"/>
  <c r="AR37" i="36"/>
  <c r="AS37" i="36"/>
  <c r="AT37" i="36"/>
  <c r="AU37" i="36"/>
  <c r="AV37" i="36"/>
  <c r="AW37" i="36"/>
  <c r="AX37" i="36"/>
  <c r="AY37" i="36"/>
  <c r="AZ37" i="36"/>
  <c r="BA37" i="36"/>
  <c r="BB37" i="36"/>
  <c r="BC37" i="36"/>
  <c r="BD37" i="36"/>
  <c r="BE37" i="36"/>
  <c r="BF37" i="36"/>
  <c r="BG37" i="36"/>
  <c r="BH37" i="36"/>
  <c r="BI37" i="36"/>
  <c r="BJ37" i="36"/>
  <c r="BK37" i="36"/>
  <c r="BL37" i="36"/>
  <c r="BM37" i="36"/>
  <c r="BN37" i="36"/>
  <c r="BO37" i="36"/>
  <c r="BP37" i="36"/>
  <c r="BQ37" i="36"/>
  <c r="BR37" i="36"/>
  <c r="BS37" i="36"/>
  <c r="BT37" i="36"/>
  <c r="BU37" i="36"/>
  <c r="BV37" i="36"/>
  <c r="BW37" i="36"/>
  <c r="BX37" i="36"/>
  <c r="C38" i="36"/>
  <c r="D38" i="36"/>
  <c r="E38" i="36"/>
  <c r="F38" i="36"/>
  <c r="G38" i="36"/>
  <c r="H38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U38" i="36"/>
  <c r="V38" i="36"/>
  <c r="W38" i="36"/>
  <c r="X38" i="36"/>
  <c r="Y38" i="36"/>
  <c r="Z38" i="36"/>
  <c r="AA38" i="36"/>
  <c r="AB38" i="36"/>
  <c r="AC38" i="36"/>
  <c r="AD38" i="36"/>
  <c r="AE38" i="36"/>
  <c r="AF38" i="36"/>
  <c r="AG38" i="36"/>
  <c r="AH38" i="36"/>
  <c r="AI38" i="36"/>
  <c r="AJ38" i="36"/>
  <c r="AK38" i="36"/>
  <c r="AL38" i="36"/>
  <c r="AM38" i="36"/>
  <c r="AN38" i="36"/>
  <c r="AO38" i="36"/>
  <c r="AP38" i="36"/>
  <c r="AQ38" i="36"/>
  <c r="AR38" i="36"/>
  <c r="AS38" i="36"/>
  <c r="AT38" i="36"/>
  <c r="AU38" i="36"/>
  <c r="AV38" i="36"/>
  <c r="AW38" i="36"/>
  <c r="AX38" i="36"/>
  <c r="AY38" i="36"/>
  <c r="AZ38" i="36"/>
  <c r="BA38" i="36"/>
  <c r="BB38" i="36"/>
  <c r="BC38" i="36"/>
  <c r="BD38" i="36"/>
  <c r="BE38" i="36"/>
  <c r="BF38" i="36"/>
  <c r="BG38" i="36"/>
  <c r="BH38" i="36"/>
  <c r="BI38" i="36"/>
  <c r="BJ38" i="36"/>
  <c r="BK38" i="36"/>
  <c r="BL38" i="36"/>
  <c r="BM38" i="36"/>
  <c r="BN38" i="36"/>
  <c r="BO38" i="36"/>
  <c r="BP38" i="36"/>
  <c r="BQ38" i="36"/>
  <c r="BR38" i="36"/>
  <c r="BS38" i="36"/>
  <c r="BT38" i="36"/>
  <c r="BU38" i="36"/>
  <c r="BV38" i="36"/>
  <c r="BW38" i="36"/>
  <c r="BX38" i="36"/>
  <c r="C39" i="36"/>
  <c r="D39" i="36"/>
  <c r="E39" i="36"/>
  <c r="F39" i="36"/>
  <c r="G39" i="36"/>
  <c r="H39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U39" i="36"/>
  <c r="V39" i="36"/>
  <c r="W39" i="36"/>
  <c r="X39" i="36"/>
  <c r="Y39" i="36"/>
  <c r="Z39" i="36"/>
  <c r="AA39" i="36"/>
  <c r="AB39" i="36"/>
  <c r="AC39" i="36"/>
  <c r="AD39" i="36"/>
  <c r="AE39" i="36"/>
  <c r="AF39" i="36"/>
  <c r="AG39" i="36"/>
  <c r="AH39" i="36"/>
  <c r="AI39" i="36"/>
  <c r="AJ39" i="36"/>
  <c r="AK39" i="36"/>
  <c r="AL39" i="36"/>
  <c r="AM39" i="36"/>
  <c r="AN39" i="36"/>
  <c r="AO39" i="36"/>
  <c r="AP39" i="36"/>
  <c r="AQ39" i="36"/>
  <c r="AR39" i="36"/>
  <c r="AS39" i="36"/>
  <c r="AT39" i="36"/>
  <c r="AU39" i="36"/>
  <c r="AV39" i="36"/>
  <c r="AW39" i="36"/>
  <c r="AX39" i="36"/>
  <c r="AY39" i="36"/>
  <c r="AZ39" i="36"/>
  <c r="BA39" i="36"/>
  <c r="BB39" i="36"/>
  <c r="BC39" i="36"/>
  <c r="BD39" i="36"/>
  <c r="BE39" i="36"/>
  <c r="BF39" i="36"/>
  <c r="BG39" i="36"/>
  <c r="BH39" i="36"/>
  <c r="BI39" i="36"/>
  <c r="BJ39" i="36"/>
  <c r="BK39" i="36"/>
  <c r="BL39" i="36"/>
  <c r="BM39" i="36"/>
  <c r="BN39" i="36"/>
  <c r="BO39" i="36"/>
  <c r="BP39" i="36"/>
  <c r="BQ39" i="36"/>
  <c r="BR39" i="36"/>
  <c r="BS39" i="36"/>
  <c r="BT39" i="36"/>
  <c r="BU39" i="36"/>
  <c r="BV39" i="36"/>
  <c r="BW39" i="36"/>
  <c r="BX39" i="36"/>
  <c r="C40" i="36"/>
  <c r="D40" i="36"/>
  <c r="E40" i="36"/>
  <c r="F40" i="36"/>
  <c r="G40" i="36"/>
  <c r="H40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U40" i="36"/>
  <c r="V40" i="36"/>
  <c r="W40" i="36"/>
  <c r="X40" i="36"/>
  <c r="Y40" i="36"/>
  <c r="Z40" i="36"/>
  <c r="AA40" i="36"/>
  <c r="AB40" i="36"/>
  <c r="AC40" i="36"/>
  <c r="AD40" i="36"/>
  <c r="AE40" i="36"/>
  <c r="AF40" i="36"/>
  <c r="AG40" i="36"/>
  <c r="AH40" i="36"/>
  <c r="AI40" i="36"/>
  <c r="AJ40" i="36"/>
  <c r="AK40" i="36"/>
  <c r="AL40" i="36"/>
  <c r="AM40" i="36"/>
  <c r="AN40" i="36"/>
  <c r="AO40" i="36"/>
  <c r="AP40" i="36"/>
  <c r="AQ40" i="36"/>
  <c r="AR40" i="36"/>
  <c r="AS40" i="36"/>
  <c r="AT40" i="36"/>
  <c r="AU40" i="36"/>
  <c r="AV40" i="36"/>
  <c r="AW40" i="36"/>
  <c r="AX40" i="36"/>
  <c r="AY40" i="36"/>
  <c r="AZ40" i="36"/>
  <c r="BA40" i="36"/>
  <c r="BB40" i="36"/>
  <c r="BC40" i="36"/>
  <c r="BD40" i="36"/>
  <c r="BE40" i="36"/>
  <c r="BF40" i="36"/>
  <c r="BG40" i="36"/>
  <c r="BH40" i="36"/>
  <c r="BI40" i="36"/>
  <c r="BJ40" i="36"/>
  <c r="BK40" i="36"/>
  <c r="BL40" i="36"/>
  <c r="BM40" i="36"/>
  <c r="BN40" i="36"/>
  <c r="BO40" i="36"/>
  <c r="BP40" i="36"/>
  <c r="BQ40" i="36"/>
  <c r="BR40" i="36"/>
  <c r="BS40" i="36"/>
  <c r="BT40" i="36"/>
  <c r="BU40" i="36"/>
  <c r="BV40" i="36"/>
  <c r="BW40" i="36"/>
  <c r="BX40" i="36"/>
  <c r="C41" i="36"/>
  <c r="D41" i="36"/>
  <c r="E41" i="36"/>
  <c r="F41" i="36"/>
  <c r="G41" i="36"/>
  <c r="H41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U41" i="36"/>
  <c r="V41" i="36"/>
  <c r="W41" i="36"/>
  <c r="X41" i="36"/>
  <c r="Y41" i="36"/>
  <c r="Z41" i="36"/>
  <c r="AA41" i="36"/>
  <c r="AB41" i="36"/>
  <c r="AC41" i="36"/>
  <c r="AD41" i="36"/>
  <c r="AE41" i="36"/>
  <c r="AF41" i="36"/>
  <c r="AG41" i="36"/>
  <c r="AH41" i="36"/>
  <c r="AI41" i="36"/>
  <c r="AJ41" i="36"/>
  <c r="AK41" i="36"/>
  <c r="AL41" i="36"/>
  <c r="AM41" i="36"/>
  <c r="AN41" i="36"/>
  <c r="AO41" i="36"/>
  <c r="AP41" i="36"/>
  <c r="AQ41" i="36"/>
  <c r="AR41" i="36"/>
  <c r="AS41" i="36"/>
  <c r="AT41" i="36"/>
  <c r="AU41" i="36"/>
  <c r="AV41" i="36"/>
  <c r="AW41" i="36"/>
  <c r="AX41" i="36"/>
  <c r="AY41" i="36"/>
  <c r="AZ41" i="36"/>
  <c r="BA41" i="36"/>
  <c r="BB41" i="36"/>
  <c r="BC41" i="36"/>
  <c r="BD41" i="36"/>
  <c r="BE41" i="36"/>
  <c r="BF41" i="36"/>
  <c r="BG41" i="36"/>
  <c r="BH41" i="36"/>
  <c r="BI41" i="36"/>
  <c r="BJ41" i="36"/>
  <c r="BK41" i="36"/>
  <c r="BL41" i="36"/>
  <c r="BM41" i="36"/>
  <c r="BN41" i="36"/>
  <c r="BO41" i="36"/>
  <c r="BP41" i="36"/>
  <c r="BQ41" i="36"/>
  <c r="BR41" i="36"/>
  <c r="BS41" i="36"/>
  <c r="BT41" i="36"/>
  <c r="BU41" i="36"/>
  <c r="BV41" i="36"/>
  <c r="BW41" i="36"/>
  <c r="BX41" i="36"/>
  <c r="C42" i="36"/>
  <c r="D42" i="36"/>
  <c r="E42" i="36"/>
  <c r="F42" i="36"/>
  <c r="G42" i="36"/>
  <c r="H42" i="36"/>
  <c r="I42" i="36"/>
  <c r="J42" i="36"/>
  <c r="K42" i="36"/>
  <c r="L42" i="36"/>
  <c r="M42" i="36"/>
  <c r="N42" i="36"/>
  <c r="O42" i="36"/>
  <c r="P42" i="36"/>
  <c r="Q42" i="36"/>
  <c r="R42" i="36"/>
  <c r="S42" i="36"/>
  <c r="T42" i="36"/>
  <c r="U42" i="36"/>
  <c r="V42" i="36"/>
  <c r="W42" i="36"/>
  <c r="X42" i="36"/>
  <c r="Y42" i="36"/>
  <c r="Z42" i="36"/>
  <c r="AA42" i="36"/>
  <c r="AB42" i="36"/>
  <c r="AC42" i="36"/>
  <c r="AD42" i="36"/>
  <c r="AE42" i="36"/>
  <c r="AF42" i="36"/>
  <c r="AG42" i="36"/>
  <c r="AH42" i="36"/>
  <c r="AI42" i="36"/>
  <c r="AJ42" i="36"/>
  <c r="AK42" i="36"/>
  <c r="AL42" i="36"/>
  <c r="AM42" i="36"/>
  <c r="AN42" i="36"/>
  <c r="AO42" i="36"/>
  <c r="AP42" i="36"/>
  <c r="AQ42" i="36"/>
  <c r="AR42" i="36"/>
  <c r="AS42" i="36"/>
  <c r="AT42" i="36"/>
  <c r="AU42" i="36"/>
  <c r="AV42" i="36"/>
  <c r="AW42" i="36"/>
  <c r="AX42" i="36"/>
  <c r="AY42" i="36"/>
  <c r="AZ42" i="36"/>
  <c r="BA42" i="36"/>
  <c r="BB42" i="36"/>
  <c r="BC42" i="36"/>
  <c r="BD42" i="36"/>
  <c r="BE42" i="36"/>
  <c r="BF42" i="36"/>
  <c r="BG42" i="36"/>
  <c r="BH42" i="36"/>
  <c r="BI42" i="36"/>
  <c r="BJ42" i="36"/>
  <c r="BK42" i="36"/>
  <c r="BL42" i="36"/>
  <c r="BM42" i="36"/>
  <c r="BN42" i="36"/>
  <c r="BO42" i="36"/>
  <c r="BP42" i="36"/>
  <c r="BQ42" i="36"/>
  <c r="BR42" i="36"/>
  <c r="BS42" i="36"/>
  <c r="BT42" i="36"/>
  <c r="BU42" i="36"/>
  <c r="BV42" i="36"/>
  <c r="BW42" i="36"/>
  <c r="BX42" i="36"/>
  <c r="C43" i="36"/>
  <c r="D43" i="36"/>
  <c r="E43" i="36"/>
  <c r="F43" i="36"/>
  <c r="G43" i="36"/>
  <c r="H43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U43" i="36"/>
  <c r="V43" i="36"/>
  <c r="W43" i="36"/>
  <c r="X43" i="36"/>
  <c r="Y43" i="36"/>
  <c r="Z43" i="36"/>
  <c r="AA43" i="36"/>
  <c r="AB43" i="36"/>
  <c r="AC43" i="36"/>
  <c r="AD43" i="36"/>
  <c r="AE43" i="36"/>
  <c r="AF43" i="36"/>
  <c r="AG43" i="36"/>
  <c r="AH43" i="36"/>
  <c r="AI43" i="36"/>
  <c r="AJ43" i="36"/>
  <c r="AK43" i="36"/>
  <c r="AL43" i="36"/>
  <c r="AM43" i="36"/>
  <c r="AN43" i="36"/>
  <c r="AO43" i="36"/>
  <c r="AP43" i="36"/>
  <c r="AQ43" i="36"/>
  <c r="AR43" i="36"/>
  <c r="AS43" i="36"/>
  <c r="AT43" i="36"/>
  <c r="AU43" i="36"/>
  <c r="AV43" i="36"/>
  <c r="AW43" i="36"/>
  <c r="AX43" i="36"/>
  <c r="AY43" i="36"/>
  <c r="AZ43" i="36"/>
  <c r="BA43" i="36"/>
  <c r="BB43" i="36"/>
  <c r="BC43" i="36"/>
  <c r="BD43" i="36"/>
  <c r="BE43" i="36"/>
  <c r="BF43" i="36"/>
  <c r="BG43" i="36"/>
  <c r="BH43" i="36"/>
  <c r="BI43" i="36"/>
  <c r="BJ43" i="36"/>
  <c r="BK43" i="36"/>
  <c r="BL43" i="36"/>
  <c r="BM43" i="36"/>
  <c r="BN43" i="36"/>
  <c r="BO43" i="36"/>
  <c r="BP43" i="36"/>
  <c r="BQ43" i="36"/>
  <c r="BR43" i="36"/>
  <c r="BS43" i="36"/>
  <c r="BT43" i="36"/>
  <c r="BU43" i="36"/>
  <c r="BV43" i="36"/>
  <c r="BW43" i="36"/>
  <c r="BX43" i="36"/>
  <c r="C44" i="36"/>
  <c r="D44" i="36"/>
  <c r="E44" i="36"/>
  <c r="F44" i="36"/>
  <c r="G44" i="36"/>
  <c r="H44" i="36"/>
  <c r="I44" i="36"/>
  <c r="J44" i="36"/>
  <c r="K44" i="36"/>
  <c r="L44" i="36"/>
  <c r="M44" i="36"/>
  <c r="N44" i="36"/>
  <c r="O44" i="36"/>
  <c r="P44" i="36"/>
  <c r="Q44" i="36"/>
  <c r="R44" i="36"/>
  <c r="S44" i="36"/>
  <c r="T44" i="36"/>
  <c r="U44" i="36"/>
  <c r="V44" i="36"/>
  <c r="W44" i="36"/>
  <c r="X44" i="36"/>
  <c r="Y44" i="36"/>
  <c r="Z44" i="36"/>
  <c r="AA44" i="36"/>
  <c r="AB44" i="36"/>
  <c r="AC44" i="36"/>
  <c r="AD44" i="36"/>
  <c r="AE44" i="36"/>
  <c r="AF44" i="36"/>
  <c r="AG44" i="36"/>
  <c r="AH44" i="36"/>
  <c r="AI44" i="36"/>
  <c r="AJ44" i="36"/>
  <c r="AK44" i="36"/>
  <c r="AL44" i="36"/>
  <c r="AM44" i="36"/>
  <c r="AN44" i="36"/>
  <c r="AO44" i="36"/>
  <c r="AP44" i="36"/>
  <c r="AQ44" i="36"/>
  <c r="AR44" i="36"/>
  <c r="AS44" i="36"/>
  <c r="AT44" i="36"/>
  <c r="AU44" i="36"/>
  <c r="AV44" i="36"/>
  <c r="AW44" i="36"/>
  <c r="AX44" i="36"/>
  <c r="AY44" i="36"/>
  <c r="AZ44" i="36"/>
  <c r="BA44" i="36"/>
  <c r="BB44" i="36"/>
  <c r="BC44" i="36"/>
  <c r="BD44" i="36"/>
  <c r="BE44" i="36"/>
  <c r="BF44" i="36"/>
  <c r="BG44" i="36"/>
  <c r="BH44" i="36"/>
  <c r="BI44" i="36"/>
  <c r="BJ44" i="36"/>
  <c r="BK44" i="36"/>
  <c r="BL44" i="36"/>
  <c r="BM44" i="36"/>
  <c r="BN44" i="36"/>
  <c r="BO44" i="36"/>
  <c r="BP44" i="36"/>
  <c r="BQ44" i="36"/>
  <c r="BR44" i="36"/>
  <c r="BS44" i="36"/>
  <c r="BT44" i="36"/>
  <c r="BU44" i="36"/>
  <c r="BV44" i="36"/>
  <c r="BW44" i="36"/>
  <c r="BX44" i="36"/>
  <c r="C45" i="36"/>
  <c r="D45" i="36"/>
  <c r="E45" i="36"/>
  <c r="F45" i="36"/>
  <c r="G45" i="36"/>
  <c r="H45" i="36"/>
  <c r="I45" i="36"/>
  <c r="J45" i="36"/>
  <c r="K45" i="36"/>
  <c r="L45" i="36"/>
  <c r="M45" i="36"/>
  <c r="N45" i="36"/>
  <c r="O45" i="36"/>
  <c r="P45" i="36"/>
  <c r="Q45" i="36"/>
  <c r="R45" i="36"/>
  <c r="S45" i="36"/>
  <c r="T45" i="36"/>
  <c r="U45" i="36"/>
  <c r="V45" i="36"/>
  <c r="W45" i="36"/>
  <c r="X45" i="36"/>
  <c r="Y45" i="36"/>
  <c r="Z45" i="36"/>
  <c r="AA45" i="36"/>
  <c r="AB45" i="36"/>
  <c r="AC45" i="36"/>
  <c r="AD45" i="36"/>
  <c r="AE45" i="36"/>
  <c r="AF45" i="36"/>
  <c r="AG45" i="36"/>
  <c r="AH45" i="36"/>
  <c r="AI45" i="36"/>
  <c r="AJ45" i="36"/>
  <c r="AK45" i="36"/>
  <c r="AL45" i="36"/>
  <c r="AM45" i="36"/>
  <c r="AN45" i="36"/>
  <c r="AO45" i="36"/>
  <c r="AP45" i="36"/>
  <c r="AQ45" i="36"/>
  <c r="AR45" i="36"/>
  <c r="AS45" i="36"/>
  <c r="AT45" i="36"/>
  <c r="AU45" i="36"/>
  <c r="AV45" i="36"/>
  <c r="AW45" i="36"/>
  <c r="AX45" i="36"/>
  <c r="AY45" i="36"/>
  <c r="AZ45" i="36"/>
  <c r="BA45" i="36"/>
  <c r="BB45" i="36"/>
  <c r="BC45" i="36"/>
  <c r="BD45" i="36"/>
  <c r="BE45" i="36"/>
  <c r="BF45" i="36"/>
  <c r="BG45" i="36"/>
  <c r="BH45" i="36"/>
  <c r="BI45" i="36"/>
  <c r="BJ45" i="36"/>
  <c r="BK45" i="36"/>
  <c r="BL45" i="36"/>
  <c r="BM45" i="36"/>
  <c r="BN45" i="36"/>
  <c r="BO45" i="36"/>
  <c r="BP45" i="36"/>
  <c r="BQ45" i="36"/>
  <c r="BR45" i="36"/>
  <c r="BS45" i="36"/>
  <c r="BT45" i="36"/>
  <c r="BU45" i="36"/>
  <c r="BV45" i="36"/>
  <c r="BW45" i="36"/>
  <c r="BX45" i="36"/>
  <c r="C46" i="36"/>
  <c r="D46" i="36"/>
  <c r="E46" i="36"/>
  <c r="F46" i="36"/>
  <c r="G46" i="36"/>
  <c r="H46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U46" i="36"/>
  <c r="V46" i="36"/>
  <c r="W46" i="36"/>
  <c r="X46" i="36"/>
  <c r="Y46" i="36"/>
  <c r="Z46" i="36"/>
  <c r="AA46" i="36"/>
  <c r="AB46" i="36"/>
  <c r="AC46" i="36"/>
  <c r="AD46" i="36"/>
  <c r="AE46" i="36"/>
  <c r="AF46" i="36"/>
  <c r="AG46" i="36"/>
  <c r="AH46" i="36"/>
  <c r="AI46" i="36"/>
  <c r="AJ46" i="36"/>
  <c r="AK46" i="36"/>
  <c r="AL46" i="36"/>
  <c r="AM46" i="36"/>
  <c r="AN46" i="36"/>
  <c r="AO46" i="36"/>
  <c r="AP46" i="36"/>
  <c r="AQ46" i="36"/>
  <c r="AR46" i="36"/>
  <c r="AS46" i="36"/>
  <c r="AT46" i="36"/>
  <c r="AU46" i="36"/>
  <c r="AV46" i="36"/>
  <c r="AW46" i="36"/>
  <c r="AX46" i="36"/>
  <c r="AY46" i="36"/>
  <c r="AZ46" i="36"/>
  <c r="BA46" i="36"/>
  <c r="BB46" i="36"/>
  <c r="BC46" i="36"/>
  <c r="BD46" i="36"/>
  <c r="BE46" i="36"/>
  <c r="BF46" i="36"/>
  <c r="BG46" i="36"/>
  <c r="BH46" i="36"/>
  <c r="BI46" i="36"/>
  <c r="BJ46" i="36"/>
  <c r="BK46" i="36"/>
  <c r="BL46" i="36"/>
  <c r="BM46" i="36"/>
  <c r="BN46" i="36"/>
  <c r="BO46" i="36"/>
  <c r="BP46" i="36"/>
  <c r="BQ46" i="36"/>
  <c r="BR46" i="36"/>
  <c r="BS46" i="36"/>
  <c r="BT46" i="36"/>
  <c r="BU46" i="36"/>
  <c r="BV46" i="36"/>
  <c r="BW46" i="36"/>
  <c r="BX46" i="36"/>
  <c r="C47" i="36"/>
  <c r="D47" i="36"/>
  <c r="E47" i="36"/>
  <c r="F47" i="36"/>
  <c r="G47" i="36"/>
  <c r="H47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U47" i="36"/>
  <c r="V47" i="36"/>
  <c r="W47" i="36"/>
  <c r="X47" i="36"/>
  <c r="Y47" i="36"/>
  <c r="Z47" i="36"/>
  <c r="AA47" i="36"/>
  <c r="AB47" i="36"/>
  <c r="AC47" i="36"/>
  <c r="AD47" i="36"/>
  <c r="AE47" i="36"/>
  <c r="AF47" i="36"/>
  <c r="AG47" i="36"/>
  <c r="AH47" i="36"/>
  <c r="AI47" i="36"/>
  <c r="AJ47" i="36"/>
  <c r="AK47" i="36"/>
  <c r="AL47" i="36"/>
  <c r="AM47" i="36"/>
  <c r="AN47" i="36"/>
  <c r="AO47" i="36"/>
  <c r="AP47" i="36"/>
  <c r="AQ47" i="36"/>
  <c r="AR47" i="36"/>
  <c r="AS47" i="36"/>
  <c r="AT47" i="36"/>
  <c r="AU47" i="36"/>
  <c r="AV47" i="36"/>
  <c r="AW47" i="36"/>
  <c r="AX47" i="36"/>
  <c r="AY47" i="36"/>
  <c r="AZ47" i="36"/>
  <c r="BA47" i="36"/>
  <c r="BB47" i="36"/>
  <c r="BC47" i="36"/>
  <c r="BD47" i="36"/>
  <c r="BE47" i="36"/>
  <c r="BF47" i="36"/>
  <c r="BG47" i="36"/>
  <c r="BH47" i="36"/>
  <c r="BI47" i="36"/>
  <c r="BJ47" i="36"/>
  <c r="BK47" i="36"/>
  <c r="BL47" i="36"/>
  <c r="BM47" i="36"/>
  <c r="BN47" i="36"/>
  <c r="BO47" i="36"/>
  <c r="BP47" i="36"/>
  <c r="BQ47" i="36"/>
  <c r="BR47" i="36"/>
  <c r="BS47" i="36"/>
  <c r="BT47" i="36"/>
  <c r="BU47" i="36"/>
  <c r="BV47" i="36"/>
  <c r="BW47" i="36"/>
  <c r="BX47" i="36"/>
  <c r="C48" i="36"/>
  <c r="D48" i="36"/>
  <c r="E48" i="36"/>
  <c r="F48" i="36"/>
  <c r="G48" i="36"/>
  <c r="H48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U48" i="36"/>
  <c r="V48" i="36"/>
  <c r="W48" i="36"/>
  <c r="X48" i="36"/>
  <c r="Y48" i="36"/>
  <c r="Z48" i="36"/>
  <c r="AA48" i="36"/>
  <c r="AB48" i="36"/>
  <c r="AC48" i="36"/>
  <c r="AD48" i="36"/>
  <c r="AE48" i="36"/>
  <c r="AF48" i="36"/>
  <c r="AG48" i="36"/>
  <c r="AH48" i="36"/>
  <c r="AI48" i="36"/>
  <c r="AJ48" i="36"/>
  <c r="AK48" i="36"/>
  <c r="AL48" i="36"/>
  <c r="AM48" i="36"/>
  <c r="AN48" i="36"/>
  <c r="AO48" i="36"/>
  <c r="AP48" i="36"/>
  <c r="AQ48" i="36"/>
  <c r="AR48" i="36"/>
  <c r="AS48" i="36"/>
  <c r="AT48" i="36"/>
  <c r="AU48" i="36"/>
  <c r="AV48" i="36"/>
  <c r="AW48" i="36"/>
  <c r="AX48" i="36"/>
  <c r="AY48" i="36"/>
  <c r="AZ48" i="36"/>
  <c r="BA48" i="36"/>
  <c r="BB48" i="36"/>
  <c r="BC48" i="36"/>
  <c r="BD48" i="36"/>
  <c r="BE48" i="36"/>
  <c r="BF48" i="36"/>
  <c r="BG48" i="36"/>
  <c r="BH48" i="36"/>
  <c r="BI48" i="36"/>
  <c r="BJ48" i="36"/>
  <c r="BK48" i="36"/>
  <c r="BL48" i="36"/>
  <c r="BM48" i="36"/>
  <c r="BN48" i="36"/>
  <c r="BO48" i="36"/>
  <c r="BP48" i="36"/>
  <c r="BQ48" i="36"/>
  <c r="BR48" i="36"/>
  <c r="BS48" i="36"/>
  <c r="BT48" i="36"/>
  <c r="BU48" i="36"/>
  <c r="BV48" i="36"/>
  <c r="BW48" i="36"/>
  <c r="BX48" i="36"/>
  <c r="C49" i="36"/>
  <c r="D49" i="36"/>
  <c r="E49" i="36"/>
  <c r="F49" i="36"/>
  <c r="G49" i="36"/>
  <c r="H49" i="36"/>
  <c r="I49" i="36"/>
  <c r="J49" i="36"/>
  <c r="K49" i="36"/>
  <c r="L49" i="36"/>
  <c r="M49" i="36"/>
  <c r="N49" i="36"/>
  <c r="O49" i="36"/>
  <c r="P49" i="36"/>
  <c r="Q49" i="36"/>
  <c r="R49" i="36"/>
  <c r="S49" i="36"/>
  <c r="T49" i="36"/>
  <c r="U49" i="36"/>
  <c r="V49" i="36"/>
  <c r="W49" i="36"/>
  <c r="X49" i="36"/>
  <c r="Y49" i="36"/>
  <c r="Z49" i="36"/>
  <c r="AA49" i="36"/>
  <c r="AB49" i="36"/>
  <c r="AC49" i="36"/>
  <c r="AD49" i="36"/>
  <c r="AE49" i="36"/>
  <c r="AF49" i="36"/>
  <c r="AG49" i="36"/>
  <c r="AH49" i="36"/>
  <c r="AI49" i="36"/>
  <c r="AJ49" i="36"/>
  <c r="AK49" i="36"/>
  <c r="AL49" i="36"/>
  <c r="AM49" i="36"/>
  <c r="AN49" i="36"/>
  <c r="AO49" i="36"/>
  <c r="AP49" i="36"/>
  <c r="AQ49" i="36"/>
  <c r="AR49" i="36"/>
  <c r="AS49" i="36"/>
  <c r="AT49" i="36"/>
  <c r="AU49" i="36"/>
  <c r="AV49" i="36"/>
  <c r="AW49" i="36"/>
  <c r="AX49" i="36"/>
  <c r="AY49" i="36"/>
  <c r="AZ49" i="36"/>
  <c r="BA49" i="36"/>
  <c r="BB49" i="36"/>
  <c r="BC49" i="36"/>
  <c r="BD49" i="36"/>
  <c r="BE49" i="36"/>
  <c r="BF49" i="36"/>
  <c r="BG49" i="36"/>
  <c r="BH49" i="36"/>
  <c r="BI49" i="36"/>
  <c r="BJ49" i="36"/>
  <c r="BK49" i="36"/>
  <c r="BL49" i="36"/>
  <c r="BM49" i="36"/>
  <c r="BN49" i="36"/>
  <c r="BO49" i="36"/>
  <c r="BP49" i="36"/>
  <c r="BQ49" i="36"/>
  <c r="BR49" i="36"/>
  <c r="BS49" i="36"/>
  <c r="BT49" i="36"/>
  <c r="BU49" i="36"/>
  <c r="BV49" i="36"/>
  <c r="BW49" i="36"/>
  <c r="BX49" i="36"/>
  <c r="C50" i="36"/>
  <c r="D50" i="36"/>
  <c r="E50" i="36"/>
  <c r="F50" i="36"/>
  <c r="G50" i="36"/>
  <c r="H50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U50" i="36"/>
  <c r="V50" i="36"/>
  <c r="W50" i="36"/>
  <c r="X50" i="36"/>
  <c r="Y50" i="36"/>
  <c r="Z50" i="36"/>
  <c r="AA50" i="36"/>
  <c r="AB50" i="36"/>
  <c r="AC50" i="36"/>
  <c r="AD50" i="36"/>
  <c r="AE50" i="36"/>
  <c r="AF50" i="36"/>
  <c r="AG50" i="36"/>
  <c r="AH50" i="36"/>
  <c r="AI50" i="36"/>
  <c r="AJ50" i="36"/>
  <c r="AK50" i="36"/>
  <c r="AL50" i="36"/>
  <c r="AM50" i="36"/>
  <c r="AN50" i="36"/>
  <c r="AO50" i="36"/>
  <c r="AP50" i="36"/>
  <c r="AQ50" i="36"/>
  <c r="AR50" i="36"/>
  <c r="AS50" i="36"/>
  <c r="AT50" i="36"/>
  <c r="AU50" i="36"/>
  <c r="AV50" i="36"/>
  <c r="AW50" i="36"/>
  <c r="AX50" i="36"/>
  <c r="AY50" i="36"/>
  <c r="AZ50" i="36"/>
  <c r="BA50" i="36"/>
  <c r="BB50" i="36"/>
  <c r="BC50" i="36"/>
  <c r="BD50" i="36"/>
  <c r="BE50" i="36"/>
  <c r="BF50" i="36"/>
  <c r="BG50" i="36"/>
  <c r="BH50" i="36"/>
  <c r="BI50" i="36"/>
  <c r="BJ50" i="36"/>
  <c r="BK50" i="36"/>
  <c r="BL50" i="36"/>
  <c r="BM50" i="36"/>
  <c r="BN50" i="36"/>
  <c r="BO50" i="36"/>
  <c r="BP50" i="36"/>
  <c r="BQ50" i="36"/>
  <c r="BR50" i="36"/>
  <c r="BS50" i="36"/>
  <c r="BT50" i="36"/>
  <c r="BU50" i="36"/>
  <c r="BV50" i="36"/>
  <c r="BW50" i="36"/>
  <c r="BX50" i="36"/>
  <c r="C51" i="36"/>
  <c r="D51" i="36"/>
  <c r="E51" i="36"/>
  <c r="F51" i="36"/>
  <c r="G51" i="36"/>
  <c r="H51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U51" i="36"/>
  <c r="V51" i="36"/>
  <c r="W51" i="36"/>
  <c r="X51" i="36"/>
  <c r="Y51" i="36"/>
  <c r="Z51" i="36"/>
  <c r="AA51" i="36"/>
  <c r="AB51" i="36"/>
  <c r="AC51" i="36"/>
  <c r="AD51" i="36"/>
  <c r="AE51" i="36"/>
  <c r="AF51" i="36"/>
  <c r="AG51" i="36"/>
  <c r="AH51" i="36"/>
  <c r="AI51" i="36"/>
  <c r="AJ51" i="36"/>
  <c r="AK51" i="36"/>
  <c r="AL51" i="36"/>
  <c r="AM51" i="36"/>
  <c r="AN51" i="36"/>
  <c r="AO51" i="36"/>
  <c r="AP51" i="36"/>
  <c r="AQ51" i="36"/>
  <c r="AR51" i="36"/>
  <c r="AS51" i="36"/>
  <c r="AT51" i="36"/>
  <c r="AU51" i="36"/>
  <c r="AV51" i="36"/>
  <c r="AW51" i="36"/>
  <c r="AX51" i="36"/>
  <c r="AY51" i="36"/>
  <c r="AZ51" i="36"/>
  <c r="BA51" i="36"/>
  <c r="BB51" i="36"/>
  <c r="BC51" i="36"/>
  <c r="BD51" i="36"/>
  <c r="BE51" i="36"/>
  <c r="BF51" i="36"/>
  <c r="BG51" i="36"/>
  <c r="BH51" i="36"/>
  <c r="BI51" i="36"/>
  <c r="BJ51" i="36"/>
  <c r="BK51" i="36"/>
  <c r="BL51" i="36"/>
  <c r="BM51" i="36"/>
  <c r="BN51" i="36"/>
  <c r="BO51" i="36"/>
  <c r="BP51" i="36"/>
  <c r="BQ51" i="36"/>
  <c r="BR51" i="36"/>
  <c r="BS51" i="36"/>
  <c r="BT51" i="36"/>
  <c r="BU51" i="36"/>
  <c r="BV51" i="36"/>
  <c r="BW51" i="36"/>
  <c r="BX51" i="36"/>
  <c r="C52" i="36"/>
  <c r="D52" i="36"/>
  <c r="E52" i="36"/>
  <c r="F52" i="36"/>
  <c r="G52" i="36"/>
  <c r="H52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U52" i="36"/>
  <c r="V52" i="36"/>
  <c r="W52" i="36"/>
  <c r="X52" i="36"/>
  <c r="Y52" i="36"/>
  <c r="Z52" i="36"/>
  <c r="AA52" i="36"/>
  <c r="AB52" i="36"/>
  <c r="AC52" i="36"/>
  <c r="AD52" i="36"/>
  <c r="AE52" i="36"/>
  <c r="AF52" i="36"/>
  <c r="AG52" i="36"/>
  <c r="AH52" i="36"/>
  <c r="AI52" i="36"/>
  <c r="AJ52" i="36"/>
  <c r="AK52" i="36"/>
  <c r="AL52" i="36"/>
  <c r="AM52" i="36"/>
  <c r="AN52" i="36"/>
  <c r="AO52" i="36"/>
  <c r="AP52" i="36"/>
  <c r="AQ52" i="36"/>
  <c r="AR52" i="36"/>
  <c r="AS52" i="36"/>
  <c r="AT52" i="36"/>
  <c r="AU52" i="36"/>
  <c r="AV52" i="36"/>
  <c r="AW52" i="36"/>
  <c r="AX52" i="36"/>
  <c r="AY52" i="36"/>
  <c r="AZ52" i="36"/>
  <c r="BA52" i="36"/>
  <c r="BB52" i="36"/>
  <c r="BC52" i="36"/>
  <c r="BD52" i="36"/>
  <c r="BE52" i="36"/>
  <c r="BF52" i="36"/>
  <c r="BG52" i="36"/>
  <c r="BH52" i="36"/>
  <c r="BI52" i="36"/>
  <c r="BJ52" i="36"/>
  <c r="BK52" i="36"/>
  <c r="BL52" i="36"/>
  <c r="BM52" i="36"/>
  <c r="BN52" i="36"/>
  <c r="BO52" i="36"/>
  <c r="BP52" i="36"/>
  <c r="BQ52" i="36"/>
  <c r="BR52" i="36"/>
  <c r="BS52" i="36"/>
  <c r="BT52" i="36"/>
  <c r="BU52" i="36"/>
  <c r="BV52" i="36"/>
  <c r="BW52" i="36"/>
  <c r="BX52" i="36"/>
  <c r="C53" i="36"/>
  <c r="D53" i="36"/>
  <c r="E53" i="36"/>
  <c r="F53" i="36"/>
  <c r="G53" i="36"/>
  <c r="H53" i="36"/>
  <c r="I53" i="36"/>
  <c r="J53" i="36"/>
  <c r="K53" i="36"/>
  <c r="L53" i="36"/>
  <c r="M53" i="36"/>
  <c r="N53" i="36"/>
  <c r="O53" i="36"/>
  <c r="P53" i="36"/>
  <c r="Q53" i="36"/>
  <c r="R53" i="36"/>
  <c r="S53" i="36"/>
  <c r="T53" i="36"/>
  <c r="U53" i="36"/>
  <c r="V53" i="36"/>
  <c r="W53" i="36"/>
  <c r="X53" i="36"/>
  <c r="Y53" i="36"/>
  <c r="Z53" i="36"/>
  <c r="AA53" i="36"/>
  <c r="AB53" i="36"/>
  <c r="AC53" i="36"/>
  <c r="AD53" i="36"/>
  <c r="AE53" i="36"/>
  <c r="AF53" i="36"/>
  <c r="AG53" i="36"/>
  <c r="AH53" i="36"/>
  <c r="AI53" i="36"/>
  <c r="AJ53" i="36"/>
  <c r="AK53" i="36"/>
  <c r="AL53" i="36"/>
  <c r="AM53" i="36"/>
  <c r="AN53" i="36"/>
  <c r="AO53" i="36"/>
  <c r="AP53" i="36"/>
  <c r="AQ53" i="36"/>
  <c r="AR53" i="36"/>
  <c r="AS53" i="36"/>
  <c r="AT53" i="36"/>
  <c r="AU53" i="36"/>
  <c r="AV53" i="36"/>
  <c r="AW53" i="36"/>
  <c r="AX53" i="36"/>
  <c r="AY53" i="36"/>
  <c r="AZ53" i="36"/>
  <c r="BA53" i="36"/>
  <c r="BB53" i="36"/>
  <c r="BC53" i="36"/>
  <c r="BD53" i="36"/>
  <c r="BE53" i="36"/>
  <c r="BF53" i="36"/>
  <c r="BG53" i="36"/>
  <c r="BH53" i="36"/>
  <c r="BI53" i="36"/>
  <c r="BJ53" i="36"/>
  <c r="BK53" i="36"/>
  <c r="BL53" i="36"/>
  <c r="BM53" i="36"/>
  <c r="BN53" i="36"/>
  <c r="BO53" i="36"/>
  <c r="BP53" i="36"/>
  <c r="BQ53" i="36"/>
  <c r="BR53" i="36"/>
  <c r="BS53" i="36"/>
  <c r="BT53" i="36"/>
  <c r="BU53" i="36"/>
  <c r="BV53" i="36"/>
  <c r="BW53" i="36"/>
  <c r="BX53" i="36"/>
  <c r="C54" i="36"/>
  <c r="D54" i="36"/>
  <c r="E54" i="36"/>
  <c r="F54" i="36"/>
  <c r="G54" i="36"/>
  <c r="H54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U54" i="36"/>
  <c r="V54" i="36"/>
  <c r="W54" i="36"/>
  <c r="X54" i="36"/>
  <c r="Y54" i="36"/>
  <c r="Z54" i="36"/>
  <c r="AA54" i="36"/>
  <c r="AB54" i="36"/>
  <c r="AC54" i="36"/>
  <c r="AD54" i="36"/>
  <c r="AE54" i="36"/>
  <c r="AF54" i="36"/>
  <c r="AG54" i="36"/>
  <c r="AH54" i="36"/>
  <c r="AI54" i="36"/>
  <c r="AJ54" i="36"/>
  <c r="AK54" i="36"/>
  <c r="AL54" i="36"/>
  <c r="AM54" i="36"/>
  <c r="AN54" i="36"/>
  <c r="AO54" i="36"/>
  <c r="AP54" i="36"/>
  <c r="AQ54" i="36"/>
  <c r="AR54" i="36"/>
  <c r="AS54" i="36"/>
  <c r="AT54" i="36"/>
  <c r="AU54" i="36"/>
  <c r="AV54" i="36"/>
  <c r="AW54" i="36"/>
  <c r="AX54" i="36"/>
  <c r="AY54" i="36"/>
  <c r="AZ54" i="36"/>
  <c r="BA54" i="36"/>
  <c r="BB54" i="36"/>
  <c r="BC54" i="36"/>
  <c r="BD54" i="36"/>
  <c r="BE54" i="36"/>
  <c r="BF54" i="36"/>
  <c r="BG54" i="36"/>
  <c r="BH54" i="36"/>
  <c r="BI54" i="36"/>
  <c r="BJ54" i="36"/>
  <c r="BK54" i="36"/>
  <c r="BL54" i="36"/>
  <c r="BM54" i="36"/>
  <c r="BN54" i="36"/>
  <c r="BO54" i="36"/>
  <c r="BP54" i="36"/>
  <c r="BQ54" i="36"/>
  <c r="BR54" i="36"/>
  <c r="BS54" i="36"/>
  <c r="BT54" i="36"/>
  <c r="BU54" i="36"/>
  <c r="BV54" i="36"/>
  <c r="BW54" i="36"/>
  <c r="BX54" i="36"/>
  <c r="C55" i="36"/>
  <c r="D55" i="36"/>
  <c r="E55" i="36"/>
  <c r="F55" i="36"/>
  <c r="G55" i="36"/>
  <c r="H55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U55" i="36"/>
  <c r="V55" i="36"/>
  <c r="W55" i="36"/>
  <c r="X55" i="36"/>
  <c r="Y55" i="36"/>
  <c r="Z55" i="36"/>
  <c r="AA55" i="36"/>
  <c r="AB55" i="36"/>
  <c r="AC55" i="36"/>
  <c r="AD55" i="36"/>
  <c r="AE55" i="36"/>
  <c r="AF55" i="36"/>
  <c r="AG55" i="36"/>
  <c r="AH55" i="36"/>
  <c r="AI55" i="36"/>
  <c r="AJ55" i="36"/>
  <c r="AK55" i="36"/>
  <c r="AL55" i="36"/>
  <c r="AM55" i="36"/>
  <c r="AN55" i="36"/>
  <c r="AO55" i="36"/>
  <c r="AP55" i="36"/>
  <c r="AQ55" i="36"/>
  <c r="AR55" i="36"/>
  <c r="AS55" i="36"/>
  <c r="AT55" i="36"/>
  <c r="AU55" i="36"/>
  <c r="AV55" i="36"/>
  <c r="AW55" i="36"/>
  <c r="AX55" i="36"/>
  <c r="AY55" i="36"/>
  <c r="AZ55" i="36"/>
  <c r="BA55" i="36"/>
  <c r="BB55" i="36"/>
  <c r="BC55" i="36"/>
  <c r="BD55" i="36"/>
  <c r="BE55" i="36"/>
  <c r="BF55" i="36"/>
  <c r="BG55" i="36"/>
  <c r="BH55" i="36"/>
  <c r="BI55" i="36"/>
  <c r="BJ55" i="36"/>
  <c r="BK55" i="36"/>
  <c r="BL55" i="36"/>
  <c r="BM55" i="36"/>
  <c r="BN55" i="36"/>
  <c r="BO55" i="36"/>
  <c r="BP55" i="36"/>
  <c r="BQ55" i="36"/>
  <c r="BR55" i="36"/>
  <c r="BS55" i="36"/>
  <c r="BT55" i="36"/>
  <c r="BU55" i="36"/>
  <c r="BV55" i="36"/>
  <c r="BW55" i="36"/>
  <c r="BX55" i="36"/>
  <c r="C56" i="36"/>
  <c r="D56" i="36"/>
  <c r="E56" i="36"/>
  <c r="F56" i="36"/>
  <c r="G56" i="36"/>
  <c r="H56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U56" i="36"/>
  <c r="V56" i="36"/>
  <c r="W56" i="36"/>
  <c r="X56" i="36"/>
  <c r="Y56" i="36"/>
  <c r="Z56" i="36"/>
  <c r="AA56" i="36"/>
  <c r="AB56" i="36"/>
  <c r="AC56" i="36"/>
  <c r="AD56" i="36"/>
  <c r="AE56" i="36"/>
  <c r="AF56" i="36"/>
  <c r="AG56" i="36"/>
  <c r="AH56" i="36"/>
  <c r="AI56" i="36"/>
  <c r="AJ56" i="36"/>
  <c r="AK56" i="36"/>
  <c r="AL56" i="36"/>
  <c r="AM56" i="36"/>
  <c r="AN56" i="36"/>
  <c r="AO56" i="36"/>
  <c r="AP56" i="36"/>
  <c r="AQ56" i="36"/>
  <c r="AR56" i="36"/>
  <c r="AS56" i="36"/>
  <c r="AT56" i="36"/>
  <c r="AU56" i="36"/>
  <c r="AV56" i="36"/>
  <c r="AW56" i="36"/>
  <c r="AX56" i="36"/>
  <c r="AY56" i="36"/>
  <c r="AZ56" i="36"/>
  <c r="BA56" i="36"/>
  <c r="BB56" i="36"/>
  <c r="BC56" i="36"/>
  <c r="BD56" i="36"/>
  <c r="BE56" i="36"/>
  <c r="BF56" i="36"/>
  <c r="BG56" i="36"/>
  <c r="BH56" i="36"/>
  <c r="BI56" i="36"/>
  <c r="BJ56" i="36"/>
  <c r="BK56" i="36"/>
  <c r="BL56" i="36"/>
  <c r="BM56" i="36"/>
  <c r="BN56" i="36"/>
  <c r="BO56" i="36"/>
  <c r="BP56" i="36"/>
  <c r="BQ56" i="36"/>
  <c r="BR56" i="36"/>
  <c r="BS56" i="36"/>
  <c r="BT56" i="36"/>
  <c r="BU56" i="36"/>
  <c r="BV56" i="36"/>
  <c r="BW56" i="36"/>
  <c r="BX56" i="36"/>
  <c r="BZ2" i="35"/>
  <c r="CA2" i="35" s="1"/>
  <c r="EO114" i="20"/>
  <c r="EO113" i="20"/>
  <c r="EH109" i="20" l="1"/>
  <c r="AL108" i="27" l="1"/>
  <c r="AL109" i="27"/>
  <c r="AL110" i="27"/>
  <c r="AL111" i="27"/>
  <c r="C110" i="27"/>
  <c r="D110" i="27"/>
  <c r="G110" i="27"/>
  <c r="H110" i="27" s="1"/>
  <c r="R110" i="27"/>
  <c r="S110" i="27"/>
  <c r="T110" i="27"/>
  <c r="U110" i="27" s="1"/>
  <c r="AD110" i="27"/>
  <c r="AE110" i="27"/>
  <c r="AF110" i="27"/>
  <c r="AG110" i="27"/>
  <c r="V110" i="27" l="1"/>
  <c r="AJ110" i="27" s="1"/>
  <c r="C106" i="27"/>
  <c r="D106" i="27"/>
  <c r="G106" i="27"/>
  <c r="H106" i="27" s="1"/>
  <c r="R106" i="27"/>
  <c r="T106" i="27" s="1"/>
  <c r="U106" i="27" s="1"/>
  <c r="AL106" i="27" s="1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I112" i="27"/>
  <c r="J112" i="27"/>
  <c r="R112" i="27"/>
  <c r="T112" i="27" s="1"/>
  <c r="S112" i="27"/>
  <c r="AD112" i="27"/>
  <c r="AE112" i="27"/>
  <c r="AF112" i="27"/>
  <c r="AG112" i="27"/>
  <c r="C113" i="27"/>
  <c r="D113" i="27"/>
  <c r="G113" i="27"/>
  <c r="H113" i="27" s="1"/>
  <c r="I113" i="27"/>
  <c r="J113" i="27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I114" i="27"/>
  <c r="J114" i="27"/>
  <c r="R114" i="27"/>
  <c r="T114" i="27" s="1"/>
  <c r="S114" i="27"/>
  <c r="AD114" i="27"/>
  <c r="AE114" i="27"/>
  <c r="AF114" i="27"/>
  <c r="AG114" i="27"/>
  <c r="C115" i="27"/>
  <c r="D115" i="27"/>
  <c r="G115" i="27"/>
  <c r="H115" i="27" s="1"/>
  <c r="I115" i="27"/>
  <c r="J115" i="27"/>
  <c r="R115" i="27"/>
  <c r="T115" i="27" s="1"/>
  <c r="S115" i="27"/>
  <c r="AD115" i="27"/>
  <c r="AE115" i="27"/>
  <c r="AF115" i="27"/>
  <c r="AG115" i="27"/>
  <c r="C116" i="27"/>
  <c r="D116" i="27"/>
  <c r="G116" i="27"/>
  <c r="H116" i="27" s="1"/>
  <c r="I116" i="27"/>
  <c r="J116" i="27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I117" i="27"/>
  <c r="J117" i="27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I118" i="27"/>
  <c r="J118" i="27"/>
  <c r="R118" i="27"/>
  <c r="T118" i="27" s="1"/>
  <c r="S118" i="27"/>
  <c r="AD118" i="27"/>
  <c r="AE118" i="27"/>
  <c r="AF118" i="27"/>
  <c r="AG118" i="27"/>
  <c r="C119" i="27"/>
  <c r="D119" i="27"/>
  <c r="G119" i="27"/>
  <c r="H119" i="27" s="1"/>
  <c r="I119" i="27"/>
  <c r="J119" i="27"/>
  <c r="R119" i="27"/>
  <c r="T119" i="27" s="1"/>
  <c r="V119" i="27" s="1"/>
  <c r="AJ119" i="27" s="1"/>
  <c r="S119" i="27"/>
  <c r="AD119" i="27"/>
  <c r="AE119" i="27"/>
  <c r="AF119" i="27"/>
  <c r="AG119" i="27"/>
  <c r="K113" i="27" l="1"/>
  <c r="V106" i="27"/>
  <c r="AJ106" i="27" s="1"/>
  <c r="U107" i="27"/>
  <c r="AL107" i="27" s="1"/>
  <c r="V107" i="27"/>
  <c r="AJ107" i="27" s="1"/>
  <c r="K115" i="27"/>
  <c r="U108" i="27"/>
  <c r="V108" i="27"/>
  <c r="AJ108" i="27" s="1"/>
  <c r="U109" i="27"/>
  <c r="V109" i="27"/>
  <c r="AJ109" i="27" s="1"/>
  <c r="K114" i="27"/>
  <c r="U111" i="27"/>
  <c r="V111" i="27"/>
  <c r="AJ111" i="27" s="1"/>
  <c r="K118" i="27"/>
  <c r="K112" i="27"/>
  <c r="U112" i="27"/>
  <c r="AL112" i="27" s="1"/>
  <c r="V112" i="27"/>
  <c r="AJ112" i="27" s="1"/>
  <c r="U113" i="27"/>
  <c r="AL113" i="27" s="1"/>
  <c r="V113" i="27"/>
  <c r="AJ113" i="27" s="1"/>
  <c r="U114" i="27"/>
  <c r="AL114" i="27" s="1"/>
  <c r="V114" i="27"/>
  <c r="AJ114" i="27" s="1"/>
  <c r="U115" i="27"/>
  <c r="AL115" i="27" s="1"/>
  <c r="V115" i="27"/>
  <c r="AJ115" i="27" s="1"/>
  <c r="K116" i="27"/>
  <c r="U116" i="27"/>
  <c r="AL116" i="27" s="1"/>
  <c r="V116" i="27"/>
  <c r="AJ116" i="27" s="1"/>
  <c r="K117" i="27"/>
  <c r="K119" i="27"/>
  <c r="V117" i="27"/>
  <c r="AJ117" i="27" s="1"/>
  <c r="V118" i="27"/>
  <c r="AJ118" i="27" s="1"/>
  <c r="U118" i="27"/>
  <c r="AL118" i="27" s="1"/>
  <c r="U119" i="27"/>
  <c r="AL119" i="27" s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AF120" i="27"/>
  <c r="D98" i="27"/>
  <c r="C98" i="27"/>
  <c r="V101" i="27" l="1"/>
  <c r="AJ101" i="27" s="1"/>
  <c r="V100" i="27"/>
  <c r="AJ100" i="27" s="1"/>
  <c r="U100" i="27"/>
  <c r="AL100" i="27" s="1"/>
  <c r="V94" i="27"/>
  <c r="AJ94" i="27" s="1"/>
  <c r="U94" i="27"/>
  <c r="AL94" i="27" s="1"/>
  <c r="U95" i="27"/>
  <c r="AL95" i="27" s="1"/>
  <c r="V95" i="27"/>
  <c r="AJ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EX115" i="20"/>
  <c r="FA115" i="20" s="1"/>
  <c r="EX116" i="20"/>
  <c r="EX117" i="20"/>
  <c r="EX118" i="20"/>
  <c r="EX119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R119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J117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K111" i="20"/>
  <c r="EK112" i="20"/>
  <c r="EK113" i="20"/>
  <c r="EK114" i="20"/>
  <c r="EK115" i="20"/>
  <c r="EK116" i="20"/>
  <c r="EK117" i="20"/>
  <c r="EK118" i="20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M119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19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19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7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EY136" i="20"/>
  <c r="FC136" i="20"/>
  <c r="FG136" i="20"/>
  <c r="ES126" i="20"/>
  <c r="ES127" i="20"/>
  <c r="ES128" i="20"/>
  <c r="ES129" i="20"/>
  <c r="ES130" i="20"/>
  <c r="ES131" i="20"/>
  <c r="ES132" i="20"/>
  <c r="ES133" i="20"/>
  <c r="ES134" i="20"/>
  <c r="ES135" i="20"/>
  <c r="ET121" i="20"/>
  <c r="ET122" i="20"/>
  <c r="ET123" i="20"/>
  <c r="EY123" i="20" s="1"/>
  <c r="ET124" i="20"/>
  <c r="ET125" i="20"/>
  <c r="ET126" i="20"/>
  <c r="ET127" i="20"/>
  <c r="ET128" i="20"/>
  <c r="EY128" i="20" s="1"/>
  <c r="ET129" i="20"/>
  <c r="ET130" i="20"/>
  <c r="EZ130" i="20" s="1"/>
  <c r="ET131" i="20"/>
  <c r="ET132" i="20"/>
  <c r="ET133" i="20"/>
  <c r="ET134" i="20"/>
  <c r="ET135" i="20"/>
  <c r="EY135" i="20" s="1"/>
  <c r="EU123" i="20"/>
  <c r="EU124" i="20"/>
  <c r="EU125" i="20"/>
  <c r="EU126" i="20"/>
  <c r="EU127" i="20"/>
  <c r="EU128" i="20"/>
  <c r="EU129" i="20"/>
  <c r="EU130" i="20"/>
  <c r="EU131" i="20"/>
  <c r="EU132" i="20"/>
  <c r="EU133" i="20"/>
  <c r="EU134" i="20"/>
  <c r="EU135" i="20"/>
  <c r="EV121" i="20"/>
  <c r="EV122" i="20"/>
  <c r="EV123" i="20"/>
  <c r="EV124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EW121" i="20"/>
  <c r="FA121" i="20" s="1"/>
  <c r="EW122" i="20"/>
  <c r="FA122" i="20" s="1"/>
  <c r="EW123" i="20"/>
  <c r="FA123" i="20" s="1"/>
  <c r="EW124" i="20"/>
  <c r="FA124" i="20" s="1"/>
  <c r="EW125" i="20"/>
  <c r="EW126" i="20"/>
  <c r="EW127" i="20"/>
  <c r="FA127" i="20" s="1"/>
  <c r="EW128" i="20"/>
  <c r="EW129" i="20"/>
  <c r="FA129" i="20" s="1"/>
  <c r="EW130" i="20"/>
  <c r="EW131" i="20"/>
  <c r="EW132" i="20"/>
  <c r="EW133" i="20"/>
  <c r="EW134" i="20"/>
  <c r="EW135" i="20"/>
  <c r="EX127" i="20"/>
  <c r="EX128" i="20"/>
  <c r="EX129" i="20"/>
  <c r="EX130" i="20"/>
  <c r="FA130" i="20" s="1"/>
  <c r="EX131" i="20"/>
  <c r="EX132" i="20"/>
  <c r="FA132" i="20" s="1"/>
  <c r="EX133" i="20"/>
  <c r="EX134" i="20"/>
  <c r="EX135" i="20"/>
  <c r="FA135" i="20" s="1"/>
  <c r="EZ132" i="20"/>
  <c r="FA12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EV120" i="20"/>
  <c r="FA109" i="20"/>
  <c r="FA110" i="20"/>
  <c r="FA111" i="20"/>
  <c r="FA113" i="20"/>
  <c r="FA114" i="20"/>
  <c r="EW120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19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V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FA120" i="20" l="1"/>
  <c r="FA131" i="20"/>
  <c r="EY127" i="20"/>
  <c r="FA128" i="20"/>
  <c r="FA119" i="20"/>
  <c r="EZ120" i="20"/>
  <c r="EY119" i="20"/>
  <c r="EY107" i="20"/>
  <c r="EZ114" i="20"/>
  <c r="EY134" i="20"/>
  <c r="EZ127" i="20"/>
  <c r="EZ136" i="20"/>
  <c r="EY112" i="20"/>
  <c r="FA134" i="20"/>
  <c r="EZ119" i="20"/>
  <c r="EZ107" i="20"/>
  <c r="FA133" i="20"/>
  <c r="EZ129" i="20"/>
  <c r="EY131" i="20"/>
  <c r="FA136" i="20"/>
  <c r="EY115" i="20"/>
  <c r="EZ128" i="20"/>
  <c r="EY114" i="20"/>
  <c r="EY113" i="20"/>
  <c r="EY130" i="20"/>
  <c r="FB130" i="20" s="1"/>
  <c r="EY129" i="20"/>
  <c r="FA126" i="20"/>
  <c r="EY122" i="20"/>
  <c r="FA116" i="20"/>
  <c r="EY133" i="20"/>
  <c r="EY121" i="20"/>
  <c r="EY124" i="20"/>
  <c r="EY132" i="20"/>
  <c r="EZ131" i="20"/>
  <c r="EY105" i="20"/>
  <c r="K56" i="27"/>
  <c r="K58" i="27"/>
  <c r="DP107" i="20"/>
  <c r="DP112" i="20"/>
  <c r="DP119" i="20"/>
  <c r="DP117" i="20"/>
  <c r="FB117" i="20" s="1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FB134" i="20" s="1"/>
  <c r="DP127" i="20"/>
  <c r="FB127" i="20" s="1"/>
  <c r="DP124" i="20"/>
  <c r="FB124" i="20" s="1"/>
  <c r="DP120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FB132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Y120" i="20"/>
  <c r="EZ105" i="20"/>
  <c r="EZ116" i="20"/>
  <c r="V58" i="27"/>
  <c r="AJ58" i="27" s="1"/>
  <c r="U56" i="27"/>
  <c r="AL56" i="27" s="1"/>
  <c r="V56" i="27"/>
  <c r="AJ56" i="27" s="1"/>
  <c r="K54" i="27"/>
  <c r="U54" i="27"/>
  <c r="AL54" i="27" s="1"/>
  <c r="V54" i="27"/>
  <c r="AJ54" i="27" s="1"/>
  <c r="K52" i="27"/>
  <c r="V52" i="27"/>
  <c r="AJ52" i="27" s="1"/>
  <c r="U52" i="27"/>
  <c r="AL52" i="27" s="1"/>
  <c r="V49" i="27"/>
  <c r="AJ49" i="27" s="1"/>
  <c r="V46" i="27"/>
  <c r="AJ46" i="27" s="1"/>
  <c r="AJ39" i="27"/>
  <c r="U39" i="27"/>
  <c r="AL39" i="27" s="1"/>
  <c r="V37" i="27"/>
  <c r="AJ37" i="27" s="1"/>
  <c r="U37" i="27"/>
  <c r="AL37" i="27" s="1"/>
  <c r="U34" i="27"/>
  <c r="AL34" i="27" s="1"/>
  <c r="V34" i="27"/>
  <c r="AJ34" i="27" s="1"/>
  <c r="FB119" i="20" l="1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V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V102" i="27" l="1"/>
  <c r="AJ102" i="27" s="1"/>
  <c r="U102" i="27"/>
  <c r="AL102" i="27" s="1"/>
  <c r="V98" i="27"/>
  <c r="AJ98" i="27" s="1"/>
  <c r="U98" i="27"/>
  <c r="AL98" i="27" s="1"/>
  <c r="U103" i="27"/>
  <c r="AL103" i="27" s="1"/>
  <c r="V103" i="27"/>
  <c r="AJ103" i="27" s="1"/>
  <c r="U104" i="27"/>
  <c r="AL104" i="27" s="1"/>
  <c r="V104" i="27"/>
  <c r="AJ104" i="27" s="1"/>
  <c r="V97" i="27"/>
  <c r="AJ97" i="27" s="1"/>
  <c r="U97" i="27"/>
  <c r="AL97" i="27" s="1"/>
  <c r="V99" i="27"/>
  <c r="AJ99" i="27" s="1"/>
  <c r="U99" i="27"/>
  <c r="AL99" i="27" s="1"/>
  <c r="T92" i="27"/>
  <c r="U92" i="27" s="1"/>
  <c r="AL92" i="27" s="1"/>
  <c r="V96" i="27"/>
  <c r="AJ96" i="27" s="1"/>
  <c r="U96" i="27"/>
  <c r="AL96" i="27" s="1"/>
  <c r="T93" i="27"/>
  <c r="AJ91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T650" i="22"/>
  <c r="T649" i="22"/>
  <c r="T648" i="22"/>
  <c r="T647" i="22"/>
  <c r="T646" i="22"/>
  <c r="AF10" i="27"/>
  <c r="AF11" i="27"/>
  <c r="AF12" i="27"/>
  <c r="ER99" i="20"/>
  <c r="EX97" i="20"/>
  <c r="EX98" i="20"/>
  <c r="EX99" i="20"/>
  <c r="EX100" i="20"/>
  <c r="EX101" i="20"/>
  <c r="EX102" i="20"/>
  <c r="ER98" i="20"/>
  <c r="BU2" i="35"/>
  <c r="BV2" i="35"/>
  <c r="BW2" i="35"/>
  <c r="BX2" i="35" s="1"/>
  <c r="BY2" i="35" s="1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V92" i="27" l="1"/>
  <c r="AJ92" i="27" s="1"/>
  <c r="V93" i="27"/>
  <c r="AJ93" i="27" s="1"/>
  <c r="U93" i="27"/>
  <c r="AL93" i="27" s="1"/>
  <c r="U88" i="27"/>
  <c r="AL88" i="27" s="1"/>
  <c r="V88" i="27"/>
  <c r="AJ88" i="27" s="1"/>
  <c r="V32" i="27"/>
  <c r="AJ32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V75" i="27" l="1"/>
  <c r="AJ75" i="27" s="1"/>
  <c r="U75" i="27"/>
  <c r="AL75" i="27" s="1"/>
  <c r="V76" i="27"/>
  <c r="AJ76" i="27" s="1"/>
  <c r="U76" i="27"/>
  <c r="AL76" i="27" s="1"/>
  <c r="V74" i="27"/>
  <c r="AJ74" i="27" s="1"/>
  <c r="U74" i="27"/>
  <c r="AL74" i="27" s="1"/>
  <c r="U79" i="27"/>
  <c r="AL79" i="27" s="1"/>
  <c r="V79" i="27"/>
  <c r="AJ79" i="27" s="1"/>
  <c r="V78" i="27"/>
  <c r="AJ78" i="27" s="1"/>
  <c r="U78" i="27"/>
  <c r="AL78" i="27" s="1"/>
  <c r="U82" i="27"/>
  <c r="AL82" i="27" s="1"/>
  <c r="V82" i="27"/>
  <c r="AJ82" i="27" s="1"/>
  <c r="U83" i="27"/>
  <c r="AL83" i="27" s="1"/>
  <c r="V83" i="27"/>
  <c r="AJ83" i="27" s="1"/>
  <c r="V77" i="27"/>
  <c r="AJ77" i="27" s="1"/>
  <c r="U77" i="27"/>
  <c r="AL77" i="27" s="1"/>
  <c r="V80" i="27"/>
  <c r="AJ80" i="27" s="1"/>
  <c r="U80" i="27"/>
  <c r="AL80" i="27" s="1"/>
  <c r="U81" i="27"/>
  <c r="AL81" i="27" s="1"/>
  <c r="V81" i="27"/>
  <c r="AJ81" i="27" s="1"/>
  <c r="U84" i="27"/>
  <c r="AL84" i="27" s="1"/>
  <c r="V84" i="27"/>
  <c r="AJ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V63" i="27" l="1"/>
  <c r="AJ63" i="27" s="1"/>
  <c r="U63" i="27"/>
  <c r="AL63" i="27" s="1"/>
  <c r="U50" i="27"/>
  <c r="AL50" i="27" s="1"/>
  <c r="V50" i="27"/>
  <c r="AJ50" i="27" s="1"/>
  <c r="V62" i="27"/>
  <c r="AJ62" i="27" s="1"/>
  <c r="U62" i="27"/>
  <c r="AL62" i="27" s="1"/>
  <c r="V35" i="27"/>
  <c r="AJ35" i="27" s="1"/>
  <c r="U35" i="27"/>
  <c r="AL35" i="27" s="1"/>
  <c r="V61" i="27"/>
  <c r="AJ61" i="27" s="1"/>
  <c r="U61" i="27"/>
  <c r="AL61" i="27" s="1"/>
  <c r="V21" i="27"/>
  <c r="AJ2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0" i="27"/>
  <c r="D68" i="27" l="1"/>
  <c r="D69" i="27"/>
  <c r="D70" i="27"/>
  <c r="D72" i="27"/>
  <c r="D85" i="27"/>
  <c r="D86" i="27"/>
  <c r="D87" i="27"/>
  <c r="D89" i="27"/>
  <c r="D90" i="27"/>
  <c r="D105" i="27"/>
  <c r="D120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0" i="27"/>
  <c r="H120" i="27" s="1"/>
  <c r="I120" i="27"/>
  <c r="J120" i="27"/>
  <c r="R68" i="27"/>
  <c r="R69" i="27"/>
  <c r="R70" i="27"/>
  <c r="R72" i="27"/>
  <c r="R85" i="27"/>
  <c r="T85" i="27" s="1"/>
  <c r="U85" i="27" s="1"/>
  <c r="R86" i="27"/>
  <c r="T86" i="27" s="1"/>
  <c r="U86" i="27" s="1"/>
  <c r="R87" i="27"/>
  <c r="T87" i="27" s="1"/>
  <c r="R89" i="27"/>
  <c r="T89" i="27" s="1"/>
  <c r="R90" i="27"/>
  <c r="T90" i="27" s="1"/>
  <c r="R105" i="27"/>
  <c r="T105" i="27" s="1"/>
  <c r="R120" i="27"/>
  <c r="T120" i="27" s="1"/>
  <c r="S68" i="27"/>
  <c r="S69" i="27"/>
  <c r="S70" i="27"/>
  <c r="S72" i="27"/>
  <c r="S85" i="27"/>
  <c r="S86" i="27"/>
  <c r="S87" i="27"/>
  <c r="S89" i="27"/>
  <c r="S90" i="27"/>
  <c r="S105" i="27"/>
  <c r="S120" i="27"/>
  <c r="AD68" i="27"/>
  <c r="AD69" i="27"/>
  <c r="AD70" i="27"/>
  <c r="AD72" i="27"/>
  <c r="AD85" i="27"/>
  <c r="AD86" i="27"/>
  <c r="AD87" i="27"/>
  <c r="AD89" i="27"/>
  <c r="AD90" i="27"/>
  <c r="AD105" i="27"/>
  <c r="AD120" i="27"/>
  <c r="AE68" i="27"/>
  <c r="AE69" i="27"/>
  <c r="AE70" i="27"/>
  <c r="AE72" i="27"/>
  <c r="AE85" i="27"/>
  <c r="AE86" i="27"/>
  <c r="AE87" i="27"/>
  <c r="AE89" i="27"/>
  <c r="AE90" i="27"/>
  <c r="AE105" i="27"/>
  <c r="AE120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0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05" i="27" l="1"/>
  <c r="AL105" i="27" s="1"/>
  <c r="V105" i="27"/>
  <c r="AJ105" i="27" s="1"/>
  <c r="U120" i="27"/>
  <c r="AL120" i="27" s="1"/>
  <c r="V120" i="27"/>
  <c r="AJ120" i="27" s="1"/>
  <c r="V90" i="27"/>
  <c r="AJ90" i="27" s="1"/>
  <c r="U90" i="27"/>
  <c r="AL90" i="27" s="1"/>
  <c r="V89" i="27"/>
  <c r="AJ89" i="27" s="1"/>
  <c r="U89" i="27"/>
  <c r="AL89" i="27" s="1"/>
  <c r="V87" i="27"/>
  <c r="AJ87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0" i="27"/>
  <c r="AL86" i="27"/>
  <c r="AL85" i="27"/>
  <c r="T64" i="27"/>
  <c r="AF10" i="22"/>
  <c r="V70" i="27" l="1"/>
  <c r="AJ70" i="27" s="1"/>
  <c r="U70" i="27"/>
  <c r="AL70" i="27" s="1"/>
  <c r="U67" i="27"/>
  <c r="AL67" i="27" s="1"/>
  <c r="V67" i="27"/>
  <c r="AJ67" i="27" s="1"/>
  <c r="U68" i="27"/>
  <c r="AL68" i="27" s="1"/>
  <c r="V68" i="27"/>
  <c r="AJ68" i="27" s="1"/>
  <c r="V64" i="27"/>
  <c r="AJ64" i="27" s="1"/>
  <c r="U64" i="27"/>
  <c r="AL64" i="27" s="1"/>
  <c r="U66" i="27"/>
  <c r="AL66" i="27" s="1"/>
  <c r="V66" i="27"/>
  <c r="AJ66" i="27" s="1"/>
  <c r="V72" i="27"/>
  <c r="AJ72" i="27" s="1"/>
  <c r="U72" i="27"/>
  <c r="AL72" i="27" s="1"/>
  <c r="U69" i="27"/>
  <c r="AL69" i="27" s="1"/>
  <c r="V69" i="27"/>
  <c r="AJ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Z76" i="20" s="1"/>
  <c r="ER76" i="20"/>
  <c r="EN76" i="20"/>
  <c r="EM76" i="20"/>
  <c r="EL76" i="20"/>
  <c r="EK76" i="20"/>
  <c r="EO79" i="20" s="1"/>
  <c r="EJ76" i="20"/>
  <c r="EI76" i="20"/>
  <c r="EZ78" i="20" l="1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V31" i="27" l="1"/>
  <c r="AJ31" i="27" s="1"/>
  <c r="U31" i="27"/>
  <c r="AL31" i="27" s="1"/>
  <c r="U51" i="27"/>
  <c r="AL51" i="27" s="1"/>
  <c r="V51" i="27"/>
  <c r="AJ51" i="27" s="1"/>
  <c r="V48" i="27"/>
  <c r="AJ48" i="27" s="1"/>
  <c r="U48" i="27"/>
  <c r="AL48" i="27" s="1"/>
  <c r="U15" i="27"/>
  <c r="AL15" i="27" s="1"/>
  <c r="V47" i="27"/>
  <c r="AJ47" i="27" s="1"/>
  <c r="U47" i="27"/>
  <c r="AL47" i="27" s="1"/>
  <c r="V59" i="27"/>
  <c r="AJ59" i="27" s="1"/>
  <c r="U59" i="27"/>
  <c r="AL59" i="27" s="1"/>
  <c r="U11" i="27"/>
  <c r="AL11" i="27" s="1"/>
  <c r="V38" i="27"/>
  <c r="AJ38" i="27" s="1"/>
  <c r="U38" i="27"/>
  <c r="AL38" i="27" s="1"/>
  <c r="V45" i="27"/>
  <c r="AJ45" i="27" s="1"/>
  <c r="U45" i="27"/>
  <c r="AL45" i="27" s="1"/>
  <c r="V57" i="27"/>
  <c r="AJ57" i="27" s="1"/>
  <c r="U57" i="27"/>
  <c r="AL57" i="27" s="1"/>
  <c r="U36" i="27"/>
  <c r="AL36" i="27" s="1"/>
  <c r="V36" i="27"/>
  <c r="AJ36" i="27" s="1"/>
  <c r="V55" i="27"/>
  <c r="AJ55" i="27" s="1"/>
  <c r="U55" i="27"/>
  <c r="AL55" i="27" s="1"/>
  <c r="U13" i="27"/>
  <c r="AL13" i="27" s="1"/>
  <c r="U17" i="27"/>
  <c r="AL17" i="27" s="1"/>
  <c r="U33" i="27"/>
  <c r="AL33" i="27" s="1"/>
  <c r="V33" i="27"/>
  <c r="AJ33" i="27" s="1"/>
  <c r="U53" i="27"/>
  <c r="AL53" i="27" s="1"/>
  <c r="V53" i="27"/>
  <c r="AJ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V4" i="27"/>
  <c r="AJ4" i="27" s="1"/>
  <c r="U4" i="27"/>
  <c r="AL4" i="27" s="1"/>
  <c r="V43" i="27"/>
  <c r="AJ43" i="27" s="1"/>
  <c r="U43" i="27"/>
  <c r="AL43" i="27" s="1"/>
  <c r="U23" i="27"/>
  <c r="AL23" i="27" s="1"/>
  <c r="V5" i="27"/>
  <c r="AJ5" i="27" s="1"/>
  <c r="U5" i="27"/>
  <c r="AL5" i="27" s="1"/>
  <c r="V41" i="27"/>
  <c r="AJ41" i="27" s="1"/>
  <c r="U41" i="27"/>
  <c r="AL41" i="27" s="1"/>
  <c r="U29" i="27"/>
  <c r="AL29" i="27" s="1"/>
  <c r="V42" i="27"/>
  <c r="AJ42" i="27" s="1"/>
  <c r="U42" i="27"/>
  <c r="AL42" i="27" s="1"/>
  <c r="V6" i="27"/>
  <c r="AJ6" i="27" s="1"/>
  <c r="U6" i="27"/>
  <c r="AL6" i="27" s="1"/>
  <c r="U8" i="27"/>
  <c r="AL8" i="27" s="1"/>
  <c r="V8" i="27"/>
  <c r="AJ8" i="27" s="1"/>
  <c r="V40" i="27"/>
  <c r="AJ40" i="27" s="1"/>
  <c r="U40" i="27"/>
  <c r="AL40" i="27" s="1"/>
  <c r="V7" i="27"/>
  <c r="AJ7" i="27" s="1"/>
  <c r="U7" i="27"/>
  <c r="AL7" i="27" s="1"/>
  <c r="V44" i="27"/>
  <c r="AJ44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Y93" i="20"/>
  <c r="EZ93" i="20"/>
  <c r="FA71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FB98" i="20" s="1"/>
  <c r="DP86" i="20"/>
  <c r="FB86" i="20" s="1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100" i="20" l="1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P55" i="20" s="1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EZ55" i="20" l="1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FB50" i="20" s="1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2" i="20" l="1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C7" i="29"/>
  <c r="D7" i="29"/>
  <c r="C8" i="29"/>
  <c r="D8" i="29"/>
  <c r="C9" i="29"/>
  <c r="D9" i="29"/>
  <c r="C10" i="29"/>
  <c r="D10" i="29"/>
  <c r="C11" i="29"/>
  <c r="D11" i="29"/>
  <c r="C12" i="29"/>
  <c r="D12" i="29"/>
  <c r="C13" i="29"/>
  <c r="D13" i="29"/>
  <c r="C14" i="29"/>
  <c r="D14" i="29"/>
  <c r="C15" i="29"/>
  <c r="D15" i="29"/>
  <c r="C16" i="29"/>
  <c r="D16" i="29"/>
  <c r="C17" i="29"/>
  <c r="D17" i="29"/>
  <c r="C18" i="29"/>
  <c r="D18" i="29"/>
  <c r="C19" i="29"/>
  <c r="D19" i="29"/>
  <c r="C20" i="29"/>
  <c r="D20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B429" i="32"/>
  <c r="B430" i="32" s="1"/>
  <c r="C429" i="32"/>
  <c r="D429" i="32"/>
  <c r="G429" i="32"/>
  <c r="H429" i="32" s="1"/>
  <c r="BE429" i="32"/>
  <c r="BE430" i="32"/>
  <c r="BE431" i="32"/>
  <c r="BE432" i="32"/>
  <c r="BE433" i="32"/>
  <c r="BE434" i="32"/>
  <c r="BE435" i="32"/>
  <c r="BE436" i="32"/>
  <c r="BE437" i="32"/>
  <c r="BE438" i="32"/>
  <c r="BE439" i="32"/>
  <c r="BE440" i="32"/>
  <c r="BE441" i="32"/>
  <c r="BE442" i="32"/>
  <c r="BE443" i="32"/>
  <c r="BE444" i="32"/>
  <c r="BE445" i="32"/>
  <c r="BE446" i="32"/>
  <c r="BE447" i="32"/>
  <c r="BE448" i="32"/>
  <c r="BE449" i="32"/>
  <c r="BE450" i="32"/>
  <c r="BE451" i="32"/>
  <c r="BE452" i="32"/>
  <c r="BE453" i="32"/>
  <c r="BE454" i="32"/>
  <c r="BE455" i="32"/>
  <c r="BE456" i="32"/>
  <c r="BE457" i="32"/>
  <c r="BE458" i="32"/>
  <c r="BE459" i="32"/>
  <c r="BE460" i="32"/>
  <c r="BE461" i="32"/>
  <c r="BE462" i="32"/>
  <c r="BE463" i="32"/>
  <c r="BE464" i="32"/>
  <c r="BE465" i="32"/>
  <c r="BE466" i="32"/>
  <c r="BE467" i="32"/>
  <c r="BE468" i="32"/>
  <c r="BE469" i="32"/>
  <c r="BE470" i="32"/>
  <c r="BE471" i="32"/>
  <c r="BE472" i="32"/>
  <c r="BE473" i="32"/>
  <c r="BE474" i="32"/>
  <c r="BE475" i="32"/>
  <c r="BE476" i="32"/>
  <c r="BE477" i="32"/>
  <c r="BE478" i="32"/>
  <c r="BE479" i="32"/>
  <c r="BE480" i="32"/>
  <c r="BE481" i="32"/>
  <c r="BE482" i="32"/>
  <c r="BE483" i="32"/>
  <c r="BE484" i="32"/>
  <c r="BE485" i="32"/>
  <c r="BE486" i="32"/>
  <c r="BE487" i="32"/>
  <c r="BE488" i="32"/>
  <c r="BE489" i="32"/>
  <c r="BE490" i="32"/>
  <c r="BE491" i="32"/>
  <c r="BE492" i="32"/>
  <c r="BE493" i="32"/>
  <c r="BE494" i="32"/>
  <c r="BE495" i="32"/>
  <c r="BE496" i="32"/>
  <c r="BE497" i="32"/>
  <c r="BE498" i="32"/>
  <c r="BE499" i="32"/>
  <c r="BE500" i="32"/>
  <c r="BE501" i="32"/>
  <c r="BE502" i="32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P24" i="20" s="1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11" i="20" l="1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FB13" i="20" s="1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B431" i="32"/>
  <c r="C430" i="32"/>
  <c r="D430" i="32"/>
  <c r="G430" i="32"/>
  <c r="H430" i="32" s="1"/>
  <c r="EY9" i="20"/>
  <c r="EZ9" i="20"/>
  <c r="FA9" i="20"/>
  <c r="FB11" i="20" l="1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B432" i="32"/>
  <c r="C431" i="32"/>
  <c r="D431" i="32"/>
  <c r="G431" i="32"/>
  <c r="H431" i="32" s="1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C428" i="32"/>
  <c r="D428" i="32"/>
  <c r="G428" i="32"/>
  <c r="H428" i="32" s="1"/>
  <c r="BE428" i="32"/>
  <c r="B428" i="32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B433" i="32"/>
  <c r="C432" i="32"/>
  <c r="D432" i="32"/>
  <c r="G432" i="32"/>
  <c r="H432" i="32" s="1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B434" i="32"/>
  <c r="C433" i="32"/>
  <c r="D433" i="32"/>
  <c r="G433" i="32"/>
  <c r="H433" i="32" s="1"/>
  <c r="O17" i="40"/>
  <c r="W17" i="40"/>
  <c r="B435" i="32" l="1"/>
  <c r="C434" i="32"/>
  <c r="G434" i="32"/>
  <c r="H434" i="32" s="1"/>
  <c r="D434" i="32"/>
  <c r="O18" i="40"/>
  <c r="W18" i="40"/>
  <c r="G435" i="32" l="1"/>
  <c r="H435" i="32" s="1"/>
  <c r="D435" i="32"/>
  <c r="B436" i="32"/>
  <c r="C435" i="32"/>
  <c r="O19" i="40"/>
  <c r="W19" i="40"/>
  <c r="G436" i="32" l="1"/>
  <c r="H436" i="32" s="1"/>
  <c r="D436" i="32"/>
  <c r="B437" i="32"/>
  <c r="C436" i="32"/>
  <c r="O20" i="40"/>
  <c r="W20" i="40"/>
  <c r="D437" i="32" l="1"/>
  <c r="G437" i="32"/>
  <c r="H437" i="32" s="1"/>
  <c r="B438" i="32"/>
  <c r="C437" i="32"/>
  <c r="O21" i="40"/>
  <c r="W21" i="40"/>
  <c r="D438" i="32" l="1"/>
  <c r="G438" i="32"/>
  <c r="H438" i="32" s="1"/>
  <c r="C438" i="32"/>
  <c r="B439" i="32"/>
  <c r="O22" i="40"/>
  <c r="W22" i="40"/>
  <c r="C439" i="32" l="1"/>
  <c r="D439" i="32"/>
  <c r="G439" i="32"/>
  <c r="H439" i="32" s="1"/>
  <c r="B440" i="32"/>
  <c r="O23" i="40"/>
  <c r="W23" i="40"/>
  <c r="B441" i="32" l="1"/>
  <c r="C440" i="32"/>
  <c r="D440" i="32"/>
  <c r="G440" i="32"/>
  <c r="H440" i="32" s="1"/>
  <c r="O24" i="40"/>
  <c r="W24" i="40"/>
  <c r="B442" i="32" l="1"/>
  <c r="C441" i="32"/>
  <c r="D441" i="32"/>
  <c r="G441" i="32"/>
  <c r="H441" i="32" s="1"/>
  <c r="W25" i="40"/>
  <c r="O25" i="40"/>
  <c r="B443" i="32" l="1"/>
  <c r="C442" i="32"/>
  <c r="D442" i="32"/>
  <c r="G442" i="32"/>
  <c r="H442" i="32" s="1"/>
  <c r="C24" i="9"/>
  <c r="C25" i="9"/>
  <c r="C23" i="9"/>
  <c r="C21" i="9"/>
  <c r="C22" i="9"/>
  <c r="C20" i="9"/>
  <c r="C1" i="8"/>
  <c r="K4" i="8" l="1"/>
  <c r="M4" i="8"/>
  <c r="B444" i="32"/>
  <c r="C443" i="32"/>
  <c r="D443" i="32"/>
  <c r="G443" i="32"/>
  <c r="H443" i="32" s="1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B445" i="32" l="1"/>
  <c r="C444" i="32"/>
  <c r="D444" i="32"/>
  <c r="G444" i="32"/>
  <c r="H444" i="32" s="1"/>
  <c r="B446" i="32" l="1"/>
  <c r="C445" i="32"/>
  <c r="D445" i="32"/>
  <c r="G445" i="32"/>
  <c r="H445" i="32" s="1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B447" i="32" l="1"/>
  <c r="C446" i="32"/>
  <c r="D446" i="32"/>
  <c r="G446" i="32"/>
  <c r="H446" i="32" s="1"/>
  <c r="P2" i="40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G447" i="32" l="1"/>
  <c r="H447" i="32" s="1"/>
  <c r="B448" i="32"/>
  <c r="D447" i="32"/>
  <c r="C447" i="32"/>
  <c r="W12" i="40"/>
  <c r="W7" i="40"/>
  <c r="W3" i="40"/>
  <c r="W2" i="40"/>
  <c r="W10" i="40"/>
  <c r="W6" i="40"/>
  <c r="W11" i="40"/>
  <c r="W4" i="40"/>
  <c r="W13" i="40"/>
  <c r="W9" i="40"/>
  <c r="W8" i="40"/>
  <c r="W5" i="40"/>
  <c r="G448" i="32" l="1"/>
  <c r="H448" i="32" s="1"/>
  <c r="D448" i="32"/>
  <c r="B449" i="32"/>
  <c r="C448" i="32"/>
  <c r="B405" i="32"/>
  <c r="C405" i="32"/>
  <c r="D405" i="32"/>
  <c r="G405" i="32"/>
  <c r="H405" i="32" s="1"/>
  <c r="B406" i="32"/>
  <c r="C406" i="32"/>
  <c r="D406" i="32"/>
  <c r="G406" i="32"/>
  <c r="H406" i="32" s="1"/>
  <c r="B407" i="32"/>
  <c r="D407" i="32" s="1"/>
  <c r="C407" i="32"/>
  <c r="G407" i="32"/>
  <c r="H407" i="32" s="1"/>
  <c r="B408" i="32"/>
  <c r="C408" i="32" s="1"/>
  <c r="BE427" i="32"/>
  <c r="BE423" i="32"/>
  <c r="BE424" i="32"/>
  <c r="BE425" i="32"/>
  <c r="BE426" i="32"/>
  <c r="BE405" i="32"/>
  <c r="BE406" i="32"/>
  <c r="BE407" i="32"/>
  <c r="BE408" i="32"/>
  <c r="BE409" i="32"/>
  <c r="BE410" i="32"/>
  <c r="BE411" i="32"/>
  <c r="BE412" i="32"/>
  <c r="BE413" i="32"/>
  <c r="BE414" i="32"/>
  <c r="BE415" i="32"/>
  <c r="BE416" i="32"/>
  <c r="BE417" i="32"/>
  <c r="BE418" i="32"/>
  <c r="BE419" i="32"/>
  <c r="BE420" i="32"/>
  <c r="BE421" i="32"/>
  <c r="BE422" i="32"/>
  <c r="D449" i="32" l="1"/>
  <c r="G449" i="32"/>
  <c r="H449" i="32" s="1"/>
  <c r="C449" i="32"/>
  <c r="B450" i="32"/>
  <c r="B409" i="32"/>
  <c r="G408" i="32"/>
  <c r="H408" i="32" s="1"/>
  <c r="D408" i="32"/>
  <c r="C450" i="32" l="1"/>
  <c r="D450" i="32"/>
  <c r="G450" i="32"/>
  <c r="H450" i="32" s="1"/>
  <c r="B451" i="32"/>
  <c r="C409" i="32"/>
  <c r="D409" i="32"/>
  <c r="G409" i="32"/>
  <c r="H409" i="32" s="1"/>
  <c r="B410" i="32"/>
  <c r="C451" i="32" l="1"/>
  <c r="D451" i="32"/>
  <c r="G451" i="32"/>
  <c r="H451" i="32" s="1"/>
  <c r="B452" i="32"/>
  <c r="C410" i="32"/>
  <c r="G410" i="32"/>
  <c r="H410" i="32" s="1"/>
  <c r="B411" i="32"/>
  <c r="D410" i="32"/>
  <c r="B453" i="32" l="1"/>
  <c r="C452" i="32"/>
  <c r="D452" i="32"/>
  <c r="G452" i="32"/>
  <c r="H452" i="32" s="1"/>
  <c r="D411" i="32"/>
  <c r="C411" i="32"/>
  <c r="G411" i="32"/>
  <c r="H411" i="32" s="1"/>
  <c r="B412" i="32"/>
  <c r="B454" i="32" l="1"/>
  <c r="C453" i="32"/>
  <c r="D453" i="32"/>
  <c r="G453" i="32"/>
  <c r="H453" i="32" s="1"/>
  <c r="C412" i="32"/>
  <c r="G412" i="32"/>
  <c r="H412" i="32" s="1"/>
  <c r="B413" i="32"/>
  <c r="D412" i="32"/>
  <c r="B455" i="32" l="1"/>
  <c r="C454" i="32"/>
  <c r="D454" i="32"/>
  <c r="G454" i="32"/>
  <c r="H454" i="32" s="1"/>
  <c r="C413" i="32"/>
  <c r="G413" i="32"/>
  <c r="H413" i="32" s="1"/>
  <c r="B414" i="32"/>
  <c r="D413" i="32"/>
  <c r="B456" i="32" l="1"/>
  <c r="C455" i="32"/>
  <c r="D455" i="32"/>
  <c r="G455" i="32"/>
  <c r="H455" i="32" s="1"/>
  <c r="G414" i="32"/>
  <c r="H414" i="32" s="1"/>
  <c r="B415" i="32"/>
  <c r="C414" i="32"/>
  <c r="D414" i="32"/>
  <c r="B457" i="32" l="1"/>
  <c r="C456" i="32"/>
  <c r="D456" i="32"/>
  <c r="G456" i="32"/>
  <c r="H456" i="32" s="1"/>
  <c r="C415" i="32"/>
  <c r="D415" i="32"/>
  <c r="G415" i="32"/>
  <c r="H415" i="32" s="1"/>
  <c r="B416" i="32"/>
  <c r="C457" i="32" l="1"/>
  <c r="G457" i="32"/>
  <c r="H457" i="32" s="1"/>
  <c r="D457" i="32"/>
  <c r="B417" i="32"/>
  <c r="C416" i="32"/>
  <c r="D416" i="32"/>
  <c r="G416" i="32"/>
  <c r="H416" i="32" s="1"/>
  <c r="G458" i="32" l="1"/>
  <c r="H458" i="32" s="1"/>
  <c r="C458" i="32"/>
  <c r="D458" i="32"/>
  <c r="B418" i="32"/>
  <c r="D417" i="32"/>
  <c r="G417" i="32"/>
  <c r="H417" i="32" s="1"/>
  <c r="C417" i="32"/>
  <c r="G459" i="32" l="1"/>
  <c r="H459" i="32" s="1"/>
  <c r="D459" i="32"/>
  <c r="C459" i="32"/>
  <c r="C418" i="32"/>
  <c r="D418" i="32"/>
  <c r="G418" i="32"/>
  <c r="H418" i="32" s="1"/>
  <c r="B419" i="32"/>
  <c r="G460" i="32" l="1"/>
  <c r="H460" i="32" s="1"/>
  <c r="D460" i="32"/>
  <c r="C460" i="32"/>
  <c r="D419" i="32"/>
  <c r="B420" i="32"/>
  <c r="G419" i="32"/>
  <c r="H419" i="32" s="1"/>
  <c r="C419" i="32"/>
  <c r="D461" i="32" l="1"/>
  <c r="G461" i="32"/>
  <c r="H461" i="32" s="1"/>
  <c r="C461" i="32"/>
  <c r="C420" i="32"/>
  <c r="D420" i="32"/>
  <c r="B421" i="32"/>
  <c r="G420" i="32"/>
  <c r="H420" i="32" s="1"/>
  <c r="D462" i="32" l="1"/>
  <c r="G462" i="32"/>
  <c r="H462" i="32" s="1"/>
  <c r="C462" i="32"/>
  <c r="C421" i="32"/>
  <c r="D421" i="32"/>
  <c r="G421" i="32"/>
  <c r="H421" i="32" s="1"/>
  <c r="B422" i="32"/>
  <c r="C463" i="32" l="1"/>
  <c r="D463" i="32"/>
  <c r="G463" i="32"/>
  <c r="H463" i="32" s="1"/>
  <c r="G422" i="32"/>
  <c r="H422" i="32" s="1"/>
  <c r="D422" i="32"/>
  <c r="B423" i="32"/>
  <c r="C422" i="32"/>
  <c r="C464" i="32" l="1"/>
  <c r="D464" i="32"/>
  <c r="G464" i="32"/>
  <c r="H464" i="32" s="1"/>
  <c r="D423" i="32"/>
  <c r="G423" i="32"/>
  <c r="H423" i="32" s="1"/>
  <c r="C423" i="32"/>
  <c r="B424" i="32"/>
  <c r="C465" i="32" l="1"/>
  <c r="D465" i="32"/>
  <c r="G465" i="32"/>
  <c r="H465" i="32" s="1"/>
  <c r="C424" i="32"/>
  <c r="G424" i="32"/>
  <c r="H424" i="32" s="1"/>
  <c r="B425" i="32"/>
  <c r="D424" i="32"/>
  <c r="C466" i="32" l="1"/>
  <c r="D466" i="32"/>
  <c r="G466" i="32"/>
  <c r="H466" i="32" s="1"/>
  <c r="C425" i="32"/>
  <c r="G425" i="32"/>
  <c r="H425" i="32" s="1"/>
  <c r="D425" i="32"/>
  <c r="B426" i="32"/>
  <c r="C467" i="32" l="1"/>
  <c r="D467" i="32"/>
  <c r="G467" i="32"/>
  <c r="H467" i="32" s="1"/>
  <c r="G426" i="32"/>
  <c r="H426" i="32" s="1"/>
  <c r="C426" i="32"/>
  <c r="D426" i="32"/>
  <c r="B427" i="32"/>
  <c r="C468" i="32" l="1"/>
  <c r="D468" i="32"/>
  <c r="G468" i="32"/>
  <c r="H468" i="32" s="1"/>
  <c r="D427" i="32"/>
  <c r="G427" i="32"/>
  <c r="H427" i="32" s="1"/>
  <c r="C427" i="32"/>
  <c r="C469" i="32" l="1"/>
  <c r="D469" i="32"/>
  <c r="G469" i="32"/>
  <c r="H469" i="32" s="1"/>
  <c r="G470" i="32" l="1"/>
  <c r="H470" i="32" s="1"/>
  <c r="C470" i="32"/>
  <c r="D470" i="32"/>
  <c r="BE404" i="32"/>
  <c r="B404" i="32"/>
  <c r="C404" i="32"/>
  <c r="D404" i="32"/>
  <c r="G404" i="32"/>
  <c r="H404" i="32" s="1"/>
  <c r="G471" i="32" l="1"/>
  <c r="H471" i="32" s="1"/>
  <c r="D471" i="32"/>
  <c r="C471" i="32"/>
  <c r="BE403" i="32"/>
  <c r="G472" i="32" l="1"/>
  <c r="H472" i="32" s="1"/>
  <c r="D472" i="32"/>
  <c r="C472" i="32"/>
  <c r="BE401" i="32"/>
  <c r="BE400" i="32"/>
  <c r="D473" i="32" l="1"/>
  <c r="G473" i="32"/>
  <c r="H473" i="32" s="1"/>
  <c r="C473" i="32"/>
  <c r="D474" i="32" l="1"/>
  <c r="G474" i="32"/>
  <c r="H474" i="32" s="1"/>
  <c r="C474" i="32"/>
  <c r="C475" i="32" l="1"/>
  <c r="D475" i="32"/>
  <c r="G475" i="32"/>
  <c r="H475" i="32" s="1"/>
  <c r="C476" i="32" l="1"/>
  <c r="D476" i="32"/>
  <c r="G476" i="32"/>
  <c r="H476" i="32" s="1"/>
  <c r="BE399" i="32"/>
  <c r="C477" i="32" l="1"/>
  <c r="D477" i="32"/>
  <c r="G477" i="32"/>
  <c r="H477" i="32" s="1"/>
  <c r="BE398" i="32"/>
  <c r="BE397" i="32"/>
  <c r="BE3" i="32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E34" i="32"/>
  <c r="BE35" i="32"/>
  <c r="BE36" i="32"/>
  <c r="BE37" i="32"/>
  <c r="BE38" i="32"/>
  <c r="BE39" i="32"/>
  <c r="BE40" i="32"/>
  <c r="BE41" i="32"/>
  <c r="BE42" i="32"/>
  <c r="BE43" i="32"/>
  <c r="BE44" i="32"/>
  <c r="BE45" i="32"/>
  <c r="BE46" i="32"/>
  <c r="BE47" i="32"/>
  <c r="BE48" i="32"/>
  <c r="BE49" i="32"/>
  <c r="BE50" i="32"/>
  <c r="BE51" i="32"/>
  <c r="BE52" i="32"/>
  <c r="BE53" i="32"/>
  <c r="BE54" i="32"/>
  <c r="BE55" i="32"/>
  <c r="BE56" i="32"/>
  <c r="BE57" i="32"/>
  <c r="BE58" i="32"/>
  <c r="BE59" i="32"/>
  <c r="BE60" i="32"/>
  <c r="BE61" i="32"/>
  <c r="BE62" i="32"/>
  <c r="BE63" i="32"/>
  <c r="BE64" i="32"/>
  <c r="BE65" i="32"/>
  <c r="BE66" i="32"/>
  <c r="BE67" i="32"/>
  <c r="BE68" i="32"/>
  <c r="BE69" i="32"/>
  <c r="BE70" i="32"/>
  <c r="BE71" i="32"/>
  <c r="BE72" i="32"/>
  <c r="BE73" i="32"/>
  <c r="BE74" i="32"/>
  <c r="BE75" i="32"/>
  <c r="BE76" i="32"/>
  <c r="BE77" i="32"/>
  <c r="BE78" i="32"/>
  <c r="BE79" i="32"/>
  <c r="BE80" i="32"/>
  <c r="BE81" i="32"/>
  <c r="BE82" i="32"/>
  <c r="BE83" i="32"/>
  <c r="BE84" i="32"/>
  <c r="BE85" i="32"/>
  <c r="BE86" i="32"/>
  <c r="BE87" i="32"/>
  <c r="BE88" i="32"/>
  <c r="BE89" i="32"/>
  <c r="BE90" i="32"/>
  <c r="BE91" i="32"/>
  <c r="BE92" i="32"/>
  <c r="BE93" i="32"/>
  <c r="BE94" i="32"/>
  <c r="BE95" i="32"/>
  <c r="BE96" i="32"/>
  <c r="BE97" i="32"/>
  <c r="BE98" i="32"/>
  <c r="BE99" i="32"/>
  <c r="BE100" i="32"/>
  <c r="BE101" i="32"/>
  <c r="BE102" i="32"/>
  <c r="BE103" i="32"/>
  <c r="BE104" i="32"/>
  <c r="BE105" i="32"/>
  <c r="BE106" i="32"/>
  <c r="BE107" i="32"/>
  <c r="BE108" i="32"/>
  <c r="BE109" i="32"/>
  <c r="BE110" i="32"/>
  <c r="BE111" i="32"/>
  <c r="BE112" i="32"/>
  <c r="BE113" i="32"/>
  <c r="BE114" i="32"/>
  <c r="BE115" i="32"/>
  <c r="BE116" i="32"/>
  <c r="BE117" i="32"/>
  <c r="BE118" i="32"/>
  <c r="BE119" i="32"/>
  <c r="BE120" i="32"/>
  <c r="BE121" i="32"/>
  <c r="BE122" i="32"/>
  <c r="BE123" i="32"/>
  <c r="BE124" i="32"/>
  <c r="BE125" i="32"/>
  <c r="BE126" i="32"/>
  <c r="BE127" i="32"/>
  <c r="BE128" i="32"/>
  <c r="BE129" i="32"/>
  <c r="BE130" i="32"/>
  <c r="BE131" i="32"/>
  <c r="BE132" i="32"/>
  <c r="BE133" i="32"/>
  <c r="BE134" i="32"/>
  <c r="BE135" i="32"/>
  <c r="BE136" i="32"/>
  <c r="BE137" i="32"/>
  <c r="BE138" i="32"/>
  <c r="BE139" i="32"/>
  <c r="BE140" i="32"/>
  <c r="BE141" i="32"/>
  <c r="BE142" i="32"/>
  <c r="BE143" i="32"/>
  <c r="BE144" i="32"/>
  <c r="BE145" i="32"/>
  <c r="BE146" i="32"/>
  <c r="BE147" i="32"/>
  <c r="BE148" i="32"/>
  <c r="BE149" i="32"/>
  <c r="BE150" i="32"/>
  <c r="BE151" i="32"/>
  <c r="BE152" i="32"/>
  <c r="BE153" i="32"/>
  <c r="BE154" i="32"/>
  <c r="BE155" i="32"/>
  <c r="BE156" i="32"/>
  <c r="BE157" i="32"/>
  <c r="BE158" i="32"/>
  <c r="BE159" i="32"/>
  <c r="BE160" i="32"/>
  <c r="BE161" i="32"/>
  <c r="BE162" i="32"/>
  <c r="BE163" i="32"/>
  <c r="BE164" i="32"/>
  <c r="BE165" i="32"/>
  <c r="BE166" i="32"/>
  <c r="BE167" i="32"/>
  <c r="BE168" i="32"/>
  <c r="BE169" i="32"/>
  <c r="BE170" i="32"/>
  <c r="BE171" i="32"/>
  <c r="BE172" i="32"/>
  <c r="BE173" i="32"/>
  <c r="BE174" i="32"/>
  <c r="BE175" i="32"/>
  <c r="BE176" i="32"/>
  <c r="BE177" i="32"/>
  <c r="BE178" i="32"/>
  <c r="BE179" i="32"/>
  <c r="BE180" i="32"/>
  <c r="BE181" i="32"/>
  <c r="BE182" i="32"/>
  <c r="BE183" i="32"/>
  <c r="BE184" i="32"/>
  <c r="BE185" i="32"/>
  <c r="BE186" i="32"/>
  <c r="BE187" i="32"/>
  <c r="BE188" i="32"/>
  <c r="BE189" i="32"/>
  <c r="BE190" i="32"/>
  <c r="BE191" i="32"/>
  <c r="BE192" i="32"/>
  <c r="BE193" i="32"/>
  <c r="BE194" i="32"/>
  <c r="BE195" i="32"/>
  <c r="BE196" i="32"/>
  <c r="BE197" i="32"/>
  <c r="BE198" i="32"/>
  <c r="BE199" i="32"/>
  <c r="BE200" i="32"/>
  <c r="BE201" i="32"/>
  <c r="BE202" i="32"/>
  <c r="BE203" i="32"/>
  <c r="BE204" i="32"/>
  <c r="BE205" i="32"/>
  <c r="BE206" i="32"/>
  <c r="BE207" i="32"/>
  <c r="BE208" i="32"/>
  <c r="BE209" i="32"/>
  <c r="BE210" i="32"/>
  <c r="BE211" i="32"/>
  <c r="BE212" i="32"/>
  <c r="BE213" i="32"/>
  <c r="BE214" i="32"/>
  <c r="BE215" i="32"/>
  <c r="BE216" i="32"/>
  <c r="BE217" i="32"/>
  <c r="BE218" i="32"/>
  <c r="BE219" i="32"/>
  <c r="BE220" i="32"/>
  <c r="BE221" i="32"/>
  <c r="BE222" i="32"/>
  <c r="BE223" i="32"/>
  <c r="BE224" i="32"/>
  <c r="BE225" i="32"/>
  <c r="BE226" i="32"/>
  <c r="BE227" i="32"/>
  <c r="BE228" i="32"/>
  <c r="BE229" i="32"/>
  <c r="BE230" i="32"/>
  <c r="BE231" i="32"/>
  <c r="BE232" i="32"/>
  <c r="BE233" i="32"/>
  <c r="BE234" i="32"/>
  <c r="BE235" i="32"/>
  <c r="BE236" i="32"/>
  <c r="BE237" i="32"/>
  <c r="BE238" i="32"/>
  <c r="BE239" i="32"/>
  <c r="BE240" i="32"/>
  <c r="BE241" i="32"/>
  <c r="BE242" i="32"/>
  <c r="BE243" i="32"/>
  <c r="BE244" i="32"/>
  <c r="BE245" i="32"/>
  <c r="BE246" i="32"/>
  <c r="BE247" i="32"/>
  <c r="BE248" i="32"/>
  <c r="BE249" i="32"/>
  <c r="BE250" i="32"/>
  <c r="BE251" i="32"/>
  <c r="BE252" i="32"/>
  <c r="BE253" i="32"/>
  <c r="BE254" i="32"/>
  <c r="BE255" i="32"/>
  <c r="BE256" i="32"/>
  <c r="BE257" i="32"/>
  <c r="BE258" i="32"/>
  <c r="BE259" i="32"/>
  <c r="BE260" i="32"/>
  <c r="BE261" i="32"/>
  <c r="BE262" i="32"/>
  <c r="BE263" i="32"/>
  <c r="BE264" i="32"/>
  <c r="BE265" i="32"/>
  <c r="BE266" i="32"/>
  <c r="BE267" i="32"/>
  <c r="BE268" i="32"/>
  <c r="BE269" i="32"/>
  <c r="BE270" i="32"/>
  <c r="BE271" i="32"/>
  <c r="BE272" i="32"/>
  <c r="BE273" i="32"/>
  <c r="BE274" i="32"/>
  <c r="BE275" i="32"/>
  <c r="BE276" i="32"/>
  <c r="BE277" i="32"/>
  <c r="BE278" i="32"/>
  <c r="BE279" i="32"/>
  <c r="BE280" i="32"/>
  <c r="BE281" i="32"/>
  <c r="BE282" i="32"/>
  <c r="BE283" i="32"/>
  <c r="BE284" i="32"/>
  <c r="BE285" i="32"/>
  <c r="BE286" i="32"/>
  <c r="BE287" i="32"/>
  <c r="BE288" i="32"/>
  <c r="BE289" i="32"/>
  <c r="BE290" i="32"/>
  <c r="BE291" i="32"/>
  <c r="BE292" i="32"/>
  <c r="BE293" i="32"/>
  <c r="BE294" i="32"/>
  <c r="BE295" i="32"/>
  <c r="BE296" i="32"/>
  <c r="BE297" i="32"/>
  <c r="BE298" i="32"/>
  <c r="BE299" i="32"/>
  <c r="BE300" i="32"/>
  <c r="BE301" i="32"/>
  <c r="BE302" i="32"/>
  <c r="BE303" i="32"/>
  <c r="BE304" i="32"/>
  <c r="BE305" i="32"/>
  <c r="BE306" i="32"/>
  <c r="BE307" i="32"/>
  <c r="BE308" i="32"/>
  <c r="BE309" i="32"/>
  <c r="BE310" i="32"/>
  <c r="BE311" i="32"/>
  <c r="BE312" i="32"/>
  <c r="BE313" i="32"/>
  <c r="BE314" i="32"/>
  <c r="BE315" i="32"/>
  <c r="BE316" i="32"/>
  <c r="BE317" i="32"/>
  <c r="BE318" i="32"/>
  <c r="BE319" i="32"/>
  <c r="BE320" i="32"/>
  <c r="BE321" i="32"/>
  <c r="BE322" i="32"/>
  <c r="BE323" i="32"/>
  <c r="BE324" i="32"/>
  <c r="BE325" i="32"/>
  <c r="BE326" i="32"/>
  <c r="BE327" i="32"/>
  <c r="BE328" i="32"/>
  <c r="BE329" i="32"/>
  <c r="BE330" i="32"/>
  <c r="BE331" i="32"/>
  <c r="BE332" i="32"/>
  <c r="BE333" i="32"/>
  <c r="BE334" i="32"/>
  <c r="BE335" i="32"/>
  <c r="BE336" i="32"/>
  <c r="BE337" i="32"/>
  <c r="BE338" i="32"/>
  <c r="BE339" i="32"/>
  <c r="BE340" i="32"/>
  <c r="BE341" i="32"/>
  <c r="BE342" i="32"/>
  <c r="BE343" i="32"/>
  <c r="BE344" i="32"/>
  <c r="BE345" i="32"/>
  <c r="BE346" i="32"/>
  <c r="BE347" i="32"/>
  <c r="BE348" i="32"/>
  <c r="BE349" i="32"/>
  <c r="BE350" i="32"/>
  <c r="BE351" i="32"/>
  <c r="BE352" i="32"/>
  <c r="BE353" i="32"/>
  <c r="BE354" i="32"/>
  <c r="BE355" i="32"/>
  <c r="BE356" i="32"/>
  <c r="BE357" i="32"/>
  <c r="BE358" i="32"/>
  <c r="BE359" i="32"/>
  <c r="BE360" i="32"/>
  <c r="BE361" i="32"/>
  <c r="BE362" i="32"/>
  <c r="BE363" i="32"/>
  <c r="BE364" i="32"/>
  <c r="BE365" i="32"/>
  <c r="BE366" i="32"/>
  <c r="BE367" i="32"/>
  <c r="BE368" i="32"/>
  <c r="BE369" i="32"/>
  <c r="BE370" i="32"/>
  <c r="BE371" i="32"/>
  <c r="BE372" i="32"/>
  <c r="BE373" i="32"/>
  <c r="BE374" i="32"/>
  <c r="BE375" i="32"/>
  <c r="BE376" i="32"/>
  <c r="BE377" i="32"/>
  <c r="BE378" i="32"/>
  <c r="BE379" i="32"/>
  <c r="BE380" i="32"/>
  <c r="BE381" i="32"/>
  <c r="BE382" i="32"/>
  <c r="BE383" i="32"/>
  <c r="BE384" i="32"/>
  <c r="BE385" i="32"/>
  <c r="BE386" i="32"/>
  <c r="BE387" i="32"/>
  <c r="BE388" i="32"/>
  <c r="BE389" i="32"/>
  <c r="BE390" i="32"/>
  <c r="BE391" i="32"/>
  <c r="BE392" i="32"/>
  <c r="BE393" i="32"/>
  <c r="BE394" i="32"/>
  <c r="BE395" i="32"/>
  <c r="BE396" i="32"/>
  <c r="B398" i="32"/>
  <c r="C398" i="32"/>
  <c r="D398" i="32"/>
  <c r="G398" i="32"/>
  <c r="H398" i="32" s="1"/>
  <c r="B399" i="32"/>
  <c r="B400" i="32" s="1"/>
  <c r="B401" i="32" s="1"/>
  <c r="B402" i="32" s="1"/>
  <c r="B403" i="32" s="1"/>
  <c r="C399" i="32"/>
  <c r="D399" i="32"/>
  <c r="G399" i="32"/>
  <c r="H399" i="32" s="1"/>
  <c r="C400" i="32"/>
  <c r="D400" i="32"/>
  <c r="G400" i="32"/>
  <c r="H400" i="32" s="1"/>
  <c r="C401" i="32"/>
  <c r="D401" i="32"/>
  <c r="G401" i="32"/>
  <c r="H401" i="32" s="1"/>
  <c r="C402" i="32"/>
  <c r="D402" i="32"/>
  <c r="G402" i="32"/>
  <c r="H402" i="32" s="1"/>
  <c r="C403" i="32"/>
  <c r="D403" i="32"/>
  <c r="G403" i="32"/>
  <c r="H403" i="32" s="1"/>
  <c r="C478" i="32" l="1"/>
  <c r="D478" i="32"/>
  <c r="G478" i="32"/>
  <c r="H478" i="32" s="1"/>
  <c r="B397" i="32"/>
  <c r="C397" i="32"/>
  <c r="D397" i="32"/>
  <c r="G397" i="32"/>
  <c r="H397" i="32" s="1"/>
  <c r="C479" i="32" l="1"/>
  <c r="D479" i="32"/>
  <c r="G479" i="32"/>
  <c r="H479" i="32" s="1"/>
  <c r="B396" i="32"/>
  <c r="C396" i="32"/>
  <c r="D396" i="32"/>
  <c r="G396" i="32"/>
  <c r="H396" i="32" s="1"/>
  <c r="B395" i="32"/>
  <c r="C395" i="32"/>
  <c r="D395" i="32"/>
  <c r="G395" i="32"/>
  <c r="H395" i="32" s="1"/>
  <c r="C480" i="32" l="1"/>
  <c r="D480" i="32"/>
  <c r="G480" i="32"/>
  <c r="H480" i="32" s="1"/>
  <c r="C481" i="32" l="1"/>
  <c r="D481" i="32"/>
  <c r="G481" i="32"/>
  <c r="H481" i="32" s="1"/>
  <c r="G482" i="32" l="1"/>
  <c r="H482" i="32" s="1"/>
  <c r="C482" i="32"/>
  <c r="D482" i="32"/>
  <c r="AM224" i="31"/>
  <c r="AM225" i="31"/>
  <c r="G225" i="31"/>
  <c r="H225" i="31" s="1"/>
  <c r="G226" i="31"/>
  <c r="H226" i="31" s="1"/>
  <c r="G227" i="31"/>
  <c r="H227" i="31" s="1"/>
  <c r="D225" i="31"/>
  <c r="D226" i="31"/>
  <c r="D227" i="31"/>
  <c r="C225" i="31"/>
  <c r="C226" i="31"/>
  <c r="C227" i="31"/>
  <c r="B225" i="31"/>
  <c r="B226" i="31" s="1"/>
  <c r="B227" i="31" s="1"/>
  <c r="H224" i="31"/>
  <c r="G224" i="31"/>
  <c r="D224" i="31"/>
  <c r="C224" i="31"/>
  <c r="B224" i="31"/>
  <c r="G483" i="32" l="1"/>
  <c r="H483" i="32" s="1"/>
  <c r="C483" i="32"/>
  <c r="D483" i="32"/>
  <c r="G223" i="31"/>
  <c r="H223" i="31" s="1"/>
  <c r="D223" i="31"/>
  <c r="C223" i="31"/>
  <c r="B223" i="31"/>
  <c r="D484" i="32" l="1"/>
  <c r="G484" i="32"/>
  <c r="H484" i="32" s="1"/>
  <c r="C484" i="32"/>
  <c r="AM223" i="31"/>
  <c r="D485" i="32" l="1"/>
  <c r="C485" i="32"/>
  <c r="G485" i="32"/>
  <c r="H485" i="32" s="1"/>
  <c r="AM222" i="31"/>
  <c r="D486" i="32" l="1"/>
  <c r="G486" i="32"/>
  <c r="H486" i="32" s="1"/>
  <c r="C486" i="32"/>
  <c r="AM221" i="31"/>
  <c r="G221" i="31"/>
  <c r="H221" i="31" s="1"/>
  <c r="G222" i="31"/>
  <c r="H222" i="31" s="1"/>
  <c r="D221" i="31"/>
  <c r="D222" i="31"/>
  <c r="C221" i="31"/>
  <c r="C222" i="31"/>
  <c r="B222" i="31"/>
  <c r="B221" i="31"/>
  <c r="C487" i="32" l="1"/>
  <c r="D487" i="32"/>
  <c r="G487" i="32"/>
  <c r="H487" i="32" s="1"/>
  <c r="AM220" i="31"/>
  <c r="AM219" i="31"/>
  <c r="G220" i="31"/>
  <c r="H220" i="31" s="1"/>
  <c r="D220" i="31"/>
  <c r="C220" i="31"/>
  <c r="B220" i="31"/>
  <c r="G218" i="31"/>
  <c r="G219" i="31"/>
  <c r="C488" i="32" l="1"/>
  <c r="D488" i="32"/>
  <c r="G488" i="32"/>
  <c r="H488" i="32" s="1"/>
  <c r="B4" i="36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C489" i="32"/>
  <c r="D489" i="32"/>
  <c r="G489" i="32"/>
  <c r="H489" i="32" s="1"/>
  <c r="K2" i="36"/>
  <c r="B5" i="36"/>
  <c r="H2" i="35"/>
  <c r="I2" i="35" s="1"/>
  <c r="C490" i="32" l="1"/>
  <c r="D490" i="32"/>
  <c r="G490" i="32"/>
  <c r="H490" i="32" s="1"/>
  <c r="B7" i="35"/>
  <c r="B6" i="36"/>
  <c r="L2" i="36"/>
  <c r="J2" i="35"/>
  <c r="C491" i="32" l="1"/>
  <c r="D491" i="32"/>
  <c r="G491" i="32"/>
  <c r="H491" i="32" s="1"/>
  <c r="B8" i="35"/>
  <c r="B7" i="36"/>
  <c r="M2" i="36"/>
  <c r="K2" i="35"/>
  <c r="C492" i="32" l="1"/>
  <c r="D492" i="32"/>
  <c r="G492" i="32"/>
  <c r="H492" i="32" s="1"/>
  <c r="B9" i="35"/>
  <c r="B8" i="36"/>
  <c r="N2" i="36"/>
  <c r="L2" i="35"/>
  <c r="G493" i="32" l="1"/>
  <c r="H493" i="32" s="1"/>
  <c r="C493" i="32"/>
  <c r="D493" i="32"/>
  <c r="B10" i="35"/>
  <c r="O2" i="36"/>
  <c r="B9" i="36"/>
  <c r="M2" i="35"/>
  <c r="G494" i="32" l="1"/>
  <c r="H494" i="32" s="1"/>
  <c r="C494" i="32"/>
  <c r="D494" i="32"/>
  <c r="B11" i="35"/>
  <c r="B10" i="36"/>
  <c r="P2" i="36"/>
  <c r="N2" i="35"/>
  <c r="G495" i="32" l="1"/>
  <c r="H495" i="32" s="1"/>
  <c r="D495" i="32"/>
  <c r="C495" i="32"/>
  <c r="B12" i="35"/>
  <c r="B11" i="36"/>
  <c r="Q2" i="36"/>
  <c r="O2" i="35"/>
  <c r="G496" i="32" l="1"/>
  <c r="H496" i="32" s="1"/>
  <c r="D496" i="32"/>
  <c r="C496" i="32"/>
  <c r="B13" i="35"/>
  <c r="R2" i="36"/>
  <c r="B12" i="36"/>
  <c r="P2" i="35"/>
  <c r="D497" i="32" l="1"/>
  <c r="G497" i="32"/>
  <c r="H497" i="32" s="1"/>
  <c r="C497" i="32"/>
  <c r="B14" i="35"/>
  <c r="B13" i="36"/>
  <c r="S2" i="36"/>
  <c r="Q2" i="35"/>
  <c r="D498" i="32" l="1"/>
  <c r="G498" i="32"/>
  <c r="H498" i="32" s="1"/>
  <c r="C498" i="32"/>
  <c r="B15" i="35"/>
  <c r="T2" i="36"/>
  <c r="B14" i="36"/>
  <c r="R2" i="35"/>
  <c r="C499" i="32" l="1"/>
  <c r="D499" i="32"/>
  <c r="G499" i="32"/>
  <c r="H499" i="32" s="1"/>
  <c r="B16" i="35"/>
  <c r="U2" i="36"/>
  <c r="B15" i="36"/>
  <c r="S2" i="35"/>
  <c r="C500" i="32" l="1"/>
  <c r="D500" i="32"/>
  <c r="G500" i="32"/>
  <c r="H500" i="32" s="1"/>
  <c r="B17" i="35"/>
  <c r="V2" i="36"/>
  <c r="B16" i="36"/>
  <c r="T2" i="35"/>
  <c r="C501" i="32" l="1"/>
  <c r="D501" i="32"/>
  <c r="G501" i="32"/>
  <c r="H501" i="32" s="1"/>
  <c r="B18" i="35"/>
  <c r="B17" i="36"/>
  <c r="W2" i="36"/>
  <c r="U2" i="35"/>
  <c r="C502" i="32" l="1"/>
  <c r="D502" i="32"/>
  <c r="G502" i="32"/>
  <c r="H502" i="32" s="1"/>
  <c r="B19" i="35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AG10" i="22" l="1"/>
  <c r="B2" i="22" s="1"/>
  <c r="T658" i="22" l="1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V17" i="27" s="1"/>
  <c r="AJ17" i="27" s="1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V19" i="27" s="1"/>
  <c r="AJ19" i="27" s="1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V13" i="27" s="1"/>
  <c r="AJ13" i="27" s="1"/>
  <c r="T55" i="22"/>
  <c r="T56" i="22"/>
  <c r="T57" i="22"/>
  <c r="V16" i="27" s="1"/>
  <c r="AJ16" i="27" s="1"/>
  <c r="T58" i="22"/>
  <c r="T59" i="22"/>
  <c r="T60" i="22"/>
  <c r="T61" i="22"/>
  <c r="T62" i="22"/>
  <c r="T63" i="22"/>
  <c r="T64" i="22"/>
  <c r="T65" i="22"/>
  <c r="T66" i="22"/>
  <c r="T18" i="22"/>
  <c r="T435" i="22" l="1"/>
  <c r="V73" i="27" s="1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AM211" i="31"/>
  <c r="AM212" i="31"/>
  <c r="AM213" i="31"/>
  <c r="AM214" i="31"/>
  <c r="AM215" i="31"/>
  <c r="AM216" i="31"/>
  <c r="AM217" i="31"/>
  <c r="AM218" i="31"/>
  <c r="AM186" i="31" l="1"/>
  <c r="AM187" i="31"/>
  <c r="AM188" i="31"/>
  <c r="AM189" i="31"/>
  <c r="AM190" i="31"/>
  <c r="AM191" i="31"/>
  <c r="AM192" i="31"/>
  <c r="AM193" i="31"/>
  <c r="AM194" i="31"/>
  <c r="AM195" i="31"/>
  <c r="AM196" i="31"/>
  <c r="AM197" i="31"/>
  <c r="AM198" i="31"/>
  <c r="AM199" i="31"/>
  <c r="AM200" i="31"/>
  <c r="AM201" i="31"/>
  <c r="AM202" i="31"/>
  <c r="AM203" i="31"/>
  <c r="AM204" i="31"/>
  <c r="AM205" i="31"/>
  <c r="AM206" i="31"/>
  <c r="AM207" i="31"/>
  <c r="AM208" i="31"/>
  <c r="AM209" i="31"/>
  <c r="AM210" i="31"/>
  <c r="B33" i="9" l="1"/>
  <c r="B36" i="9" l="1"/>
  <c r="B35" i="9"/>
  <c r="B32" i="9"/>
  <c r="G6" i="33" l="1"/>
  <c r="F6" i="33"/>
  <c r="Q7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AM34" i="31"/>
  <c r="AM35" i="31"/>
  <c r="AM36" i="31"/>
  <c r="AM37" i="31"/>
  <c r="AM38" i="31"/>
  <c r="AM39" i="31"/>
  <c r="AM40" i="31"/>
  <c r="AM41" i="31"/>
  <c r="AM42" i="31"/>
  <c r="AM43" i="31"/>
  <c r="AM44" i="31"/>
  <c r="AM45" i="31"/>
  <c r="AM46" i="31"/>
  <c r="AM47" i="31"/>
  <c r="AM48" i="31"/>
  <c r="AM49" i="31"/>
  <c r="AM50" i="31"/>
  <c r="AM51" i="31"/>
  <c r="AM52" i="31"/>
  <c r="AM53" i="31"/>
  <c r="AM54" i="31"/>
  <c r="AM55" i="31"/>
  <c r="AM56" i="31"/>
  <c r="AM57" i="31"/>
  <c r="AM58" i="31"/>
  <c r="AM59" i="31"/>
  <c r="AM60" i="31"/>
  <c r="AM61" i="31"/>
  <c r="AM62" i="31"/>
  <c r="AM63" i="31"/>
  <c r="AM64" i="31"/>
  <c r="AM65" i="31"/>
  <c r="AM66" i="31"/>
  <c r="AM67" i="31"/>
  <c r="AM68" i="31"/>
  <c r="AM69" i="31"/>
  <c r="AM70" i="31"/>
  <c r="AM71" i="31"/>
  <c r="AM72" i="31"/>
  <c r="AM73" i="31"/>
  <c r="AM74" i="31"/>
  <c r="AM75" i="31"/>
  <c r="AM76" i="31"/>
  <c r="AM77" i="31"/>
  <c r="AM78" i="31"/>
  <c r="AM79" i="31"/>
  <c r="AM80" i="31"/>
  <c r="AM81" i="31"/>
  <c r="AM82" i="31"/>
  <c r="AM83" i="31"/>
  <c r="AM84" i="31"/>
  <c r="AM85" i="31"/>
  <c r="AM86" i="31"/>
  <c r="AM87" i="31"/>
  <c r="AM88" i="31"/>
  <c r="AM89" i="31"/>
  <c r="AM90" i="31"/>
  <c r="AM91" i="31"/>
  <c r="AM92" i="31"/>
  <c r="AM93" i="31"/>
  <c r="AM94" i="31"/>
  <c r="AM95" i="31"/>
  <c r="AM96" i="31"/>
  <c r="AM97" i="31"/>
  <c r="AM98" i="31"/>
  <c r="AM99" i="31"/>
  <c r="AM100" i="31"/>
  <c r="AM101" i="31"/>
  <c r="AM102" i="31"/>
  <c r="AM103" i="31"/>
  <c r="AM104" i="31"/>
  <c r="AM105" i="31"/>
  <c r="AM106" i="31"/>
  <c r="AM107" i="31"/>
  <c r="AM108" i="31"/>
  <c r="AM109" i="31"/>
  <c r="AM110" i="31"/>
  <c r="AM111" i="31"/>
  <c r="AM112" i="31"/>
  <c r="AM113" i="31"/>
  <c r="AM114" i="31"/>
  <c r="AM115" i="31"/>
  <c r="AM116" i="31"/>
  <c r="AM117" i="31"/>
  <c r="AM118" i="31"/>
  <c r="AM119" i="31"/>
  <c r="AM120" i="31"/>
  <c r="AM121" i="31"/>
  <c r="AM122" i="31"/>
  <c r="AM123" i="31"/>
  <c r="AM124" i="31"/>
  <c r="AM125" i="31"/>
  <c r="AM126" i="31"/>
  <c r="AM127" i="31"/>
  <c r="AM128" i="31"/>
  <c r="AM129" i="31"/>
  <c r="AM130" i="31"/>
  <c r="AM131" i="31"/>
  <c r="AM132" i="31"/>
  <c r="AM133" i="31"/>
  <c r="AM134" i="31"/>
  <c r="AM135" i="31"/>
  <c r="AM136" i="31"/>
  <c r="AM137" i="31"/>
  <c r="AM138" i="31"/>
  <c r="AM139" i="31"/>
  <c r="AM140" i="31"/>
  <c r="AM141" i="31"/>
  <c r="AM142" i="31"/>
  <c r="AM143" i="31"/>
  <c r="AM144" i="31"/>
  <c r="AM145" i="31"/>
  <c r="AM146" i="31"/>
  <c r="AM147" i="31"/>
  <c r="AM148" i="31"/>
  <c r="AM149" i="31"/>
  <c r="AM150" i="31"/>
  <c r="AM151" i="31"/>
  <c r="AM152" i="31"/>
  <c r="AM153" i="31"/>
  <c r="AM154" i="31"/>
  <c r="AM155" i="31"/>
  <c r="AM156" i="31"/>
  <c r="AM157" i="31"/>
  <c r="AM158" i="31"/>
  <c r="AM159" i="31"/>
  <c r="AM160" i="31"/>
  <c r="AM161" i="31"/>
  <c r="AM162" i="31"/>
  <c r="AM163" i="31"/>
  <c r="AM164" i="31"/>
  <c r="AM165" i="31"/>
  <c r="AM166" i="31"/>
  <c r="AM167" i="31"/>
  <c r="AM168" i="31"/>
  <c r="AM169" i="31"/>
  <c r="AM170" i="31"/>
  <c r="AM171" i="31"/>
  <c r="AM172" i="31"/>
  <c r="AM173" i="31"/>
  <c r="AM174" i="31"/>
  <c r="AM175" i="31"/>
  <c r="AM176" i="31"/>
  <c r="AM177" i="31"/>
  <c r="AM178" i="31"/>
  <c r="AM179" i="31"/>
  <c r="AM180" i="31"/>
  <c r="AM181" i="31"/>
  <c r="AM182" i="31"/>
  <c r="AM183" i="31"/>
  <c r="AM184" i="31"/>
  <c r="AM185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5" i="24"/>
  <c r="Q15" i="24"/>
  <c r="P15" i="24"/>
  <c r="O15" i="24"/>
  <c r="I15" i="24"/>
  <c r="H15" i="24"/>
  <c r="D15" i="24"/>
  <c r="C15" i="24"/>
  <c r="A15" i="24"/>
  <c r="X14" i="24"/>
  <c r="Q14" i="24"/>
  <c r="P14" i="24"/>
  <c r="O14" i="24"/>
  <c r="I14" i="24"/>
  <c r="H14" i="24"/>
  <c r="D14" i="24"/>
  <c r="C14" i="24"/>
  <c r="A14" i="24"/>
  <c r="X13" i="24"/>
  <c r="Q13" i="24"/>
  <c r="P13" i="24"/>
  <c r="O13" i="24"/>
  <c r="I13" i="24"/>
  <c r="H13" i="24"/>
  <c r="D13" i="24"/>
  <c r="C13" i="24"/>
  <c r="A13" i="24"/>
  <c r="X12" i="24"/>
  <c r="Q12" i="24"/>
  <c r="P12" i="24"/>
  <c r="O12" i="24"/>
  <c r="I12" i="24"/>
  <c r="H12" i="24"/>
  <c r="D12" i="24"/>
  <c r="C12" i="24"/>
  <c r="A12" i="24"/>
  <c r="X11" i="24"/>
  <c r="Q11" i="24"/>
  <c r="P11" i="24"/>
  <c r="O11" i="24"/>
  <c r="I11" i="24"/>
  <c r="H11" i="24"/>
  <c r="D11" i="24"/>
  <c r="C11" i="24"/>
  <c r="A11" i="24"/>
  <c r="X10" i="24"/>
  <c r="Q10" i="24"/>
  <c r="P10" i="24"/>
  <c r="O10" i="24"/>
  <c r="I10" i="24"/>
  <c r="H10" i="24"/>
  <c r="D10" i="24"/>
  <c r="C10" i="24"/>
  <c r="A10" i="24"/>
  <c r="X9" i="24"/>
  <c r="Q9" i="24"/>
  <c r="P9" i="24"/>
  <c r="O9" i="24"/>
  <c r="I9" i="24"/>
  <c r="T9" i="24" s="1"/>
  <c r="H9" i="24"/>
  <c r="D9" i="24"/>
  <c r="C9" i="24"/>
  <c r="A9" i="24"/>
  <c r="X8" i="24"/>
  <c r="Q8" i="24"/>
  <c r="P8" i="24"/>
  <c r="O8" i="24"/>
  <c r="I8" i="24"/>
  <c r="H8" i="24"/>
  <c r="D8" i="24"/>
  <c r="C8" i="24"/>
  <c r="A8" i="24"/>
  <c r="X7" i="24"/>
  <c r="Q7" i="24"/>
  <c r="P7" i="24"/>
  <c r="O7" i="24"/>
  <c r="I7" i="24"/>
  <c r="H7" i="24"/>
  <c r="D7" i="24"/>
  <c r="C7" i="24"/>
  <c r="A7" i="24"/>
  <c r="X6" i="24"/>
  <c r="Q6" i="24"/>
  <c r="P6" i="24"/>
  <c r="O6" i="24"/>
  <c r="I6" i="24"/>
  <c r="H6" i="24"/>
  <c r="D6" i="24"/>
  <c r="C6" i="24"/>
  <c r="A6" i="24"/>
  <c r="X5" i="24"/>
  <c r="Q5" i="24"/>
  <c r="P5" i="24"/>
  <c r="O5" i="24"/>
  <c r="I5" i="24"/>
  <c r="H5" i="24"/>
  <c r="D5" i="24"/>
  <c r="C5" i="24"/>
  <c r="A5" i="24"/>
  <c r="X4" i="24"/>
  <c r="Q4" i="24"/>
  <c r="P4" i="24"/>
  <c r="O4" i="24"/>
  <c r="I4" i="24"/>
  <c r="H4" i="24"/>
  <c r="D4" i="24"/>
  <c r="C4" i="24"/>
  <c r="A4" i="24"/>
  <c r="X3" i="24"/>
  <c r="Q3" i="24"/>
  <c r="P3" i="24"/>
  <c r="O3" i="24"/>
  <c r="H3" i="24"/>
  <c r="D3" i="24"/>
  <c r="C3" i="24"/>
  <c r="A3" i="24"/>
  <c r="X2" i="24"/>
  <c r="Q2" i="24"/>
  <c r="P2" i="24"/>
  <c r="O2" i="24"/>
  <c r="H2" i="24"/>
  <c r="D2" i="24"/>
  <c r="C2" i="24"/>
  <c r="D2" i="29"/>
  <c r="C2" i="29"/>
  <c r="D4" i="31" l="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2" i="24"/>
  <c r="T13" i="24"/>
  <c r="T14" i="24"/>
  <c r="T15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B34" i="30"/>
  <c r="G33" i="30"/>
  <c r="H33" i="30" s="1"/>
  <c r="D33" i="30"/>
  <c r="B34" i="32"/>
  <c r="D33" i="32"/>
  <c r="G33" i="32"/>
  <c r="H33" i="32" s="1"/>
  <c r="C33" i="32"/>
  <c r="G33" i="31" l="1"/>
  <c r="H33" i="31" s="1"/>
  <c r="D33" i="31"/>
  <c r="C33" i="31"/>
  <c r="B34" i="31"/>
  <c r="G34" i="30"/>
  <c r="H34" i="30" s="1"/>
  <c r="D34" i="30"/>
  <c r="C34" i="30"/>
  <c r="B35" i="30"/>
  <c r="D34" i="32"/>
  <c r="B35" i="32"/>
  <c r="C34" i="32"/>
  <c r="G34" i="32"/>
  <c r="H34" i="32" s="1"/>
  <c r="G34" i="31" l="1"/>
  <c r="H34" i="31" s="1"/>
  <c r="D34" i="31"/>
  <c r="C34" i="31"/>
  <c r="B35" i="31"/>
  <c r="B36" i="30"/>
  <c r="G35" i="30"/>
  <c r="H35" i="30" s="1"/>
  <c r="D35" i="30"/>
  <c r="C35" i="30"/>
  <c r="B36" i="32"/>
  <c r="D35" i="32"/>
  <c r="C35" i="32"/>
  <c r="G35" i="32"/>
  <c r="H35" i="32" s="1"/>
  <c r="B36" i="31" l="1"/>
  <c r="G35" i="31"/>
  <c r="H35" i="31" s="1"/>
  <c r="C35" i="31"/>
  <c r="D35" i="31"/>
  <c r="D36" i="30"/>
  <c r="C36" i="30"/>
  <c r="B37" i="30"/>
  <c r="G36" i="30"/>
  <c r="H36" i="30" s="1"/>
  <c r="C36" i="32"/>
  <c r="D36" i="32"/>
  <c r="B37" i="32"/>
  <c r="G36" i="32"/>
  <c r="H36" i="32" s="1"/>
  <c r="C36" i="31" l="1"/>
  <c r="B37" i="31"/>
  <c r="G36" i="31"/>
  <c r="H36" i="31" s="1"/>
  <c r="D36" i="31"/>
  <c r="B38" i="30"/>
  <c r="G37" i="30"/>
  <c r="H37" i="30" s="1"/>
  <c r="D37" i="30"/>
  <c r="C37" i="30"/>
  <c r="G37" i="32"/>
  <c r="H37" i="32" s="1"/>
  <c r="B38" i="32"/>
  <c r="D37" i="32"/>
  <c r="C37" i="32"/>
  <c r="G37" i="31" l="1"/>
  <c r="H37" i="31" s="1"/>
  <c r="D37" i="31"/>
  <c r="C37" i="31"/>
  <c r="B38" i="31"/>
  <c r="B39" i="30"/>
  <c r="G38" i="30"/>
  <c r="H38" i="30" s="1"/>
  <c r="C38" i="30"/>
  <c r="D38" i="30"/>
  <c r="C38" i="32"/>
  <c r="G38" i="32"/>
  <c r="H38" i="32" s="1"/>
  <c r="B39" i="32"/>
  <c r="D38" i="32"/>
  <c r="G38" i="31" l="1"/>
  <c r="H38" i="31" s="1"/>
  <c r="D38" i="31"/>
  <c r="C38" i="31"/>
  <c r="B39" i="31"/>
  <c r="D39" i="30"/>
  <c r="C39" i="30"/>
  <c r="B40" i="30"/>
  <c r="G39" i="30"/>
  <c r="H39" i="30" s="1"/>
  <c r="G39" i="32"/>
  <c r="H39" i="32" s="1"/>
  <c r="B40" i="32"/>
  <c r="D39" i="32"/>
  <c r="C39" i="32"/>
  <c r="B40" i="31" l="1"/>
  <c r="D39" i="31"/>
  <c r="G39" i="31"/>
  <c r="H39" i="31" s="1"/>
  <c r="C39" i="31"/>
  <c r="B41" i="30"/>
  <c r="G40" i="30"/>
  <c r="H40" i="30" s="1"/>
  <c r="D40" i="30"/>
  <c r="C40" i="30"/>
  <c r="C40" i="32"/>
  <c r="G40" i="32"/>
  <c r="H40" i="32" s="1"/>
  <c r="D40" i="32"/>
  <c r="B41" i="32"/>
  <c r="C40" i="31" l="1"/>
  <c r="B41" i="31"/>
  <c r="G40" i="31"/>
  <c r="H40" i="31" s="1"/>
  <c r="D40" i="31"/>
  <c r="B42" i="30"/>
  <c r="C41" i="30"/>
  <c r="G41" i="30"/>
  <c r="H41" i="30" s="1"/>
  <c r="D41" i="30"/>
  <c r="G41" i="32"/>
  <c r="H41" i="32" s="1"/>
  <c r="B42" i="32"/>
  <c r="D41" i="32"/>
  <c r="C41" i="32"/>
  <c r="G41" i="31" l="1"/>
  <c r="H41" i="31" s="1"/>
  <c r="D41" i="31"/>
  <c r="C41" i="31"/>
  <c r="B42" i="31"/>
  <c r="G42" i="30"/>
  <c r="H42" i="30" s="1"/>
  <c r="D42" i="30"/>
  <c r="C42" i="30"/>
  <c r="B43" i="30"/>
  <c r="C42" i="32"/>
  <c r="G42" i="32"/>
  <c r="H42" i="32" s="1"/>
  <c r="D42" i="32"/>
  <c r="B43" i="32"/>
  <c r="G42" i="31" l="1"/>
  <c r="H42" i="31" s="1"/>
  <c r="D42" i="31"/>
  <c r="C42" i="31"/>
  <c r="B43" i="31"/>
  <c r="B44" i="30"/>
  <c r="G43" i="30"/>
  <c r="H43" i="30" s="1"/>
  <c r="D43" i="30"/>
  <c r="C43" i="30"/>
  <c r="G43" i="32"/>
  <c r="H43" i="32" s="1"/>
  <c r="B44" i="32"/>
  <c r="D43" i="32"/>
  <c r="C43" i="32"/>
  <c r="D43" i="31" l="1"/>
  <c r="B44" i="31"/>
  <c r="G43" i="31"/>
  <c r="H43" i="31" s="1"/>
  <c r="C43" i="31"/>
  <c r="B45" i="30"/>
  <c r="C44" i="30"/>
  <c r="G44" i="30"/>
  <c r="H44" i="30" s="1"/>
  <c r="D44" i="30"/>
  <c r="C44" i="32"/>
  <c r="G44" i="32"/>
  <c r="H44" i="32" s="1"/>
  <c r="B45" i="32"/>
  <c r="D44" i="32"/>
  <c r="C44" i="31" l="1"/>
  <c r="B45" i="31"/>
  <c r="G44" i="31"/>
  <c r="H44" i="31" s="1"/>
  <c r="D44" i="31"/>
  <c r="G45" i="30"/>
  <c r="H45" i="30" s="1"/>
  <c r="D45" i="30"/>
  <c r="C45" i="30"/>
  <c r="B46" i="30"/>
  <c r="G45" i="32"/>
  <c r="H45" i="32" s="1"/>
  <c r="B46" i="32"/>
  <c r="D45" i="32"/>
  <c r="C45" i="32"/>
  <c r="G45" i="31" l="1"/>
  <c r="H45" i="31" s="1"/>
  <c r="B46" i="31"/>
  <c r="D45" i="31"/>
  <c r="C45" i="31"/>
  <c r="B47" i="30"/>
  <c r="G46" i="30"/>
  <c r="H46" i="30" s="1"/>
  <c r="D46" i="30"/>
  <c r="C46" i="30"/>
  <c r="C46" i="32"/>
  <c r="G46" i="32"/>
  <c r="H46" i="32" s="1"/>
  <c r="B47" i="32"/>
  <c r="D46" i="32"/>
  <c r="G46" i="31" l="1"/>
  <c r="H46" i="31" s="1"/>
  <c r="D46" i="31"/>
  <c r="C46" i="31"/>
  <c r="B47" i="31"/>
  <c r="B48" i="30"/>
  <c r="G47" i="30"/>
  <c r="H47" i="30" s="1"/>
  <c r="D47" i="30"/>
  <c r="C47" i="30"/>
  <c r="G47" i="32"/>
  <c r="H47" i="32" s="1"/>
  <c r="B48" i="32"/>
  <c r="D47" i="32"/>
  <c r="C47" i="32"/>
  <c r="B48" i="31" l="1"/>
  <c r="G47" i="31"/>
  <c r="H47" i="31" s="1"/>
  <c r="C47" i="31"/>
  <c r="D47" i="31"/>
  <c r="G48" i="30"/>
  <c r="H48" i="30" s="1"/>
  <c r="D48" i="30"/>
  <c r="C48" i="30"/>
  <c r="B49" i="30"/>
  <c r="C48" i="32"/>
  <c r="G48" i="32"/>
  <c r="H48" i="32" s="1"/>
  <c r="D48" i="32"/>
  <c r="B49" i="32"/>
  <c r="C48" i="31" l="1"/>
  <c r="B49" i="31"/>
  <c r="G48" i="31"/>
  <c r="H48" i="31" s="1"/>
  <c r="D48" i="31"/>
  <c r="B50" i="30"/>
  <c r="G49" i="30"/>
  <c r="H49" i="30" s="1"/>
  <c r="D49" i="30"/>
  <c r="C49" i="30"/>
  <c r="G49" i="32"/>
  <c r="H49" i="32" s="1"/>
  <c r="B50" i="32"/>
  <c r="D49" i="32"/>
  <c r="C49" i="32"/>
  <c r="G49" i="31" l="1"/>
  <c r="H49" i="31" s="1"/>
  <c r="D49" i="31"/>
  <c r="C49" i="31"/>
  <c r="B50" i="31"/>
  <c r="C50" i="30"/>
  <c r="B51" i="30"/>
  <c r="D50" i="30"/>
  <c r="G50" i="30"/>
  <c r="H50" i="30" s="1"/>
  <c r="C50" i="32"/>
  <c r="G50" i="32"/>
  <c r="H50" i="32" s="1"/>
  <c r="D50" i="32"/>
  <c r="B51" i="32"/>
  <c r="G50" i="31" l="1"/>
  <c r="H50" i="31" s="1"/>
  <c r="D50" i="31"/>
  <c r="C50" i="31"/>
  <c r="B51" i="31"/>
  <c r="G51" i="30"/>
  <c r="H51" i="30" s="1"/>
  <c r="D51" i="30"/>
  <c r="C51" i="30"/>
  <c r="B52" i="30"/>
  <c r="G51" i="32"/>
  <c r="H51" i="32" s="1"/>
  <c r="B52" i="32"/>
  <c r="D51" i="32"/>
  <c r="C51" i="32"/>
  <c r="B52" i="31" l="1"/>
  <c r="G51" i="31"/>
  <c r="H51" i="31" s="1"/>
  <c r="D51" i="31"/>
  <c r="C51" i="31"/>
  <c r="B53" i="30"/>
  <c r="G52" i="30"/>
  <c r="H52" i="30" s="1"/>
  <c r="D52" i="30"/>
  <c r="C52" i="30"/>
  <c r="C52" i="32"/>
  <c r="G52" i="32"/>
  <c r="H52" i="32" s="1"/>
  <c r="B53" i="32"/>
  <c r="D52" i="32"/>
  <c r="C52" i="31" l="1"/>
  <c r="B53" i="31"/>
  <c r="G52" i="31"/>
  <c r="H52" i="31" s="1"/>
  <c r="D52" i="31"/>
  <c r="C53" i="30"/>
  <c r="B54" i="30"/>
  <c r="D53" i="30"/>
  <c r="G53" i="30"/>
  <c r="H53" i="30" s="1"/>
  <c r="G53" i="32"/>
  <c r="H53" i="32" s="1"/>
  <c r="B54" i="32"/>
  <c r="D53" i="32"/>
  <c r="C53" i="32"/>
  <c r="G53" i="31" l="1"/>
  <c r="H53" i="31" s="1"/>
  <c r="D53" i="31"/>
  <c r="C53" i="31"/>
  <c r="B54" i="31"/>
  <c r="G54" i="30"/>
  <c r="H54" i="30" s="1"/>
  <c r="D54" i="30"/>
  <c r="C54" i="30"/>
  <c r="B55" i="30"/>
  <c r="C54" i="32"/>
  <c r="G54" i="32"/>
  <c r="H54" i="32" s="1"/>
  <c r="B55" i="32"/>
  <c r="D54" i="32"/>
  <c r="G54" i="31" l="1"/>
  <c r="H54" i="31" s="1"/>
  <c r="D54" i="31"/>
  <c r="C54" i="31"/>
  <c r="B55" i="31"/>
  <c r="B56" i="30"/>
  <c r="G55" i="30"/>
  <c r="H55" i="30" s="1"/>
  <c r="D55" i="30"/>
  <c r="C55" i="30"/>
  <c r="G55" i="32"/>
  <c r="H55" i="32" s="1"/>
  <c r="B56" i="32"/>
  <c r="D55" i="32"/>
  <c r="C55" i="32"/>
  <c r="B56" i="31" l="1"/>
  <c r="G55" i="31"/>
  <c r="H55" i="31" s="1"/>
  <c r="C55" i="31"/>
  <c r="D55" i="31"/>
  <c r="C56" i="30"/>
  <c r="B57" i="30"/>
  <c r="D56" i="30"/>
  <c r="G56" i="30"/>
  <c r="H56" i="30" s="1"/>
  <c r="C56" i="32"/>
  <c r="G56" i="32"/>
  <c r="H56" i="32" s="1"/>
  <c r="D56" i="32"/>
  <c r="B57" i="32"/>
  <c r="C56" i="31" l="1"/>
  <c r="B57" i="31"/>
  <c r="G56" i="31"/>
  <c r="H56" i="31" s="1"/>
  <c r="D56" i="31"/>
  <c r="G57" i="30"/>
  <c r="H57" i="30" s="1"/>
  <c r="D57" i="30"/>
  <c r="C57" i="30"/>
  <c r="B58" i="30"/>
  <c r="G57" i="32"/>
  <c r="H57" i="32" s="1"/>
  <c r="B58" i="32"/>
  <c r="D57" i="32"/>
  <c r="C57" i="32"/>
  <c r="G57" i="31" l="1"/>
  <c r="H57" i="31" s="1"/>
  <c r="D57" i="31"/>
  <c r="C57" i="31"/>
  <c r="B58" i="31"/>
  <c r="B59" i="30"/>
  <c r="G58" i="30"/>
  <c r="H58" i="30" s="1"/>
  <c r="D58" i="30"/>
  <c r="C58" i="30"/>
  <c r="C58" i="32"/>
  <c r="G58" i="32"/>
  <c r="H58" i="32" s="1"/>
  <c r="D58" i="32"/>
  <c r="B59" i="32"/>
  <c r="G58" i="31" l="1"/>
  <c r="H58" i="31" s="1"/>
  <c r="D58" i="31"/>
  <c r="C58" i="31"/>
  <c r="B59" i="31"/>
  <c r="C59" i="30"/>
  <c r="B60" i="30"/>
  <c r="D59" i="30"/>
  <c r="G59" i="30"/>
  <c r="H59" i="30" s="1"/>
  <c r="G59" i="32"/>
  <c r="H59" i="32" s="1"/>
  <c r="B60" i="32"/>
  <c r="D59" i="32"/>
  <c r="C59" i="32"/>
  <c r="D59" i="31" l="1"/>
  <c r="B60" i="31"/>
  <c r="G59" i="31"/>
  <c r="H59" i="31" s="1"/>
  <c r="C59" i="31"/>
  <c r="G60" i="30"/>
  <c r="H60" i="30" s="1"/>
  <c r="D60" i="30"/>
  <c r="C60" i="30"/>
  <c r="B61" i="30"/>
  <c r="C60" i="32"/>
  <c r="G60" i="32"/>
  <c r="H60" i="32" s="1"/>
  <c r="B61" i="32"/>
  <c r="D60" i="32"/>
  <c r="C60" i="31" l="1"/>
  <c r="B61" i="31"/>
  <c r="G60" i="31"/>
  <c r="H60" i="31" s="1"/>
  <c r="D60" i="31"/>
  <c r="B62" i="30"/>
  <c r="G61" i="30"/>
  <c r="H61" i="30" s="1"/>
  <c r="D61" i="30"/>
  <c r="C61" i="30"/>
  <c r="G61" i="32"/>
  <c r="H61" i="32" s="1"/>
  <c r="B62" i="32"/>
  <c r="D61" i="32"/>
  <c r="C61" i="32"/>
  <c r="G61" i="31" l="1"/>
  <c r="H61" i="31" s="1"/>
  <c r="D61" i="31"/>
  <c r="C61" i="31"/>
  <c r="B62" i="31"/>
  <c r="D62" i="30"/>
  <c r="C62" i="30"/>
  <c r="B63" i="30"/>
  <c r="G62" i="30"/>
  <c r="H62" i="30" s="1"/>
  <c r="C62" i="32"/>
  <c r="G62" i="32"/>
  <c r="H62" i="32" s="1"/>
  <c r="B63" i="32"/>
  <c r="D62" i="32"/>
  <c r="G62" i="31" l="1"/>
  <c r="H62" i="31" s="1"/>
  <c r="D62" i="31"/>
  <c r="C62" i="31"/>
  <c r="B63" i="31"/>
  <c r="G63" i="30"/>
  <c r="H63" i="30" s="1"/>
  <c r="D63" i="30"/>
  <c r="C63" i="30"/>
  <c r="B64" i="30"/>
  <c r="G63" i="32"/>
  <c r="H63" i="32" s="1"/>
  <c r="B64" i="32"/>
  <c r="D63" i="32"/>
  <c r="C63" i="32"/>
  <c r="D63" i="31" l="1"/>
  <c r="B64" i="31"/>
  <c r="G63" i="31"/>
  <c r="H63" i="31" s="1"/>
  <c r="C63" i="31"/>
  <c r="B65" i="30"/>
  <c r="G64" i="30"/>
  <c r="H64" i="30" s="1"/>
  <c r="D64" i="30"/>
  <c r="C64" i="30"/>
  <c r="C64" i="32"/>
  <c r="G64" i="32"/>
  <c r="H64" i="32" s="1"/>
  <c r="D64" i="32"/>
  <c r="B65" i="32"/>
  <c r="C64" i="31" l="1"/>
  <c r="B65" i="31"/>
  <c r="G64" i="31"/>
  <c r="H64" i="31" s="1"/>
  <c r="D64" i="31"/>
  <c r="D65" i="30"/>
  <c r="C65" i="30"/>
  <c r="G65" i="30"/>
  <c r="H65" i="30" s="1"/>
  <c r="B66" i="30"/>
  <c r="G65" i="32"/>
  <c r="H65" i="32" s="1"/>
  <c r="B66" i="32"/>
  <c r="D65" i="32"/>
  <c r="C65" i="32"/>
  <c r="G65" i="31" l="1"/>
  <c r="H65" i="31" s="1"/>
  <c r="D65" i="31"/>
  <c r="C65" i="31"/>
  <c r="B66" i="31"/>
  <c r="G66" i="30"/>
  <c r="H66" i="30" s="1"/>
  <c r="D66" i="30"/>
  <c r="C66" i="30"/>
  <c r="B67" i="30"/>
  <c r="C66" i="32"/>
  <c r="G66" i="32"/>
  <c r="H66" i="32" s="1"/>
  <c r="D66" i="32"/>
  <c r="B67" i="32"/>
  <c r="G66" i="31" l="1"/>
  <c r="H66" i="31" s="1"/>
  <c r="D66" i="31"/>
  <c r="C66" i="31"/>
  <c r="B67" i="31"/>
  <c r="B68" i="30"/>
  <c r="G67" i="30"/>
  <c r="H67" i="30" s="1"/>
  <c r="D67" i="30"/>
  <c r="C67" i="30"/>
  <c r="G67" i="32"/>
  <c r="H67" i="32" s="1"/>
  <c r="B68" i="32"/>
  <c r="D67" i="32"/>
  <c r="C67" i="32"/>
  <c r="D67" i="31" l="1"/>
  <c r="B68" i="31"/>
  <c r="G67" i="31"/>
  <c r="H67" i="31" s="1"/>
  <c r="C67" i="31"/>
  <c r="D68" i="30"/>
  <c r="C68" i="30"/>
  <c r="G68" i="30"/>
  <c r="H68" i="30" s="1"/>
  <c r="B69" i="30"/>
  <c r="C68" i="32"/>
  <c r="G68" i="32"/>
  <c r="H68" i="32" s="1"/>
  <c r="B69" i="32"/>
  <c r="D68" i="32"/>
  <c r="C68" i="31" l="1"/>
  <c r="B69" i="31"/>
  <c r="G68" i="31"/>
  <c r="H68" i="31" s="1"/>
  <c r="D68" i="31"/>
  <c r="B70" i="30"/>
  <c r="G69" i="30"/>
  <c r="H69" i="30" s="1"/>
  <c r="D69" i="30"/>
  <c r="C69" i="30"/>
  <c r="G69" i="32"/>
  <c r="H69" i="32" s="1"/>
  <c r="B70" i="32"/>
  <c r="D69" i="32"/>
  <c r="C69" i="32"/>
  <c r="G69" i="31" l="1"/>
  <c r="H69" i="31" s="1"/>
  <c r="D69" i="31"/>
  <c r="C69" i="31"/>
  <c r="B70" i="31"/>
  <c r="B71" i="30"/>
  <c r="G70" i="30"/>
  <c r="H70" i="30" s="1"/>
  <c r="D70" i="30"/>
  <c r="C70" i="30"/>
  <c r="C70" i="32"/>
  <c r="G70" i="32"/>
  <c r="H70" i="32" s="1"/>
  <c r="B71" i="32"/>
  <c r="D70" i="32"/>
  <c r="G70" i="31" l="1"/>
  <c r="H70" i="31" s="1"/>
  <c r="D70" i="31"/>
  <c r="C70" i="31"/>
  <c r="B71" i="31"/>
  <c r="D71" i="30"/>
  <c r="C71" i="30"/>
  <c r="G71" i="30"/>
  <c r="H71" i="30" s="1"/>
  <c r="B72" i="30"/>
  <c r="G71" i="32"/>
  <c r="H71" i="32" s="1"/>
  <c r="B72" i="32"/>
  <c r="D71" i="32"/>
  <c r="C71" i="32"/>
  <c r="G71" i="31" l="1"/>
  <c r="H71" i="31" s="1"/>
  <c r="B72" i="31"/>
  <c r="D71" i="31"/>
  <c r="C71" i="31"/>
  <c r="B73" i="30"/>
  <c r="G72" i="30"/>
  <c r="H72" i="30" s="1"/>
  <c r="D72" i="30"/>
  <c r="C72" i="30"/>
  <c r="C72" i="32"/>
  <c r="G72" i="32"/>
  <c r="H72" i="32" s="1"/>
  <c r="D72" i="32"/>
  <c r="B73" i="32"/>
  <c r="B73" i="31" l="1"/>
  <c r="D72" i="31"/>
  <c r="C72" i="31"/>
  <c r="G72" i="31"/>
  <c r="H72" i="31" s="1"/>
  <c r="B74" i="30"/>
  <c r="G73" i="30"/>
  <c r="H73" i="30" s="1"/>
  <c r="D73" i="30"/>
  <c r="C73" i="30"/>
  <c r="G73" i="32"/>
  <c r="H73" i="32" s="1"/>
  <c r="B74" i="32"/>
  <c r="D73" i="32"/>
  <c r="C73" i="32"/>
  <c r="G73" i="31" l="1"/>
  <c r="H73" i="31" s="1"/>
  <c r="D73" i="31"/>
  <c r="C73" i="31"/>
  <c r="B74" i="31"/>
  <c r="G74" i="30"/>
  <c r="H74" i="30" s="1"/>
  <c r="D74" i="30"/>
  <c r="C74" i="30"/>
  <c r="B75" i="30"/>
  <c r="C74" i="32"/>
  <c r="G74" i="32"/>
  <c r="H74" i="32" s="1"/>
  <c r="D74" i="32"/>
  <c r="B75" i="32"/>
  <c r="C74" i="31" l="1"/>
  <c r="B75" i="31"/>
  <c r="G74" i="31"/>
  <c r="H74" i="31" s="1"/>
  <c r="D74" i="31"/>
  <c r="B76" i="30"/>
  <c r="G75" i="30"/>
  <c r="H75" i="30" s="1"/>
  <c r="D75" i="30"/>
  <c r="C75" i="30"/>
  <c r="G75" i="32"/>
  <c r="H75" i="32" s="1"/>
  <c r="B76" i="32"/>
  <c r="D75" i="32"/>
  <c r="C75" i="32"/>
  <c r="G75" i="31" l="1"/>
  <c r="H75" i="31" s="1"/>
  <c r="C75" i="31"/>
  <c r="B76" i="31"/>
  <c r="D75" i="31"/>
  <c r="B77" i="30"/>
  <c r="G76" i="30"/>
  <c r="H76" i="30" s="1"/>
  <c r="D76" i="30"/>
  <c r="C76" i="30"/>
  <c r="C76" i="32"/>
  <c r="G76" i="32"/>
  <c r="H76" i="32" s="1"/>
  <c r="B77" i="32"/>
  <c r="D76" i="32"/>
  <c r="G76" i="31" l="1"/>
  <c r="H76" i="31" s="1"/>
  <c r="D76" i="31"/>
  <c r="B77" i="31"/>
  <c r="C76" i="31"/>
  <c r="G77" i="30"/>
  <c r="H77" i="30" s="1"/>
  <c r="D77" i="30"/>
  <c r="C77" i="30"/>
  <c r="B78" i="30"/>
  <c r="G77" i="32"/>
  <c r="H77" i="32" s="1"/>
  <c r="B78" i="32"/>
  <c r="D77" i="32"/>
  <c r="C77" i="32"/>
  <c r="C77" i="31" l="1"/>
  <c r="B78" i="31"/>
  <c r="D77" i="31"/>
  <c r="G77" i="31"/>
  <c r="H77" i="31" s="1"/>
  <c r="B79" i="30"/>
  <c r="G78" i="30"/>
  <c r="H78" i="30" s="1"/>
  <c r="D78" i="30"/>
  <c r="C78" i="30"/>
  <c r="C78" i="32"/>
  <c r="G78" i="32"/>
  <c r="H78" i="32" s="1"/>
  <c r="B79" i="32"/>
  <c r="D78" i="32"/>
  <c r="C78" i="31" l="1"/>
  <c r="B79" i="31"/>
  <c r="G78" i="31"/>
  <c r="H78" i="31" s="1"/>
  <c r="D78" i="31"/>
  <c r="B80" i="30"/>
  <c r="G79" i="30"/>
  <c r="H79" i="30" s="1"/>
  <c r="D79" i="30"/>
  <c r="C79" i="30"/>
  <c r="G79" i="32"/>
  <c r="H79" i="32" s="1"/>
  <c r="B80" i="32"/>
  <c r="D79" i="32"/>
  <c r="C79" i="32"/>
  <c r="G79" i="31" l="1"/>
  <c r="H79" i="31" s="1"/>
  <c r="C79" i="31"/>
  <c r="D79" i="31"/>
  <c r="B80" i="31"/>
  <c r="G80" i="30"/>
  <c r="H80" i="30" s="1"/>
  <c r="D80" i="30"/>
  <c r="C80" i="30"/>
  <c r="B81" i="30"/>
  <c r="C80" i="32"/>
  <c r="G80" i="32"/>
  <c r="H80" i="32" s="1"/>
  <c r="D80" i="32"/>
  <c r="B81" i="32"/>
  <c r="G80" i="31" l="1"/>
  <c r="H80" i="31" s="1"/>
  <c r="D80" i="31"/>
  <c r="B81" i="31"/>
  <c r="C80" i="31"/>
  <c r="B82" i="30"/>
  <c r="G81" i="30"/>
  <c r="H81" i="30" s="1"/>
  <c r="D81" i="30"/>
  <c r="C81" i="30"/>
  <c r="G81" i="32"/>
  <c r="H81" i="32" s="1"/>
  <c r="B82" i="32"/>
  <c r="D81" i="32"/>
  <c r="C81" i="32"/>
  <c r="C81" i="31" l="1"/>
  <c r="G81" i="31"/>
  <c r="H81" i="31" s="1"/>
  <c r="D81" i="31"/>
  <c r="B82" i="31"/>
  <c r="C82" i="30"/>
  <c r="B83" i="30"/>
  <c r="G82" i="30"/>
  <c r="H82" i="30" s="1"/>
  <c r="D82" i="30"/>
  <c r="C82" i="32"/>
  <c r="G82" i="32"/>
  <c r="H82" i="32" s="1"/>
  <c r="D82" i="32"/>
  <c r="B83" i="32"/>
  <c r="C82" i="31" l="1"/>
  <c r="B83" i="31"/>
  <c r="G82" i="31"/>
  <c r="H82" i="31" s="1"/>
  <c r="D82" i="31"/>
  <c r="G83" i="30"/>
  <c r="H83" i="30" s="1"/>
  <c r="D83" i="30"/>
  <c r="C83" i="30"/>
  <c r="B84" i="30"/>
  <c r="G83" i="32"/>
  <c r="H83" i="32" s="1"/>
  <c r="B84" i="32"/>
  <c r="D83" i="32"/>
  <c r="C83" i="32"/>
  <c r="G83" i="31" l="1"/>
  <c r="H83" i="31" s="1"/>
  <c r="C83" i="31"/>
  <c r="B84" i="31"/>
  <c r="D83" i="31"/>
  <c r="B85" i="30"/>
  <c r="G84" i="30"/>
  <c r="H84" i="30" s="1"/>
  <c r="C84" i="30"/>
  <c r="D84" i="30"/>
  <c r="C84" i="32"/>
  <c r="G84" i="32"/>
  <c r="H84" i="32" s="1"/>
  <c r="B85" i="32"/>
  <c r="D84" i="32"/>
  <c r="G84" i="31" l="1"/>
  <c r="H84" i="31" s="1"/>
  <c r="D84" i="31"/>
  <c r="B85" i="31"/>
  <c r="C84" i="31"/>
  <c r="D85" i="30"/>
  <c r="C85" i="30"/>
  <c r="B86" i="30"/>
  <c r="G85" i="30"/>
  <c r="H85" i="30" s="1"/>
  <c r="G85" i="32"/>
  <c r="H85" i="32" s="1"/>
  <c r="B86" i="32"/>
  <c r="D85" i="32"/>
  <c r="C85" i="32"/>
  <c r="C85" i="31" l="1"/>
  <c r="B86" i="31"/>
  <c r="D85" i="31"/>
  <c r="G85" i="31"/>
  <c r="H85" i="31" s="1"/>
  <c r="B87" i="30"/>
  <c r="G86" i="30"/>
  <c r="H86" i="30" s="1"/>
  <c r="D86" i="30"/>
  <c r="C86" i="30"/>
  <c r="C86" i="32"/>
  <c r="G86" i="32"/>
  <c r="H86" i="32" s="1"/>
  <c r="B87" i="32"/>
  <c r="D86" i="32"/>
  <c r="C86" i="31" l="1"/>
  <c r="B87" i="31"/>
  <c r="G86" i="31"/>
  <c r="H86" i="31" s="1"/>
  <c r="D86" i="31"/>
  <c r="B88" i="30"/>
  <c r="D87" i="30"/>
  <c r="C87" i="30"/>
  <c r="G87" i="30"/>
  <c r="H87" i="30" s="1"/>
  <c r="G87" i="32"/>
  <c r="H87" i="32" s="1"/>
  <c r="B88" i="32"/>
  <c r="D87" i="32"/>
  <c r="C87" i="32"/>
  <c r="G87" i="31" l="1"/>
  <c r="H87" i="31" s="1"/>
  <c r="C87" i="31"/>
  <c r="D87" i="31"/>
  <c r="B88" i="31"/>
  <c r="G88" i="30"/>
  <c r="H88" i="30" s="1"/>
  <c r="D88" i="30"/>
  <c r="C88" i="30"/>
  <c r="B89" i="30"/>
  <c r="C88" i="32"/>
  <c r="G88" i="32"/>
  <c r="H88" i="32" s="1"/>
  <c r="D88" i="32"/>
  <c r="B89" i="32"/>
  <c r="G88" i="31" l="1"/>
  <c r="H88" i="31" s="1"/>
  <c r="D88" i="31"/>
  <c r="B89" i="31"/>
  <c r="C88" i="31"/>
  <c r="B90" i="30"/>
  <c r="G89" i="30"/>
  <c r="H89" i="30" s="1"/>
  <c r="D89" i="30"/>
  <c r="C89" i="30"/>
  <c r="B90" i="32"/>
  <c r="D89" i="32"/>
  <c r="G89" i="32"/>
  <c r="H89" i="32" s="1"/>
  <c r="C89" i="32"/>
  <c r="C89" i="31" l="1"/>
  <c r="G89" i="31"/>
  <c r="H89" i="31" s="1"/>
  <c r="D89" i="31"/>
  <c r="B90" i="31"/>
  <c r="C90" i="30"/>
  <c r="B91" i="30"/>
  <c r="G90" i="30"/>
  <c r="H90" i="30" s="1"/>
  <c r="D90" i="30"/>
  <c r="G90" i="32"/>
  <c r="H90" i="32" s="1"/>
  <c r="D90" i="32"/>
  <c r="B91" i="32"/>
  <c r="C90" i="32"/>
  <c r="C90" i="31" l="1"/>
  <c r="B91" i="31"/>
  <c r="G90" i="31"/>
  <c r="H90" i="31" s="1"/>
  <c r="D90" i="31"/>
  <c r="G91" i="30"/>
  <c r="H91" i="30" s="1"/>
  <c r="D91" i="30"/>
  <c r="C91" i="30"/>
  <c r="B92" i="30"/>
  <c r="B92" i="32"/>
  <c r="D91" i="32"/>
  <c r="G91" i="32"/>
  <c r="H91" i="32" s="1"/>
  <c r="C91" i="32"/>
  <c r="G91" i="31" l="1"/>
  <c r="H91" i="31" s="1"/>
  <c r="C91" i="31"/>
  <c r="B92" i="31"/>
  <c r="D91" i="31"/>
  <c r="B93" i="30"/>
  <c r="G92" i="30"/>
  <c r="H92" i="30" s="1"/>
  <c r="D92" i="30"/>
  <c r="C92" i="30"/>
  <c r="D92" i="32"/>
  <c r="B93" i="32"/>
  <c r="C92" i="32"/>
  <c r="G92" i="32"/>
  <c r="H92" i="32" s="1"/>
  <c r="G92" i="31" l="1"/>
  <c r="H92" i="31" s="1"/>
  <c r="D92" i="31"/>
  <c r="B93" i="31"/>
  <c r="C92" i="31"/>
  <c r="D93" i="30"/>
  <c r="C93" i="30"/>
  <c r="G93" i="30"/>
  <c r="H93" i="30" s="1"/>
  <c r="B94" i="30"/>
  <c r="B94" i="32"/>
  <c r="D93" i="32"/>
  <c r="C93" i="32"/>
  <c r="G93" i="32"/>
  <c r="H93" i="32" s="1"/>
  <c r="C93" i="31" l="1"/>
  <c r="B94" i="31"/>
  <c r="D93" i="31"/>
  <c r="G93" i="31"/>
  <c r="H93" i="31" s="1"/>
  <c r="B95" i="30"/>
  <c r="G94" i="30"/>
  <c r="H94" i="30" s="1"/>
  <c r="D94" i="30"/>
  <c r="C94" i="30"/>
  <c r="B95" i="32"/>
  <c r="C94" i="32"/>
  <c r="G94" i="32"/>
  <c r="H94" i="32" s="1"/>
  <c r="D94" i="32"/>
  <c r="C94" i="31" l="1"/>
  <c r="B95" i="31"/>
  <c r="G94" i="31"/>
  <c r="H94" i="31" s="1"/>
  <c r="D94" i="31"/>
  <c r="B96" i="30"/>
  <c r="G95" i="30"/>
  <c r="H95" i="30" s="1"/>
  <c r="D95" i="30"/>
  <c r="C95" i="30"/>
  <c r="B96" i="32"/>
  <c r="D95" i="32"/>
  <c r="G95" i="32"/>
  <c r="H95" i="32" s="1"/>
  <c r="C95" i="32"/>
  <c r="G95" i="31" l="1"/>
  <c r="H95" i="31" s="1"/>
  <c r="C95" i="31"/>
  <c r="D95" i="31"/>
  <c r="B96" i="31"/>
  <c r="G96" i="30"/>
  <c r="H96" i="30" s="1"/>
  <c r="D96" i="30"/>
  <c r="C96" i="30"/>
  <c r="B97" i="30"/>
  <c r="G96" i="32"/>
  <c r="H96" i="32" s="1"/>
  <c r="D96" i="32"/>
  <c r="B97" i="32"/>
  <c r="C96" i="32"/>
  <c r="G96" i="31" l="1"/>
  <c r="H96" i="31" s="1"/>
  <c r="D96" i="31"/>
  <c r="B97" i="31"/>
  <c r="C96" i="31"/>
  <c r="B98" i="30"/>
  <c r="G97" i="30"/>
  <c r="H97" i="30" s="1"/>
  <c r="D97" i="30"/>
  <c r="C97" i="30"/>
  <c r="B98" i="32"/>
  <c r="D97" i="32"/>
  <c r="G97" i="32"/>
  <c r="H97" i="32" s="1"/>
  <c r="C97" i="32"/>
  <c r="C97" i="31" l="1"/>
  <c r="G97" i="31"/>
  <c r="H97" i="31" s="1"/>
  <c r="D97" i="31"/>
  <c r="B98" i="31"/>
  <c r="C98" i="30"/>
  <c r="B99" i="30"/>
  <c r="G98" i="30"/>
  <c r="H98" i="30" s="1"/>
  <c r="D98" i="30"/>
  <c r="G98" i="32"/>
  <c r="H98" i="32" s="1"/>
  <c r="D98" i="32"/>
  <c r="B99" i="32"/>
  <c r="C98" i="32"/>
  <c r="C98" i="31" l="1"/>
  <c r="B99" i="31"/>
  <c r="G98" i="31"/>
  <c r="H98" i="31" s="1"/>
  <c r="D98" i="31"/>
  <c r="G99" i="30"/>
  <c r="H99" i="30" s="1"/>
  <c r="D99" i="30"/>
  <c r="C99" i="30"/>
  <c r="B100" i="30"/>
  <c r="B100" i="32"/>
  <c r="D99" i="32"/>
  <c r="G99" i="32"/>
  <c r="H99" i="32" s="1"/>
  <c r="C99" i="32"/>
  <c r="G99" i="31" l="1"/>
  <c r="H99" i="31" s="1"/>
  <c r="C99" i="31"/>
  <c r="B100" i="31"/>
  <c r="D99" i="31"/>
  <c r="B101" i="30"/>
  <c r="G100" i="30"/>
  <c r="H100" i="30" s="1"/>
  <c r="C100" i="30"/>
  <c r="D100" i="30"/>
  <c r="D100" i="32"/>
  <c r="B101" i="32"/>
  <c r="C100" i="32"/>
  <c r="G100" i="32"/>
  <c r="H100" i="32" s="1"/>
  <c r="G100" i="31" l="1"/>
  <c r="H100" i="31" s="1"/>
  <c r="D100" i="31"/>
  <c r="B101" i="31"/>
  <c r="C100" i="31"/>
  <c r="D101" i="30"/>
  <c r="C101" i="30"/>
  <c r="B102" i="30"/>
  <c r="G101" i="30"/>
  <c r="H101" i="30" s="1"/>
  <c r="B102" i="32"/>
  <c r="D101" i="32"/>
  <c r="C101" i="32"/>
  <c r="G101" i="32"/>
  <c r="H101" i="32" s="1"/>
  <c r="C101" i="31" l="1"/>
  <c r="B102" i="31"/>
  <c r="D101" i="31"/>
  <c r="G101" i="31"/>
  <c r="H101" i="31" s="1"/>
  <c r="B103" i="30"/>
  <c r="G102" i="30"/>
  <c r="H102" i="30" s="1"/>
  <c r="D102" i="30"/>
  <c r="C102" i="30"/>
  <c r="B103" i="32"/>
  <c r="D102" i="32"/>
  <c r="G102" i="32"/>
  <c r="H102" i="32" s="1"/>
  <c r="C102" i="32"/>
  <c r="C102" i="31" l="1"/>
  <c r="B103" i="31"/>
  <c r="G102" i="31"/>
  <c r="H102" i="31" s="1"/>
  <c r="D102" i="31"/>
  <c r="B104" i="30"/>
  <c r="D103" i="30"/>
  <c r="C103" i="30"/>
  <c r="G103" i="30"/>
  <c r="H103" i="30" s="1"/>
  <c r="B104" i="32"/>
  <c r="D103" i="32"/>
  <c r="G103" i="32"/>
  <c r="H103" i="32" s="1"/>
  <c r="C103" i="32"/>
  <c r="G103" i="31" l="1"/>
  <c r="H103" i="31" s="1"/>
  <c r="C103" i="31"/>
  <c r="D103" i="31"/>
  <c r="B104" i="31"/>
  <c r="G104" i="30"/>
  <c r="H104" i="30" s="1"/>
  <c r="D104" i="30"/>
  <c r="C104" i="30"/>
  <c r="B105" i="30"/>
  <c r="B105" i="32"/>
  <c r="D104" i="32"/>
  <c r="G104" i="32"/>
  <c r="H104" i="32" s="1"/>
  <c r="C104" i="32"/>
  <c r="G104" i="31" l="1"/>
  <c r="H104" i="31" s="1"/>
  <c r="D104" i="31"/>
  <c r="C104" i="31"/>
  <c r="B105" i="31"/>
  <c r="B106" i="30"/>
  <c r="G105" i="30"/>
  <c r="H105" i="30" s="1"/>
  <c r="D105" i="30"/>
  <c r="C105" i="30"/>
  <c r="B106" i="32"/>
  <c r="D105" i="32"/>
  <c r="C105" i="32"/>
  <c r="G105" i="32"/>
  <c r="H105" i="32" s="1"/>
  <c r="G105" i="31" l="1"/>
  <c r="H105" i="31" s="1"/>
  <c r="C105" i="31"/>
  <c r="B106" i="31"/>
  <c r="D105" i="31"/>
  <c r="C106" i="30"/>
  <c r="B107" i="30"/>
  <c r="G106" i="30"/>
  <c r="H106" i="30" s="1"/>
  <c r="D106" i="30"/>
  <c r="B107" i="32"/>
  <c r="D106" i="32"/>
  <c r="G106" i="32"/>
  <c r="H106" i="32" s="1"/>
  <c r="C106" i="32"/>
  <c r="C106" i="31" l="1"/>
  <c r="B107" i="31"/>
  <c r="G106" i="31"/>
  <c r="H106" i="31" s="1"/>
  <c r="D106" i="31"/>
  <c r="G107" i="30"/>
  <c r="H107" i="30" s="1"/>
  <c r="D107" i="30"/>
  <c r="C107" i="30"/>
  <c r="B108" i="30"/>
  <c r="B108" i="32"/>
  <c r="D107" i="32"/>
  <c r="G107" i="32"/>
  <c r="H107" i="32" s="1"/>
  <c r="C107" i="32"/>
  <c r="G107" i="31" l="1"/>
  <c r="H107" i="31" s="1"/>
  <c r="C107" i="31"/>
  <c r="B108" i="31"/>
  <c r="D107" i="31"/>
  <c r="B109" i="30"/>
  <c r="G108" i="30"/>
  <c r="H108" i="30" s="1"/>
  <c r="D108" i="30"/>
  <c r="C108" i="30"/>
  <c r="B109" i="32"/>
  <c r="D108" i="32"/>
  <c r="G108" i="32"/>
  <c r="H108" i="32" s="1"/>
  <c r="C108" i="32"/>
  <c r="G108" i="31" l="1"/>
  <c r="H108" i="31" s="1"/>
  <c r="D108" i="31"/>
  <c r="C108" i="31"/>
  <c r="B109" i="31"/>
  <c r="D109" i="30"/>
  <c r="C109" i="30"/>
  <c r="G109" i="30"/>
  <c r="H109" i="30" s="1"/>
  <c r="B110" i="30"/>
  <c r="B110" i="32"/>
  <c r="D109" i="32"/>
  <c r="C109" i="32"/>
  <c r="G109" i="32"/>
  <c r="H109" i="32" s="1"/>
  <c r="G109" i="31" l="1"/>
  <c r="H109" i="31" s="1"/>
  <c r="C109" i="31"/>
  <c r="D109" i="31"/>
  <c r="B110" i="31"/>
  <c r="B111" i="30"/>
  <c r="G110" i="30"/>
  <c r="H110" i="30" s="1"/>
  <c r="D110" i="30"/>
  <c r="C110" i="30"/>
  <c r="B111" i="32"/>
  <c r="D110" i="32"/>
  <c r="G110" i="32"/>
  <c r="H110" i="32" s="1"/>
  <c r="C110" i="32"/>
  <c r="C110" i="31" l="1"/>
  <c r="B111" i="31"/>
  <c r="G110" i="31"/>
  <c r="H110" i="31" s="1"/>
  <c r="D110" i="31"/>
  <c r="B112" i="30"/>
  <c r="G111" i="30"/>
  <c r="H111" i="30" s="1"/>
  <c r="D111" i="30"/>
  <c r="C111" i="30"/>
  <c r="B112" i="32"/>
  <c r="D111" i="32"/>
  <c r="G111" i="32"/>
  <c r="H111" i="32" s="1"/>
  <c r="C111" i="32"/>
  <c r="G111" i="31" l="1"/>
  <c r="H111" i="31" s="1"/>
  <c r="C111" i="31"/>
  <c r="B112" i="31"/>
  <c r="D111" i="31"/>
  <c r="G112" i="30"/>
  <c r="H112" i="30" s="1"/>
  <c r="D112" i="30"/>
  <c r="C112" i="30"/>
  <c r="B113" i="30"/>
  <c r="B113" i="32"/>
  <c r="D112" i="32"/>
  <c r="G112" i="32"/>
  <c r="H112" i="32" s="1"/>
  <c r="C112" i="32"/>
  <c r="G112" i="31" l="1"/>
  <c r="H112" i="31" s="1"/>
  <c r="D112" i="31"/>
  <c r="C112" i="31"/>
  <c r="B113" i="31"/>
  <c r="B114" i="30"/>
  <c r="G113" i="30"/>
  <c r="H113" i="30" s="1"/>
  <c r="D113" i="30"/>
  <c r="C113" i="30"/>
  <c r="B114" i="32"/>
  <c r="D113" i="32"/>
  <c r="C113" i="32"/>
  <c r="G113" i="32"/>
  <c r="H113" i="32" s="1"/>
  <c r="G113" i="31" l="1"/>
  <c r="H113" i="31" s="1"/>
  <c r="C113" i="31"/>
  <c r="B114" i="31"/>
  <c r="D113" i="31"/>
  <c r="C114" i="30"/>
  <c r="B115" i="30"/>
  <c r="G114" i="30"/>
  <c r="H114" i="30" s="1"/>
  <c r="D114" i="30"/>
  <c r="B115" i="32"/>
  <c r="D114" i="32"/>
  <c r="G114" i="32"/>
  <c r="H114" i="32" s="1"/>
  <c r="C114" i="32"/>
  <c r="C114" i="31" l="1"/>
  <c r="B115" i="31"/>
  <c r="G114" i="31"/>
  <c r="H114" i="31" s="1"/>
  <c r="D114" i="31"/>
  <c r="G115" i="30"/>
  <c r="H115" i="30" s="1"/>
  <c r="D115" i="30"/>
  <c r="C115" i="30"/>
  <c r="B116" i="30"/>
  <c r="B116" i="32"/>
  <c r="D115" i="32"/>
  <c r="G115" i="32"/>
  <c r="H115" i="32" s="1"/>
  <c r="C115" i="32"/>
  <c r="G115" i="31" l="1"/>
  <c r="H115" i="31" s="1"/>
  <c r="C115" i="31"/>
  <c r="B116" i="31"/>
  <c r="D115" i="31"/>
  <c r="B117" i="30"/>
  <c r="G116" i="30"/>
  <c r="H116" i="30" s="1"/>
  <c r="C116" i="30"/>
  <c r="D116" i="30"/>
  <c r="B117" i="32"/>
  <c r="D116" i="32"/>
  <c r="G116" i="32"/>
  <c r="H116" i="32" s="1"/>
  <c r="C116" i="32"/>
  <c r="G116" i="31" l="1"/>
  <c r="H116" i="31" s="1"/>
  <c r="D116" i="31"/>
  <c r="C116" i="31"/>
  <c r="B117" i="31"/>
  <c r="D117" i="30"/>
  <c r="C117" i="30"/>
  <c r="B118" i="30"/>
  <c r="G117" i="30"/>
  <c r="H117" i="30" s="1"/>
  <c r="B118" i="32"/>
  <c r="D117" i="32"/>
  <c r="C117" i="32"/>
  <c r="G117" i="32"/>
  <c r="H117" i="32" s="1"/>
  <c r="G117" i="31" l="1"/>
  <c r="H117" i="31" s="1"/>
  <c r="C117" i="31"/>
  <c r="D117" i="31"/>
  <c r="B118" i="31"/>
  <c r="B119" i="30"/>
  <c r="G118" i="30"/>
  <c r="H118" i="30" s="1"/>
  <c r="D118" i="30"/>
  <c r="C118" i="30"/>
  <c r="B119" i="32"/>
  <c r="D118" i="32"/>
  <c r="G118" i="32"/>
  <c r="H118" i="32" s="1"/>
  <c r="C118" i="32"/>
  <c r="C118" i="31" l="1"/>
  <c r="B119" i="31"/>
  <c r="G118" i="31"/>
  <c r="H118" i="31" s="1"/>
  <c r="D118" i="31"/>
  <c r="B120" i="30"/>
  <c r="D119" i="30"/>
  <c r="C119" i="30"/>
  <c r="G119" i="30"/>
  <c r="H119" i="30" s="1"/>
  <c r="B120" i="32"/>
  <c r="D119" i="32"/>
  <c r="G119" i="32"/>
  <c r="H119" i="32" s="1"/>
  <c r="C119" i="32"/>
  <c r="G119" i="31" l="1"/>
  <c r="H119" i="31" s="1"/>
  <c r="C119" i="31"/>
  <c r="D119" i="31"/>
  <c r="B120" i="31"/>
  <c r="G120" i="30"/>
  <c r="H120" i="30" s="1"/>
  <c r="D120" i="30"/>
  <c r="C120" i="30"/>
  <c r="B121" i="30"/>
  <c r="B121" i="32"/>
  <c r="D120" i="32"/>
  <c r="G120" i="32"/>
  <c r="H120" i="32" s="1"/>
  <c r="C120" i="32"/>
  <c r="G120" i="31" l="1"/>
  <c r="H120" i="31" s="1"/>
  <c r="D120" i="31"/>
  <c r="C120" i="31"/>
  <c r="B121" i="31"/>
  <c r="B122" i="30"/>
  <c r="G121" i="30"/>
  <c r="H121" i="30" s="1"/>
  <c r="D121" i="30"/>
  <c r="C121" i="30"/>
  <c r="B122" i="32"/>
  <c r="D121" i="32"/>
  <c r="C121" i="32"/>
  <c r="G121" i="32"/>
  <c r="H121" i="32" s="1"/>
  <c r="G121" i="31" l="1"/>
  <c r="H121" i="31" s="1"/>
  <c r="C121" i="31"/>
  <c r="B122" i="31"/>
  <c r="D121" i="31"/>
  <c r="C122" i="30"/>
  <c r="B123" i="30"/>
  <c r="G122" i="30"/>
  <c r="H122" i="30" s="1"/>
  <c r="D122" i="30"/>
  <c r="B123" i="32"/>
  <c r="D122" i="32"/>
  <c r="G122" i="32"/>
  <c r="H122" i="32" s="1"/>
  <c r="C122" i="32"/>
  <c r="C122" i="31" l="1"/>
  <c r="B123" i="31"/>
  <c r="G122" i="31"/>
  <c r="H122" i="31" s="1"/>
  <c r="D122" i="31"/>
  <c r="G123" i="30"/>
  <c r="H123" i="30" s="1"/>
  <c r="D123" i="30"/>
  <c r="C123" i="30"/>
  <c r="B124" i="30"/>
  <c r="B124" i="32"/>
  <c r="D123" i="32"/>
  <c r="G123" i="32"/>
  <c r="H123" i="32" s="1"/>
  <c r="C123" i="32"/>
  <c r="G123" i="31" l="1"/>
  <c r="H123" i="31" s="1"/>
  <c r="C123" i="31"/>
  <c r="B124" i="31"/>
  <c r="D123" i="31"/>
  <c r="B125" i="30"/>
  <c r="G124" i="30"/>
  <c r="H124" i="30" s="1"/>
  <c r="D124" i="30"/>
  <c r="C124" i="30"/>
  <c r="B125" i="32"/>
  <c r="D124" i="32"/>
  <c r="G124" i="32"/>
  <c r="H124" i="32" s="1"/>
  <c r="C124" i="32"/>
  <c r="G124" i="31" l="1"/>
  <c r="H124" i="31" s="1"/>
  <c r="D124" i="31"/>
  <c r="C124" i="31"/>
  <c r="B125" i="31"/>
  <c r="D125" i="30"/>
  <c r="C125" i="30"/>
  <c r="G125" i="30"/>
  <c r="H125" i="30" s="1"/>
  <c r="B126" i="30"/>
  <c r="B126" i="32"/>
  <c r="D125" i="32"/>
  <c r="C125" i="32"/>
  <c r="G125" i="32"/>
  <c r="H125" i="32" s="1"/>
  <c r="G125" i="31" l="1"/>
  <c r="H125" i="31" s="1"/>
  <c r="C125" i="31"/>
  <c r="D125" i="31"/>
  <c r="B126" i="31"/>
  <c r="B127" i="30"/>
  <c r="G126" i="30"/>
  <c r="H126" i="30" s="1"/>
  <c r="D126" i="30"/>
  <c r="C126" i="30"/>
  <c r="B127" i="32"/>
  <c r="D126" i="32"/>
  <c r="G126" i="32"/>
  <c r="H126" i="32" s="1"/>
  <c r="C126" i="32"/>
  <c r="C126" i="31" l="1"/>
  <c r="B127" i="31"/>
  <c r="G126" i="31"/>
  <c r="H126" i="31" s="1"/>
  <c r="D126" i="31"/>
  <c r="B128" i="30"/>
  <c r="G127" i="30"/>
  <c r="H127" i="30" s="1"/>
  <c r="D127" i="30"/>
  <c r="C127" i="30"/>
  <c r="B128" i="32"/>
  <c r="D127" i="32"/>
  <c r="G127" i="32"/>
  <c r="H127" i="32" s="1"/>
  <c r="C127" i="32"/>
  <c r="G127" i="31" l="1"/>
  <c r="H127" i="31" s="1"/>
  <c r="C127" i="31"/>
  <c r="B128" i="31"/>
  <c r="D127" i="31"/>
  <c r="G128" i="30"/>
  <c r="H128" i="30" s="1"/>
  <c r="D128" i="30"/>
  <c r="C128" i="30"/>
  <c r="B129" i="30"/>
  <c r="G128" i="32"/>
  <c r="H128" i="32" s="1"/>
  <c r="B129" i="32"/>
  <c r="D128" i="32"/>
  <c r="C128" i="32"/>
  <c r="G128" i="31" l="1"/>
  <c r="H128" i="31" s="1"/>
  <c r="D128" i="31"/>
  <c r="C128" i="31"/>
  <c r="B129" i="31"/>
  <c r="B130" i="30"/>
  <c r="G129" i="30"/>
  <c r="H129" i="30" s="1"/>
  <c r="D129" i="30"/>
  <c r="C129" i="30"/>
  <c r="G129" i="32"/>
  <c r="H129" i="32" s="1"/>
  <c r="D129" i="32"/>
  <c r="C129" i="32"/>
  <c r="B130" i="32"/>
  <c r="G129" i="31" l="1"/>
  <c r="H129" i="31" s="1"/>
  <c r="C129" i="31"/>
  <c r="B130" i="31"/>
  <c r="D129" i="31"/>
  <c r="C130" i="30"/>
  <c r="B131" i="30"/>
  <c r="G130" i="30"/>
  <c r="H130" i="30" s="1"/>
  <c r="D130" i="30"/>
  <c r="B131" i="32"/>
  <c r="D130" i="32"/>
  <c r="C130" i="32"/>
  <c r="G130" i="32"/>
  <c r="H130" i="32" s="1"/>
  <c r="C130" i="31" l="1"/>
  <c r="B131" i="31"/>
  <c r="G130" i="31"/>
  <c r="H130" i="31" s="1"/>
  <c r="D130" i="31"/>
  <c r="B132" i="30"/>
  <c r="G131" i="30"/>
  <c r="H131" i="30" s="1"/>
  <c r="D131" i="30"/>
  <c r="C131" i="30"/>
  <c r="G131" i="32"/>
  <c r="H131" i="32" s="1"/>
  <c r="D131" i="32"/>
  <c r="C131" i="32"/>
  <c r="B132" i="32"/>
  <c r="G131" i="31" l="1"/>
  <c r="H131" i="31" s="1"/>
  <c r="C131" i="31"/>
  <c r="B132" i="31"/>
  <c r="D131" i="31"/>
  <c r="B133" i="30"/>
  <c r="G132" i="30"/>
  <c r="H132" i="30" s="1"/>
  <c r="D132" i="30"/>
  <c r="C132" i="30"/>
  <c r="B133" i="32"/>
  <c r="D132" i="32"/>
  <c r="C132" i="32"/>
  <c r="G132" i="32"/>
  <c r="H132" i="32" s="1"/>
  <c r="G132" i="31" l="1"/>
  <c r="H132" i="31" s="1"/>
  <c r="D132" i="31"/>
  <c r="C132" i="31"/>
  <c r="B133" i="31"/>
  <c r="G133" i="30"/>
  <c r="H133" i="30" s="1"/>
  <c r="D133" i="30"/>
  <c r="C133" i="30"/>
  <c r="B134" i="30"/>
  <c r="G133" i="32"/>
  <c r="H133" i="32" s="1"/>
  <c r="B134" i="32"/>
  <c r="D133" i="32"/>
  <c r="C133" i="32"/>
  <c r="G133" i="31" l="1"/>
  <c r="H133" i="31" s="1"/>
  <c r="C133" i="31"/>
  <c r="B134" i="31"/>
  <c r="D133" i="31"/>
  <c r="B135" i="30"/>
  <c r="G134" i="30"/>
  <c r="H134" i="30" s="1"/>
  <c r="D134" i="30"/>
  <c r="C134" i="30"/>
  <c r="B135" i="32"/>
  <c r="D134" i="32"/>
  <c r="C134" i="32"/>
  <c r="G134" i="32"/>
  <c r="H134" i="32" s="1"/>
  <c r="C134" i="31" l="1"/>
  <c r="B135" i="31"/>
  <c r="G134" i="31"/>
  <c r="H134" i="31" s="1"/>
  <c r="D134" i="31"/>
  <c r="C135" i="30"/>
  <c r="B136" i="30"/>
  <c r="G135" i="30"/>
  <c r="H135" i="30" s="1"/>
  <c r="D135" i="30"/>
  <c r="G135" i="32"/>
  <c r="H135" i="32" s="1"/>
  <c r="C135" i="32"/>
  <c r="B136" i="32"/>
  <c r="D135" i="32"/>
  <c r="G135" i="31" l="1"/>
  <c r="H135" i="31" s="1"/>
  <c r="C135" i="31"/>
  <c r="D135" i="31"/>
  <c r="B136" i="31"/>
  <c r="G136" i="30"/>
  <c r="H136" i="30" s="1"/>
  <c r="D136" i="30"/>
  <c r="C136" i="30"/>
  <c r="B137" i="30"/>
  <c r="B137" i="32"/>
  <c r="D136" i="32"/>
  <c r="C136" i="32"/>
  <c r="G136" i="32"/>
  <c r="H136" i="32" s="1"/>
  <c r="G136" i="31" l="1"/>
  <c r="H136" i="31" s="1"/>
  <c r="D136" i="31"/>
  <c r="C136" i="31"/>
  <c r="B137" i="31"/>
  <c r="B138" i="30"/>
  <c r="G137" i="30"/>
  <c r="H137" i="30" s="1"/>
  <c r="D137" i="30"/>
  <c r="C137" i="30"/>
  <c r="G137" i="32"/>
  <c r="H137" i="32" s="1"/>
  <c r="D137" i="32"/>
  <c r="C137" i="32"/>
  <c r="B138" i="32"/>
  <c r="G137" i="31" l="1"/>
  <c r="H137" i="31" s="1"/>
  <c r="C137" i="31"/>
  <c r="B138" i="31"/>
  <c r="D137" i="31"/>
  <c r="D138" i="30"/>
  <c r="C138" i="30"/>
  <c r="B139" i="30"/>
  <c r="G138" i="30"/>
  <c r="H138" i="30" s="1"/>
  <c r="B139" i="32"/>
  <c r="D138" i="32"/>
  <c r="C138" i="32"/>
  <c r="G138" i="32"/>
  <c r="H138" i="32" s="1"/>
  <c r="C138" i="31" l="1"/>
  <c r="B139" i="31"/>
  <c r="G138" i="31"/>
  <c r="H138" i="31" s="1"/>
  <c r="D138" i="31"/>
  <c r="B140" i="30"/>
  <c r="G139" i="30"/>
  <c r="H139" i="30" s="1"/>
  <c r="D139" i="30"/>
  <c r="C139" i="30"/>
  <c r="G139" i="32"/>
  <c r="H139" i="32" s="1"/>
  <c r="D139" i="32"/>
  <c r="C139" i="32"/>
  <c r="B140" i="32"/>
  <c r="G139" i="31" l="1"/>
  <c r="H139" i="31" s="1"/>
  <c r="C139" i="31"/>
  <c r="B140" i="31"/>
  <c r="D139" i="31"/>
  <c r="B141" i="30"/>
  <c r="G140" i="30"/>
  <c r="H140" i="30" s="1"/>
  <c r="D140" i="30"/>
  <c r="C140" i="30"/>
  <c r="B141" i="32"/>
  <c r="D140" i="32"/>
  <c r="C140" i="32"/>
  <c r="G140" i="32"/>
  <c r="H140" i="32" s="1"/>
  <c r="G140" i="31" l="1"/>
  <c r="H140" i="31" s="1"/>
  <c r="D140" i="31"/>
  <c r="C140" i="31"/>
  <c r="B141" i="31"/>
  <c r="G141" i="30"/>
  <c r="H141" i="30" s="1"/>
  <c r="D141" i="30"/>
  <c r="C141" i="30"/>
  <c r="B142" i="30"/>
  <c r="G141" i="32"/>
  <c r="H141" i="32" s="1"/>
  <c r="B142" i="32"/>
  <c r="D141" i="32"/>
  <c r="C141" i="32"/>
  <c r="G141" i="31" l="1"/>
  <c r="H141" i="31" s="1"/>
  <c r="C141" i="31"/>
  <c r="D141" i="31"/>
  <c r="B142" i="31"/>
  <c r="B143" i="30"/>
  <c r="G142" i="30"/>
  <c r="H142" i="30" s="1"/>
  <c r="D142" i="30"/>
  <c r="C142" i="30"/>
  <c r="B143" i="32"/>
  <c r="D142" i="32"/>
  <c r="C142" i="32"/>
  <c r="G142" i="32"/>
  <c r="H142" i="32" s="1"/>
  <c r="C142" i="31" l="1"/>
  <c r="B143" i="31"/>
  <c r="G142" i="31"/>
  <c r="H142" i="31" s="1"/>
  <c r="D142" i="31"/>
  <c r="C143" i="30"/>
  <c r="B144" i="30"/>
  <c r="G143" i="30"/>
  <c r="H143" i="30" s="1"/>
  <c r="D143" i="30"/>
  <c r="G143" i="32"/>
  <c r="H143" i="32" s="1"/>
  <c r="C143" i="32"/>
  <c r="B144" i="32"/>
  <c r="D143" i="32"/>
  <c r="G143" i="31" l="1"/>
  <c r="H143" i="31" s="1"/>
  <c r="C143" i="31"/>
  <c r="B144" i="31"/>
  <c r="D143" i="31"/>
  <c r="G144" i="30"/>
  <c r="H144" i="30" s="1"/>
  <c r="D144" i="30"/>
  <c r="C144" i="30"/>
  <c r="B145" i="30"/>
  <c r="B145" i="32"/>
  <c r="D144" i="32"/>
  <c r="C144" i="32"/>
  <c r="G144" i="32"/>
  <c r="H144" i="32" s="1"/>
  <c r="G144" i="31" l="1"/>
  <c r="H144" i="31" s="1"/>
  <c r="D144" i="31"/>
  <c r="C144" i="31"/>
  <c r="B145" i="31"/>
  <c r="B146" i="30"/>
  <c r="G145" i="30"/>
  <c r="H145" i="30" s="1"/>
  <c r="D145" i="30"/>
  <c r="C145" i="30"/>
  <c r="G145" i="32"/>
  <c r="H145" i="32" s="1"/>
  <c r="D145" i="32"/>
  <c r="C145" i="32"/>
  <c r="B146" i="32"/>
  <c r="G145" i="31" l="1"/>
  <c r="H145" i="31" s="1"/>
  <c r="C145" i="31"/>
  <c r="B146" i="31"/>
  <c r="D145" i="31"/>
  <c r="D146" i="30"/>
  <c r="C146" i="30"/>
  <c r="B147" i="30"/>
  <c r="G146" i="30"/>
  <c r="H146" i="30" s="1"/>
  <c r="B147" i="32"/>
  <c r="D146" i="32"/>
  <c r="C146" i="32"/>
  <c r="G146" i="32"/>
  <c r="H146" i="32" s="1"/>
  <c r="C146" i="31" l="1"/>
  <c r="B147" i="31"/>
  <c r="G146" i="31"/>
  <c r="H146" i="31" s="1"/>
  <c r="D146" i="31"/>
  <c r="B148" i="30"/>
  <c r="G147" i="30"/>
  <c r="H147" i="30" s="1"/>
  <c r="D147" i="30"/>
  <c r="C147" i="30"/>
  <c r="G147" i="32"/>
  <c r="H147" i="32" s="1"/>
  <c r="D147" i="32"/>
  <c r="C147" i="32"/>
  <c r="B148" i="32"/>
  <c r="G147" i="31" l="1"/>
  <c r="H147" i="31" s="1"/>
  <c r="C147" i="31"/>
  <c r="B148" i="31"/>
  <c r="D147" i="31"/>
  <c r="B149" i="30"/>
  <c r="G148" i="30"/>
  <c r="H148" i="30" s="1"/>
  <c r="D148" i="30"/>
  <c r="C148" i="30"/>
  <c r="B149" i="32"/>
  <c r="D148" i="32"/>
  <c r="C148" i="32"/>
  <c r="G148" i="32"/>
  <c r="H148" i="32" s="1"/>
  <c r="G148" i="31" l="1"/>
  <c r="H148" i="31" s="1"/>
  <c r="D148" i="31"/>
  <c r="C148" i="31"/>
  <c r="B149" i="31"/>
  <c r="G149" i="30"/>
  <c r="H149" i="30" s="1"/>
  <c r="D149" i="30"/>
  <c r="C149" i="30"/>
  <c r="B150" i="30"/>
  <c r="G149" i="32"/>
  <c r="H149" i="32" s="1"/>
  <c r="B150" i="32"/>
  <c r="D149" i="32"/>
  <c r="C149" i="32"/>
  <c r="G149" i="31" l="1"/>
  <c r="H149" i="31" s="1"/>
  <c r="C149" i="31"/>
  <c r="B150" i="31"/>
  <c r="D149" i="31"/>
  <c r="B151" i="30"/>
  <c r="G150" i="30"/>
  <c r="H150" i="30" s="1"/>
  <c r="D150" i="30"/>
  <c r="C150" i="30"/>
  <c r="B151" i="32"/>
  <c r="D150" i="32"/>
  <c r="C150" i="32"/>
  <c r="G150" i="32"/>
  <c r="H150" i="32" s="1"/>
  <c r="C150" i="31" l="1"/>
  <c r="B151" i="31"/>
  <c r="G150" i="31"/>
  <c r="H150" i="31" s="1"/>
  <c r="D150" i="31"/>
  <c r="C151" i="30"/>
  <c r="B152" i="30"/>
  <c r="G151" i="30"/>
  <c r="H151" i="30" s="1"/>
  <c r="D151" i="30"/>
  <c r="G151" i="32"/>
  <c r="H151" i="32" s="1"/>
  <c r="C151" i="32"/>
  <c r="B152" i="32"/>
  <c r="D151" i="32"/>
  <c r="G151" i="31" l="1"/>
  <c r="H151" i="31" s="1"/>
  <c r="C151" i="31"/>
  <c r="D151" i="31"/>
  <c r="B152" i="31"/>
  <c r="G152" i="30"/>
  <c r="H152" i="30" s="1"/>
  <c r="D152" i="30"/>
  <c r="C152" i="30"/>
  <c r="B153" i="30"/>
  <c r="B153" i="32"/>
  <c r="D152" i="32"/>
  <c r="C152" i="32"/>
  <c r="G152" i="32"/>
  <c r="H152" i="32" s="1"/>
  <c r="G152" i="31" l="1"/>
  <c r="H152" i="31" s="1"/>
  <c r="D152" i="31"/>
  <c r="C152" i="31"/>
  <c r="B153" i="31"/>
  <c r="B154" i="30"/>
  <c r="G153" i="30"/>
  <c r="H153" i="30" s="1"/>
  <c r="D153" i="30"/>
  <c r="C153" i="30"/>
  <c r="G153" i="32"/>
  <c r="H153" i="32" s="1"/>
  <c r="D153" i="32"/>
  <c r="C153" i="32"/>
  <c r="B154" i="32"/>
  <c r="G153" i="31" l="1"/>
  <c r="H153" i="31" s="1"/>
  <c r="C153" i="31"/>
  <c r="B154" i="31"/>
  <c r="D153" i="31"/>
  <c r="D154" i="30"/>
  <c r="C154" i="30"/>
  <c r="B155" i="30"/>
  <c r="G154" i="30"/>
  <c r="H154" i="30" s="1"/>
  <c r="B155" i="32"/>
  <c r="D154" i="32"/>
  <c r="C154" i="32"/>
  <c r="G154" i="32"/>
  <c r="H154" i="32" s="1"/>
  <c r="C154" i="31" l="1"/>
  <c r="B155" i="31"/>
  <c r="G154" i="31"/>
  <c r="H154" i="31" s="1"/>
  <c r="D154" i="31"/>
  <c r="B156" i="30"/>
  <c r="G155" i="30"/>
  <c r="H155" i="30" s="1"/>
  <c r="D155" i="30"/>
  <c r="C155" i="30"/>
  <c r="G155" i="32"/>
  <c r="H155" i="32" s="1"/>
  <c r="D155" i="32"/>
  <c r="C155" i="32"/>
  <c r="B156" i="32"/>
  <c r="G155" i="31" l="1"/>
  <c r="H155" i="31" s="1"/>
  <c r="C155" i="31"/>
  <c r="B156" i="31"/>
  <c r="D155" i="31"/>
  <c r="B157" i="30"/>
  <c r="G156" i="30"/>
  <c r="H156" i="30" s="1"/>
  <c r="C156" i="30"/>
  <c r="D156" i="30"/>
  <c r="B157" i="32"/>
  <c r="D156" i="32"/>
  <c r="C156" i="32"/>
  <c r="G156" i="32"/>
  <c r="H156" i="32" s="1"/>
  <c r="G156" i="31" l="1"/>
  <c r="H156" i="31" s="1"/>
  <c r="D156" i="31"/>
  <c r="C156" i="31"/>
  <c r="B157" i="31"/>
  <c r="G157" i="30"/>
  <c r="H157" i="30" s="1"/>
  <c r="D157" i="30"/>
  <c r="C157" i="30"/>
  <c r="B158" i="30"/>
  <c r="G157" i="32"/>
  <c r="H157" i="32" s="1"/>
  <c r="B158" i="32"/>
  <c r="D157" i="32"/>
  <c r="C157" i="32"/>
  <c r="G157" i="31" l="1"/>
  <c r="H157" i="31" s="1"/>
  <c r="C157" i="31"/>
  <c r="D157" i="31"/>
  <c r="B158" i="31"/>
  <c r="B159" i="30"/>
  <c r="G158" i="30"/>
  <c r="H158" i="30" s="1"/>
  <c r="D158" i="30"/>
  <c r="C158" i="30"/>
  <c r="B159" i="32"/>
  <c r="D158" i="32"/>
  <c r="C158" i="32"/>
  <c r="G158" i="32"/>
  <c r="H158" i="32" s="1"/>
  <c r="C158" i="31" l="1"/>
  <c r="B159" i="31"/>
  <c r="G158" i="31"/>
  <c r="H158" i="31" s="1"/>
  <c r="D158" i="31"/>
  <c r="C159" i="30"/>
  <c r="B160" i="30"/>
  <c r="G159" i="30"/>
  <c r="H159" i="30" s="1"/>
  <c r="D159" i="30"/>
  <c r="G159" i="32"/>
  <c r="H159" i="32" s="1"/>
  <c r="C159" i="32"/>
  <c r="B160" i="32"/>
  <c r="D159" i="32"/>
  <c r="G159" i="31" l="1"/>
  <c r="H159" i="31" s="1"/>
  <c r="C159" i="31"/>
  <c r="B160" i="31"/>
  <c r="D159" i="31"/>
  <c r="G160" i="30"/>
  <c r="H160" i="30" s="1"/>
  <c r="D160" i="30"/>
  <c r="C160" i="30"/>
  <c r="B161" i="30"/>
  <c r="B161" i="32"/>
  <c r="D160" i="32"/>
  <c r="C160" i="32"/>
  <c r="G160" i="32"/>
  <c r="H160" i="32" s="1"/>
  <c r="G160" i="31" l="1"/>
  <c r="H160" i="31" s="1"/>
  <c r="D160" i="31"/>
  <c r="C160" i="31"/>
  <c r="B161" i="31"/>
  <c r="B162" i="30"/>
  <c r="G161" i="30"/>
  <c r="H161" i="30" s="1"/>
  <c r="D161" i="30"/>
  <c r="C161" i="30"/>
  <c r="G161" i="32"/>
  <c r="H161" i="32" s="1"/>
  <c r="D161" i="32"/>
  <c r="C161" i="32"/>
  <c r="B162" i="32"/>
  <c r="G161" i="31" l="1"/>
  <c r="H161" i="31" s="1"/>
  <c r="C161" i="31"/>
  <c r="B162" i="31"/>
  <c r="D161" i="31"/>
  <c r="D162" i="30"/>
  <c r="C162" i="30"/>
  <c r="B163" i="30"/>
  <c r="G162" i="30"/>
  <c r="H162" i="30" s="1"/>
  <c r="B163" i="32"/>
  <c r="D162" i="32"/>
  <c r="C162" i="32"/>
  <c r="G162" i="32"/>
  <c r="H162" i="32" s="1"/>
  <c r="C162" i="31" l="1"/>
  <c r="B163" i="31"/>
  <c r="G162" i="31"/>
  <c r="H162" i="31" s="1"/>
  <c r="D162" i="31"/>
  <c r="B164" i="30"/>
  <c r="G163" i="30"/>
  <c r="H163" i="30" s="1"/>
  <c r="D163" i="30"/>
  <c r="C163" i="30"/>
  <c r="G163" i="32"/>
  <c r="H163" i="32" s="1"/>
  <c r="D163" i="32"/>
  <c r="C163" i="32"/>
  <c r="B164" i="32"/>
  <c r="G163" i="31" l="1"/>
  <c r="H163" i="31" s="1"/>
  <c r="C163" i="31"/>
  <c r="B164" i="31"/>
  <c r="D163" i="31"/>
  <c r="B165" i="30"/>
  <c r="G164" i="30"/>
  <c r="H164" i="30" s="1"/>
  <c r="C164" i="30"/>
  <c r="D164" i="30"/>
  <c r="B165" i="32"/>
  <c r="D164" i="32"/>
  <c r="C164" i="32"/>
  <c r="G164" i="32"/>
  <c r="H164" i="32" s="1"/>
  <c r="G164" i="31" l="1"/>
  <c r="H164" i="31" s="1"/>
  <c r="D164" i="31"/>
  <c r="C164" i="31"/>
  <c r="B165" i="31"/>
  <c r="G165" i="30"/>
  <c r="H165" i="30" s="1"/>
  <c r="D165" i="30"/>
  <c r="C165" i="30"/>
  <c r="B166" i="30"/>
  <c r="G165" i="32"/>
  <c r="H165" i="32" s="1"/>
  <c r="B166" i="32"/>
  <c r="D165" i="32"/>
  <c r="C165" i="32"/>
  <c r="G165" i="31" l="1"/>
  <c r="H165" i="31" s="1"/>
  <c r="C165" i="31"/>
  <c r="B166" i="31"/>
  <c r="D165" i="31"/>
  <c r="B167" i="30"/>
  <c r="G166" i="30"/>
  <c r="H166" i="30" s="1"/>
  <c r="D166" i="30"/>
  <c r="C166" i="30"/>
  <c r="B167" i="32"/>
  <c r="D166" i="32"/>
  <c r="C166" i="32"/>
  <c r="G166" i="32"/>
  <c r="H166" i="32" s="1"/>
  <c r="C166" i="31" l="1"/>
  <c r="B167" i="31"/>
  <c r="G166" i="31"/>
  <c r="H166" i="31" s="1"/>
  <c r="D166" i="31"/>
  <c r="C167" i="30"/>
  <c r="B168" i="30"/>
  <c r="G167" i="30"/>
  <c r="H167" i="30" s="1"/>
  <c r="D167" i="30"/>
  <c r="G167" i="32"/>
  <c r="H167" i="32" s="1"/>
  <c r="C167" i="32"/>
  <c r="B168" i="32"/>
  <c r="D167" i="32"/>
  <c r="G167" i="31" l="1"/>
  <c r="H167" i="31" s="1"/>
  <c r="C167" i="31"/>
  <c r="D167" i="31"/>
  <c r="B168" i="31"/>
  <c r="G168" i="30"/>
  <c r="H168" i="30" s="1"/>
  <c r="D168" i="30"/>
  <c r="C168" i="30"/>
  <c r="B169" i="30"/>
  <c r="B169" i="32"/>
  <c r="D168" i="32"/>
  <c r="C168" i="32"/>
  <c r="G168" i="32"/>
  <c r="H168" i="32" s="1"/>
  <c r="G168" i="31" l="1"/>
  <c r="H168" i="31" s="1"/>
  <c r="D168" i="31"/>
  <c r="C168" i="31"/>
  <c r="B169" i="31"/>
  <c r="B170" i="30"/>
  <c r="G169" i="30"/>
  <c r="H169" i="30" s="1"/>
  <c r="D169" i="30"/>
  <c r="C169" i="30"/>
  <c r="G169" i="32"/>
  <c r="H169" i="32" s="1"/>
  <c r="B170" i="32"/>
  <c r="D169" i="32"/>
  <c r="C169" i="32"/>
  <c r="G169" i="31" l="1"/>
  <c r="H169" i="31" s="1"/>
  <c r="C169" i="31"/>
  <c r="B170" i="31"/>
  <c r="D169" i="31"/>
  <c r="D170" i="30"/>
  <c r="C170" i="30"/>
  <c r="B171" i="30"/>
  <c r="G170" i="30"/>
  <c r="H170" i="30" s="1"/>
  <c r="B171" i="32"/>
  <c r="D170" i="32"/>
  <c r="C170" i="32"/>
  <c r="G170" i="32"/>
  <c r="H170" i="32" s="1"/>
  <c r="C170" i="31" l="1"/>
  <c r="B171" i="31"/>
  <c r="G170" i="31"/>
  <c r="H170" i="31" s="1"/>
  <c r="D170" i="31"/>
  <c r="B172" i="30"/>
  <c r="G171" i="30"/>
  <c r="H171" i="30" s="1"/>
  <c r="D171" i="30"/>
  <c r="C171" i="30"/>
  <c r="G171" i="32"/>
  <c r="H171" i="32" s="1"/>
  <c r="B172" i="32"/>
  <c r="D171" i="32"/>
  <c r="C171" i="32"/>
  <c r="G171" i="31" l="1"/>
  <c r="H171" i="31" s="1"/>
  <c r="C171" i="31"/>
  <c r="B172" i="31"/>
  <c r="D171" i="31"/>
  <c r="B173" i="30"/>
  <c r="G172" i="30"/>
  <c r="H172" i="30" s="1"/>
  <c r="D172" i="30"/>
  <c r="C172" i="30"/>
  <c r="B173" i="32"/>
  <c r="D172" i="32"/>
  <c r="C172" i="32"/>
  <c r="G172" i="32"/>
  <c r="H172" i="32" s="1"/>
  <c r="G172" i="31" l="1"/>
  <c r="H172" i="31" s="1"/>
  <c r="D172" i="31"/>
  <c r="C172" i="31"/>
  <c r="B173" i="31"/>
  <c r="G173" i="30"/>
  <c r="H173" i="30" s="1"/>
  <c r="D173" i="30"/>
  <c r="C173" i="30"/>
  <c r="B174" i="30"/>
  <c r="G173" i="32"/>
  <c r="H173" i="32" s="1"/>
  <c r="B174" i="32"/>
  <c r="D173" i="32"/>
  <c r="C173" i="32"/>
  <c r="G173" i="31" l="1"/>
  <c r="H173" i="31" s="1"/>
  <c r="C173" i="31"/>
  <c r="D173" i="31"/>
  <c r="B174" i="31"/>
  <c r="B175" i="30"/>
  <c r="G174" i="30"/>
  <c r="H174" i="30" s="1"/>
  <c r="D174" i="30"/>
  <c r="C174" i="30"/>
  <c r="B175" i="32"/>
  <c r="D174" i="32"/>
  <c r="C174" i="32"/>
  <c r="G174" i="32"/>
  <c r="H174" i="32" s="1"/>
  <c r="C174" i="31" l="1"/>
  <c r="B175" i="31"/>
  <c r="G174" i="31"/>
  <c r="H174" i="31" s="1"/>
  <c r="D174" i="31"/>
  <c r="C175" i="30"/>
  <c r="B176" i="30"/>
  <c r="G175" i="30"/>
  <c r="H175" i="30" s="1"/>
  <c r="D175" i="30"/>
  <c r="G175" i="32"/>
  <c r="H175" i="32" s="1"/>
  <c r="B176" i="32"/>
  <c r="D175" i="32"/>
  <c r="C175" i="32"/>
  <c r="G175" i="31" l="1"/>
  <c r="H175" i="31" s="1"/>
  <c r="C175" i="31"/>
  <c r="B176" i="31"/>
  <c r="D175" i="31"/>
  <c r="G176" i="30"/>
  <c r="H176" i="30" s="1"/>
  <c r="D176" i="30"/>
  <c r="C176" i="30"/>
  <c r="B177" i="30"/>
  <c r="B177" i="32"/>
  <c r="D176" i="32"/>
  <c r="C176" i="32"/>
  <c r="G176" i="32"/>
  <c r="H176" i="32" s="1"/>
  <c r="G176" i="31" l="1"/>
  <c r="H176" i="31" s="1"/>
  <c r="D176" i="31"/>
  <c r="C176" i="31"/>
  <c r="B177" i="31"/>
  <c r="B178" i="30"/>
  <c r="G177" i="30"/>
  <c r="H177" i="30" s="1"/>
  <c r="D177" i="30"/>
  <c r="C177" i="30"/>
  <c r="G177" i="32"/>
  <c r="H177" i="32" s="1"/>
  <c r="B178" i="32"/>
  <c r="D177" i="32"/>
  <c r="C177" i="32"/>
  <c r="G177" i="31" l="1"/>
  <c r="H177" i="31" s="1"/>
  <c r="C177" i="31"/>
  <c r="D177" i="31"/>
  <c r="B178" i="31"/>
  <c r="D178" i="30"/>
  <c r="C178" i="30"/>
  <c r="B179" i="30"/>
  <c r="G178" i="30"/>
  <c r="H178" i="30" s="1"/>
  <c r="B179" i="32"/>
  <c r="D178" i="32"/>
  <c r="C178" i="32"/>
  <c r="G178" i="32"/>
  <c r="H178" i="32" s="1"/>
  <c r="C178" i="31" l="1"/>
  <c r="B179" i="31"/>
  <c r="G178" i="31"/>
  <c r="H178" i="31" s="1"/>
  <c r="D178" i="31"/>
  <c r="B180" i="30"/>
  <c r="G179" i="30"/>
  <c r="H179" i="30" s="1"/>
  <c r="D179" i="30"/>
  <c r="C179" i="30"/>
  <c r="G179" i="32"/>
  <c r="H179" i="32" s="1"/>
  <c r="B180" i="32"/>
  <c r="D179" i="32"/>
  <c r="C179" i="32"/>
  <c r="G179" i="31" l="1"/>
  <c r="H179" i="31" s="1"/>
  <c r="C179" i="31"/>
  <c r="B180" i="31"/>
  <c r="D179" i="31"/>
  <c r="B181" i="30"/>
  <c r="G180" i="30"/>
  <c r="H180" i="30" s="1"/>
  <c r="C180" i="30"/>
  <c r="D180" i="30"/>
  <c r="B181" i="32"/>
  <c r="D180" i="32"/>
  <c r="C180" i="32"/>
  <c r="G180" i="32"/>
  <c r="H180" i="32" s="1"/>
  <c r="G180" i="31" l="1"/>
  <c r="H180" i="31" s="1"/>
  <c r="D180" i="31"/>
  <c r="C180" i="31"/>
  <c r="B181" i="31"/>
  <c r="C181" i="31" s="1"/>
  <c r="G181" i="30"/>
  <c r="H181" i="30" s="1"/>
  <c r="D181" i="30"/>
  <c r="C181" i="30"/>
  <c r="B182" i="30"/>
  <c r="G181" i="32"/>
  <c r="H181" i="32" s="1"/>
  <c r="B182" i="32"/>
  <c r="D181" i="32"/>
  <c r="C181" i="32"/>
  <c r="G181" i="31" l="1"/>
  <c r="H181" i="31" s="1"/>
  <c r="D181" i="31"/>
  <c r="B182" i="31"/>
  <c r="B183" i="30"/>
  <c r="G182" i="30"/>
  <c r="H182" i="30" s="1"/>
  <c r="D182" i="30"/>
  <c r="C182" i="30"/>
  <c r="B183" i="32"/>
  <c r="D182" i="32"/>
  <c r="C182" i="32"/>
  <c r="G182" i="32"/>
  <c r="H182" i="32" s="1"/>
  <c r="C182" i="31" l="1"/>
  <c r="B183" i="31"/>
  <c r="G182" i="31"/>
  <c r="H182" i="31" s="1"/>
  <c r="D182" i="31"/>
  <c r="C183" i="30"/>
  <c r="B184" i="30"/>
  <c r="G183" i="30"/>
  <c r="H183" i="30" s="1"/>
  <c r="D183" i="30"/>
  <c r="G183" i="32"/>
  <c r="H183" i="32" s="1"/>
  <c r="B184" i="32"/>
  <c r="D183" i="32"/>
  <c r="C183" i="32"/>
  <c r="G183" i="31" l="1"/>
  <c r="H183" i="31" s="1"/>
  <c r="C183" i="31"/>
  <c r="D183" i="31"/>
  <c r="B184" i="31"/>
  <c r="G184" i="30"/>
  <c r="H184" i="30" s="1"/>
  <c r="D184" i="30"/>
  <c r="C184" i="30"/>
  <c r="B185" i="30"/>
  <c r="B185" i="32"/>
  <c r="B186" i="32" s="1"/>
  <c r="D184" i="32"/>
  <c r="C184" i="32"/>
  <c r="G184" i="32"/>
  <c r="H184" i="32" s="1"/>
  <c r="D186" i="32" l="1"/>
  <c r="G186" i="32"/>
  <c r="H186" i="32" s="1"/>
  <c r="B187" i="32"/>
  <c r="C186" i="32"/>
  <c r="G184" i="31"/>
  <c r="H184" i="31" s="1"/>
  <c r="D184" i="31"/>
  <c r="C184" i="31"/>
  <c r="B185" i="31"/>
  <c r="B186" i="31" s="1"/>
  <c r="G185" i="30"/>
  <c r="H185" i="30" s="1"/>
  <c r="D185" i="30"/>
  <c r="C185" i="30"/>
  <c r="G185" i="32"/>
  <c r="H185" i="32" s="1"/>
  <c r="D185" i="32"/>
  <c r="C185" i="32"/>
  <c r="B187" i="31" l="1"/>
  <c r="C186" i="31"/>
  <c r="D186" i="31"/>
  <c r="G186" i="31"/>
  <c r="H186" i="31" s="1"/>
  <c r="B188" i="32"/>
  <c r="C187" i="32"/>
  <c r="D187" i="32"/>
  <c r="G187" i="32"/>
  <c r="H187" i="32" s="1"/>
  <c r="G185" i="31"/>
  <c r="H185" i="31" s="1"/>
  <c r="C185" i="31"/>
  <c r="D185" i="31"/>
  <c r="B188" i="31" l="1"/>
  <c r="C187" i="31"/>
  <c r="D187" i="31"/>
  <c r="G187" i="31"/>
  <c r="H187" i="31" s="1"/>
  <c r="B189" i="32"/>
  <c r="C188" i="32"/>
  <c r="D188" i="32"/>
  <c r="G188" i="32"/>
  <c r="H188" i="32" s="1"/>
  <c r="B189" i="31" l="1"/>
  <c r="G188" i="31"/>
  <c r="H188" i="31" s="1"/>
  <c r="C188" i="31"/>
  <c r="D188" i="31"/>
  <c r="B190" i="32"/>
  <c r="C189" i="32"/>
  <c r="D189" i="32"/>
  <c r="G189" i="32"/>
  <c r="H189" i="32" s="1"/>
  <c r="B190" i="31" l="1"/>
  <c r="C189" i="31"/>
  <c r="D189" i="31"/>
  <c r="G189" i="31"/>
  <c r="H189" i="31" s="1"/>
  <c r="B191" i="32"/>
  <c r="C190" i="32"/>
  <c r="D190" i="32"/>
  <c r="G190" i="32"/>
  <c r="H190" i="32" s="1"/>
  <c r="B191" i="31" l="1"/>
  <c r="C190" i="31"/>
  <c r="D190" i="31"/>
  <c r="G190" i="31"/>
  <c r="H190" i="31" s="1"/>
  <c r="B192" i="32"/>
  <c r="C191" i="32"/>
  <c r="D191" i="32"/>
  <c r="G191" i="32"/>
  <c r="H191" i="32" s="1"/>
  <c r="B192" i="31" l="1"/>
  <c r="C191" i="31"/>
  <c r="D191" i="31"/>
  <c r="G191" i="31"/>
  <c r="H191" i="31" s="1"/>
  <c r="B193" i="32"/>
  <c r="C192" i="32"/>
  <c r="D192" i="32"/>
  <c r="G192" i="32"/>
  <c r="H192" i="32" s="1"/>
  <c r="B193" i="31" l="1"/>
  <c r="C192" i="31"/>
  <c r="D192" i="31"/>
  <c r="G192" i="31"/>
  <c r="H192" i="31" s="1"/>
  <c r="B194" i="32"/>
  <c r="C193" i="32"/>
  <c r="D193" i="32"/>
  <c r="G193" i="32"/>
  <c r="H193" i="32" s="1"/>
  <c r="B194" i="31" l="1"/>
  <c r="D193" i="31"/>
  <c r="C193" i="31"/>
  <c r="G193" i="31"/>
  <c r="H193" i="31" s="1"/>
  <c r="B195" i="32"/>
  <c r="C194" i="32"/>
  <c r="D194" i="32"/>
  <c r="G194" i="32"/>
  <c r="H194" i="32" s="1"/>
  <c r="B195" i="31" l="1"/>
  <c r="G194" i="31"/>
  <c r="H194" i="31" s="1"/>
  <c r="C194" i="31"/>
  <c r="D194" i="31"/>
  <c r="B196" i="32"/>
  <c r="C195" i="32"/>
  <c r="D195" i="32"/>
  <c r="G195" i="32"/>
  <c r="H195" i="32" s="1"/>
  <c r="B196" i="31" l="1"/>
  <c r="C195" i="31"/>
  <c r="D195" i="31"/>
  <c r="G195" i="31"/>
  <c r="H195" i="31" s="1"/>
  <c r="B197" i="32"/>
  <c r="C196" i="32"/>
  <c r="D196" i="32"/>
  <c r="G196" i="32"/>
  <c r="H196" i="32" s="1"/>
  <c r="B197" i="31" l="1"/>
  <c r="C196" i="31"/>
  <c r="D196" i="31"/>
  <c r="G196" i="31"/>
  <c r="H196" i="31" s="1"/>
  <c r="B198" i="32"/>
  <c r="C197" i="32"/>
  <c r="D197" i="32"/>
  <c r="G197" i="32"/>
  <c r="H197" i="32" s="1"/>
  <c r="B198" i="31" l="1"/>
  <c r="D197" i="31"/>
  <c r="G197" i="31"/>
  <c r="H197" i="31" s="1"/>
  <c r="C197" i="31"/>
  <c r="B199" i="32"/>
  <c r="C198" i="32"/>
  <c r="D198" i="32"/>
  <c r="G198" i="32"/>
  <c r="H198" i="32" s="1"/>
  <c r="B199" i="31" l="1"/>
  <c r="C198" i="31"/>
  <c r="D198" i="31"/>
  <c r="G198" i="31"/>
  <c r="H198" i="31" s="1"/>
  <c r="B200" i="32"/>
  <c r="C199" i="32"/>
  <c r="D199" i="32"/>
  <c r="G199" i="32"/>
  <c r="H199" i="32" s="1"/>
  <c r="B200" i="31" l="1"/>
  <c r="G199" i="31"/>
  <c r="H199" i="31" s="1"/>
  <c r="C199" i="31"/>
  <c r="D199" i="31"/>
  <c r="B201" i="32"/>
  <c r="G200" i="32"/>
  <c r="H200" i="32" s="1"/>
  <c r="C200" i="32"/>
  <c r="D200" i="32"/>
  <c r="B201" i="31" l="1"/>
  <c r="G200" i="31"/>
  <c r="H200" i="31" s="1"/>
  <c r="C200" i="31"/>
  <c r="D200" i="31"/>
  <c r="B202" i="32"/>
  <c r="C201" i="32"/>
  <c r="D201" i="32"/>
  <c r="G201" i="32"/>
  <c r="H201" i="32" s="1"/>
  <c r="B202" i="31" l="1"/>
  <c r="C201" i="31"/>
  <c r="D201" i="31"/>
  <c r="G201" i="31"/>
  <c r="H201" i="31" s="1"/>
  <c r="B203" i="32"/>
  <c r="C202" i="32"/>
  <c r="G202" i="32"/>
  <c r="H202" i="32" s="1"/>
  <c r="D202" i="32"/>
  <c r="B203" i="31" l="1"/>
  <c r="G202" i="31"/>
  <c r="H202" i="31" s="1"/>
  <c r="C202" i="31"/>
  <c r="D202" i="31"/>
  <c r="B204" i="32"/>
  <c r="C203" i="32"/>
  <c r="D203" i="32"/>
  <c r="G203" i="32"/>
  <c r="H203" i="32" s="1"/>
  <c r="B204" i="31" l="1"/>
  <c r="C203" i="31"/>
  <c r="D203" i="31"/>
  <c r="G203" i="31"/>
  <c r="H203" i="31" s="1"/>
  <c r="B205" i="32"/>
  <c r="C204" i="32"/>
  <c r="D204" i="32"/>
  <c r="G204" i="32"/>
  <c r="H204" i="32" s="1"/>
  <c r="B205" i="31" l="1"/>
  <c r="C204" i="31"/>
  <c r="G204" i="31"/>
  <c r="H204" i="31" s="1"/>
  <c r="D204" i="31"/>
  <c r="B206" i="32"/>
  <c r="D205" i="32"/>
  <c r="C205" i="32"/>
  <c r="G205" i="32"/>
  <c r="H205" i="32" s="1"/>
  <c r="B206" i="31" l="1"/>
  <c r="G205" i="31"/>
  <c r="H205" i="31" s="1"/>
  <c r="C205" i="31"/>
  <c r="D205" i="31"/>
  <c r="B207" i="32"/>
  <c r="C206" i="32"/>
  <c r="D206" i="32"/>
  <c r="G206" i="32"/>
  <c r="H206" i="32" s="1"/>
  <c r="B207" i="31" l="1"/>
  <c r="D206" i="31"/>
  <c r="G206" i="31"/>
  <c r="H206" i="31" s="1"/>
  <c r="C206" i="31"/>
  <c r="B208" i="32"/>
  <c r="C207" i="32"/>
  <c r="D207" i="32"/>
  <c r="G207" i="32"/>
  <c r="H207" i="32" s="1"/>
  <c r="B208" i="31" l="1"/>
  <c r="C207" i="31"/>
  <c r="D207" i="31"/>
  <c r="G207" i="31"/>
  <c r="H207" i="31" s="1"/>
  <c r="B209" i="32"/>
  <c r="D208" i="32"/>
  <c r="C208" i="32"/>
  <c r="G208" i="32"/>
  <c r="H208" i="32" s="1"/>
  <c r="B209" i="31" l="1"/>
  <c r="C208" i="31"/>
  <c r="D208" i="31"/>
  <c r="G208" i="31"/>
  <c r="H208" i="31" s="1"/>
  <c r="B210" i="32"/>
  <c r="C209" i="32"/>
  <c r="D209" i="32"/>
  <c r="G209" i="32"/>
  <c r="H209" i="32" s="1"/>
  <c r="B210" i="31" l="1"/>
  <c r="C209" i="31"/>
  <c r="D209" i="31"/>
  <c r="G209" i="31"/>
  <c r="H209" i="31" s="1"/>
  <c r="B211" i="32"/>
  <c r="C210" i="32"/>
  <c r="D210" i="32"/>
  <c r="G210" i="32"/>
  <c r="H210" i="32" s="1"/>
  <c r="B211" i="31" l="1"/>
  <c r="C210" i="31"/>
  <c r="D210" i="31"/>
  <c r="G210" i="31"/>
  <c r="H210" i="31" s="1"/>
  <c r="B212" i="32"/>
  <c r="D211" i="32"/>
  <c r="C211" i="32"/>
  <c r="G211" i="32"/>
  <c r="H211" i="32" s="1"/>
  <c r="C211" i="31" l="1"/>
  <c r="D211" i="31"/>
  <c r="G211" i="31"/>
  <c r="H211" i="31" s="1"/>
  <c r="B212" i="31"/>
  <c r="B213" i="32"/>
  <c r="C212" i="32"/>
  <c r="D212" i="32"/>
  <c r="G212" i="32"/>
  <c r="H212" i="32" s="1"/>
  <c r="B213" i="31" l="1"/>
  <c r="C212" i="31"/>
  <c r="D212" i="31"/>
  <c r="G212" i="31"/>
  <c r="H212" i="31" s="1"/>
  <c r="B214" i="32"/>
  <c r="C213" i="32"/>
  <c r="D213" i="32"/>
  <c r="G213" i="32"/>
  <c r="H213" i="32" s="1"/>
  <c r="B214" i="31" l="1"/>
  <c r="G213" i="31"/>
  <c r="H213" i="31" s="1"/>
  <c r="D213" i="31"/>
  <c r="C213" i="31"/>
  <c r="B215" i="32"/>
  <c r="G214" i="32"/>
  <c r="H214" i="32" s="1"/>
  <c r="C214" i="32"/>
  <c r="D214" i="32"/>
  <c r="B215" i="31" l="1"/>
  <c r="C214" i="31"/>
  <c r="G214" i="31"/>
  <c r="H214" i="31" s="1"/>
  <c r="D214" i="31"/>
  <c r="B216" i="32"/>
  <c r="C215" i="32"/>
  <c r="D215" i="32"/>
  <c r="G215" i="32"/>
  <c r="H215" i="32" s="1"/>
  <c r="B216" i="31" l="1"/>
  <c r="C215" i="31"/>
  <c r="D215" i="31"/>
  <c r="G215" i="31"/>
  <c r="H215" i="31" s="1"/>
  <c r="B217" i="32"/>
  <c r="C216" i="32"/>
  <c r="D216" i="32"/>
  <c r="G216" i="32"/>
  <c r="H216" i="32" s="1"/>
  <c r="B217" i="31" l="1"/>
  <c r="G216" i="31"/>
  <c r="H216" i="31" s="1"/>
  <c r="D216" i="31"/>
  <c r="C216" i="31"/>
  <c r="B218" i="32"/>
  <c r="D217" i="32"/>
  <c r="G217" i="32"/>
  <c r="H217" i="32" s="1"/>
  <c r="C217" i="32"/>
  <c r="B218" i="31" l="1"/>
  <c r="C217" i="31"/>
  <c r="D217" i="31"/>
  <c r="G217" i="31"/>
  <c r="H217" i="31" s="1"/>
  <c r="B219" i="32"/>
  <c r="C218" i="32"/>
  <c r="D218" i="32"/>
  <c r="G218" i="32"/>
  <c r="H218" i="32" s="1"/>
  <c r="B219" i="31" l="1"/>
  <c r="C218" i="31"/>
  <c r="H218" i="31"/>
  <c r="D218" i="31"/>
  <c r="B220" i="32"/>
  <c r="G219" i="32"/>
  <c r="H219" i="32" s="1"/>
  <c r="C219" i="32"/>
  <c r="D219" i="32"/>
  <c r="E2" i="39" l="1"/>
  <c r="A3" i="39"/>
  <c r="D2" i="39"/>
  <c r="C2" i="39"/>
  <c r="B2" i="39"/>
  <c r="H219" i="31"/>
  <c r="C219" i="31"/>
  <c r="D219" i="31"/>
  <c r="B221" i="32"/>
  <c r="D220" i="32"/>
  <c r="G220" i="32"/>
  <c r="H220" i="32" s="1"/>
  <c r="C220" i="32"/>
  <c r="AR2" i="39" l="1"/>
  <c r="AD2" i="39"/>
  <c r="AH2" i="39"/>
  <c r="AG2" i="39"/>
  <c r="AE2" i="39"/>
  <c r="AC2" i="39"/>
  <c r="AF2" i="39"/>
  <c r="B3" i="39"/>
  <c r="E3" i="39"/>
  <c r="D3" i="39"/>
  <c r="C3" i="39"/>
  <c r="A4" i="39"/>
  <c r="B222" i="32"/>
  <c r="C221" i="32"/>
  <c r="D221" i="32"/>
  <c r="G221" i="32"/>
  <c r="H221" i="32" s="1"/>
  <c r="AR3" i="39" l="1"/>
  <c r="AD3" i="39"/>
  <c r="AH3" i="39"/>
  <c r="AG3" i="39"/>
  <c r="AE3" i="39"/>
  <c r="AC3" i="39"/>
  <c r="AF3" i="39"/>
  <c r="A5" i="39"/>
  <c r="E4" i="39"/>
  <c r="D4" i="39"/>
  <c r="C4" i="39"/>
  <c r="B4" i="39"/>
  <c r="B223" i="32"/>
  <c r="G222" i="32"/>
  <c r="H222" i="32" s="1"/>
  <c r="C222" i="32"/>
  <c r="D222" i="32"/>
  <c r="AR4" i="39" l="1"/>
  <c r="AD4" i="39"/>
  <c r="AH4" i="39"/>
  <c r="AG4" i="39"/>
  <c r="AE4" i="39"/>
  <c r="AC4" i="39"/>
  <c r="AF4" i="39"/>
  <c r="C5" i="39"/>
  <c r="B5" i="39"/>
  <c r="A6" i="39"/>
  <c r="E5" i="39"/>
  <c r="D5" i="39"/>
  <c r="B224" i="32"/>
  <c r="D223" i="32"/>
  <c r="G223" i="32"/>
  <c r="H223" i="32" s="1"/>
  <c r="C223" i="32"/>
  <c r="AR5" i="39" l="1"/>
  <c r="AD5" i="39"/>
  <c r="AH5" i="39"/>
  <c r="AG5" i="39"/>
  <c r="AE5" i="39"/>
  <c r="AF5" i="39"/>
  <c r="AC5" i="39"/>
  <c r="E6" i="39"/>
  <c r="A7" i="39"/>
  <c r="D6" i="39"/>
  <c r="C6" i="39"/>
  <c r="B6" i="39"/>
  <c r="B225" i="32"/>
  <c r="C224" i="32"/>
  <c r="D224" i="32"/>
  <c r="G224" i="32"/>
  <c r="H224" i="32" s="1"/>
  <c r="AR6" i="39" l="1"/>
  <c r="AD6" i="39"/>
  <c r="AH6" i="39"/>
  <c r="AG6" i="39"/>
  <c r="AF6" i="39"/>
  <c r="AE6" i="39"/>
  <c r="AC6" i="39"/>
  <c r="B7" i="39"/>
  <c r="A8" i="39"/>
  <c r="E7" i="39"/>
  <c r="D7" i="39"/>
  <c r="C7" i="39"/>
  <c r="B226" i="32"/>
  <c r="C225" i="32"/>
  <c r="D225" i="32"/>
  <c r="G225" i="32"/>
  <c r="H225" i="32" s="1"/>
  <c r="AR7" i="39" l="1"/>
  <c r="AD7" i="39"/>
  <c r="AH7" i="39"/>
  <c r="AG7" i="39"/>
  <c r="AF7" i="39"/>
  <c r="AE7" i="39"/>
  <c r="AC7" i="39"/>
  <c r="B8" i="39"/>
  <c r="A9" i="39"/>
  <c r="E8" i="39"/>
  <c r="D8" i="39"/>
  <c r="C8" i="39"/>
  <c r="B227" i="32"/>
  <c r="C226" i="32"/>
  <c r="D226" i="32"/>
  <c r="G226" i="32"/>
  <c r="H226" i="32" s="1"/>
  <c r="AR8" i="39" l="1"/>
  <c r="AD8" i="39"/>
  <c r="AH8" i="39"/>
  <c r="AG8" i="39"/>
  <c r="AF8" i="39"/>
  <c r="AE8" i="39"/>
  <c r="AC8" i="39"/>
  <c r="C9" i="39"/>
  <c r="E9" i="39"/>
  <c r="D9" i="39"/>
  <c r="B9" i="39"/>
  <c r="A10" i="39"/>
  <c r="B228" i="32"/>
  <c r="C227" i="32"/>
  <c r="D227" i="32"/>
  <c r="G227" i="32"/>
  <c r="H227" i="32" s="1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B229" i="32"/>
  <c r="G228" i="32"/>
  <c r="H228" i="32" s="1"/>
  <c r="D228" i="32"/>
  <c r="C228" i="32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B230" i="32"/>
  <c r="C229" i="32"/>
  <c r="D229" i="32"/>
  <c r="G229" i="32"/>
  <c r="H229" i="32" s="1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B231" i="32"/>
  <c r="C230" i="32"/>
  <c r="G230" i="32"/>
  <c r="H230" i="32" s="1"/>
  <c r="D230" i="32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B232" i="32"/>
  <c r="D231" i="32"/>
  <c r="G231" i="32"/>
  <c r="H231" i="32" s="1"/>
  <c r="C231" i="32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B233" i="32"/>
  <c r="C232" i="32"/>
  <c r="D232" i="32"/>
  <c r="G232" i="32"/>
  <c r="H232" i="32" s="1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B234" i="32"/>
  <c r="G233" i="32"/>
  <c r="H233" i="32" s="1"/>
  <c r="C233" i="32"/>
  <c r="D233" i="32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B235" i="32"/>
  <c r="D234" i="32"/>
  <c r="G234" i="32"/>
  <c r="H234" i="32" s="1"/>
  <c r="C234" i="32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B236" i="32"/>
  <c r="C235" i="32"/>
  <c r="D235" i="32"/>
  <c r="G235" i="32"/>
  <c r="H235" i="32" s="1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B237" i="32"/>
  <c r="G236" i="32"/>
  <c r="H236" i="32" s="1"/>
  <c r="C236" i="32"/>
  <c r="D236" i="32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B238" i="32"/>
  <c r="C237" i="32"/>
  <c r="D237" i="32"/>
  <c r="G237" i="32"/>
  <c r="H237" i="32" s="1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B239" i="32"/>
  <c r="C238" i="32"/>
  <c r="D238" i="32"/>
  <c r="G238" i="32"/>
  <c r="H238" i="32" s="1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B240" i="32"/>
  <c r="G239" i="32"/>
  <c r="H239" i="32" s="1"/>
  <c r="C239" i="32"/>
  <c r="D239" i="32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B241" i="32"/>
  <c r="C240" i="32"/>
  <c r="D240" i="32"/>
  <c r="G240" i="32"/>
  <c r="H240" i="32" s="1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B242" i="32"/>
  <c r="C241" i="32"/>
  <c r="D241" i="32"/>
  <c r="G241" i="32"/>
  <c r="H241" i="32" s="1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B243" i="32"/>
  <c r="G242" i="32"/>
  <c r="H242" i="32" s="1"/>
  <c r="C242" i="32"/>
  <c r="D242" i="32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B244" i="32"/>
  <c r="C243" i="32"/>
  <c r="D243" i="32"/>
  <c r="G243" i="32"/>
  <c r="H243" i="32" s="1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B245" i="32"/>
  <c r="C244" i="32"/>
  <c r="D244" i="32"/>
  <c r="G244" i="32"/>
  <c r="H244" i="32" s="1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B246" i="32"/>
  <c r="G245" i="32"/>
  <c r="H245" i="32" s="1"/>
  <c r="C245" i="32"/>
  <c r="D245" i="32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B247" i="32"/>
  <c r="C246" i="32"/>
  <c r="D246" i="32"/>
  <c r="G246" i="32"/>
  <c r="H246" i="32" s="1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B248" i="32"/>
  <c r="C247" i="32"/>
  <c r="D247" i="32"/>
  <c r="G247" i="32"/>
  <c r="H247" i="32" s="1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B249" i="32"/>
  <c r="G248" i="32"/>
  <c r="H248" i="32" s="1"/>
  <c r="C248" i="32"/>
  <c r="D248" i="32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B250" i="32"/>
  <c r="C249" i="32"/>
  <c r="D249" i="32"/>
  <c r="G249" i="32"/>
  <c r="H249" i="32" s="1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B251" i="32"/>
  <c r="G250" i="32"/>
  <c r="H250" i="32" s="1"/>
  <c r="C250" i="32"/>
  <c r="D250" i="32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B252" i="32"/>
  <c r="C251" i="32"/>
  <c r="D251" i="32"/>
  <c r="G251" i="32"/>
  <c r="H251" i="32" s="1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B253" i="32"/>
  <c r="C252" i="32"/>
  <c r="D252" i="32"/>
  <c r="G252" i="32"/>
  <c r="H252" i="32" s="1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B254" i="32"/>
  <c r="G253" i="32"/>
  <c r="H253" i="32" s="1"/>
  <c r="C253" i="32"/>
  <c r="D253" i="32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B255" i="32"/>
  <c r="C254" i="32"/>
  <c r="D254" i="32"/>
  <c r="G254" i="32"/>
  <c r="H254" i="32" s="1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B256" i="32"/>
  <c r="C255" i="32"/>
  <c r="D255" i="32"/>
  <c r="G255" i="32"/>
  <c r="H255" i="32" s="1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B257" i="32"/>
  <c r="C256" i="32"/>
  <c r="G256" i="32"/>
  <c r="H256" i="32" s="1"/>
  <c r="D256" i="32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B258" i="32"/>
  <c r="C257" i="32"/>
  <c r="D257" i="32"/>
  <c r="G257" i="32"/>
  <c r="H257" i="32" s="1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B259" i="32"/>
  <c r="C258" i="32"/>
  <c r="D258" i="32"/>
  <c r="G258" i="32"/>
  <c r="H258" i="32" s="1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B260" i="32"/>
  <c r="G259" i="32"/>
  <c r="H259" i="32" s="1"/>
  <c r="C259" i="32"/>
  <c r="D259" i="32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B261" i="32"/>
  <c r="C260" i="32"/>
  <c r="D260" i="32"/>
  <c r="G260" i="32"/>
  <c r="H260" i="32" s="1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B262" i="32"/>
  <c r="C261" i="32"/>
  <c r="D261" i="32"/>
  <c r="G261" i="32"/>
  <c r="H261" i="32" s="1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B263" i="32"/>
  <c r="G262" i="32"/>
  <c r="H262" i="32" s="1"/>
  <c r="D262" i="32"/>
  <c r="C262" i="32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B264" i="32"/>
  <c r="C263" i="32"/>
  <c r="D263" i="32"/>
  <c r="G263" i="32"/>
  <c r="H263" i="32" s="1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B265" i="32"/>
  <c r="G264" i="32"/>
  <c r="H264" i="32" s="1"/>
  <c r="C264" i="32"/>
  <c r="D264" i="32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B266" i="32"/>
  <c r="C265" i="32"/>
  <c r="D265" i="32"/>
  <c r="G265" i="32"/>
  <c r="H265" i="32" s="1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B267" i="32"/>
  <c r="C266" i="32"/>
  <c r="D266" i="32"/>
  <c r="G266" i="32"/>
  <c r="H266" i="32" s="1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B268" i="32"/>
  <c r="D267" i="32"/>
  <c r="C267" i="32"/>
  <c r="G267" i="32"/>
  <c r="H267" i="32" s="1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B269" i="32"/>
  <c r="C268" i="32"/>
  <c r="D268" i="32"/>
  <c r="G268" i="32"/>
  <c r="H268" i="32" s="1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B270" i="32"/>
  <c r="C269" i="32"/>
  <c r="D269" i="32"/>
  <c r="G269" i="32"/>
  <c r="H269" i="32" s="1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B271" i="32"/>
  <c r="D270" i="32"/>
  <c r="C270" i="32"/>
  <c r="G270" i="32"/>
  <c r="H270" i="32" s="1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B272" i="32"/>
  <c r="C271" i="32"/>
  <c r="D271" i="32"/>
  <c r="G271" i="32"/>
  <c r="H271" i="32" s="1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B273" i="32"/>
  <c r="C272" i="32"/>
  <c r="D272" i="32"/>
  <c r="G272" i="32"/>
  <c r="H272" i="32" s="1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B274" i="32"/>
  <c r="C273" i="32"/>
  <c r="G273" i="32"/>
  <c r="H273" i="32" s="1"/>
  <c r="D273" i="32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B275" i="32"/>
  <c r="C274" i="32"/>
  <c r="D274" i="32"/>
  <c r="G274" i="32"/>
  <c r="H274" i="32" s="1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B276" i="32"/>
  <c r="C275" i="32"/>
  <c r="D275" i="32"/>
  <c r="G275" i="32"/>
  <c r="H275" i="32" s="1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B277" i="32"/>
  <c r="G276" i="32"/>
  <c r="H276" i="32" s="1"/>
  <c r="D276" i="32"/>
  <c r="C276" i="32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B278" i="32"/>
  <c r="C277" i="32"/>
  <c r="D277" i="32"/>
  <c r="G277" i="32"/>
  <c r="H277" i="32" s="1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B279" i="32"/>
  <c r="C278" i="32"/>
  <c r="G278" i="32"/>
  <c r="H278" i="32" s="1"/>
  <c r="D278" i="32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B280" i="32"/>
  <c r="D279" i="32"/>
  <c r="G279" i="32"/>
  <c r="H279" i="32" s="1"/>
  <c r="C279" i="32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B281" i="32"/>
  <c r="C280" i="32"/>
  <c r="D280" i="32"/>
  <c r="G280" i="32"/>
  <c r="H280" i="32" s="1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B282" i="32"/>
  <c r="G281" i="32"/>
  <c r="H281" i="32" s="1"/>
  <c r="C281" i="32"/>
  <c r="D281" i="32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B283" i="32"/>
  <c r="D282" i="32"/>
  <c r="G282" i="32"/>
  <c r="H282" i="32" s="1"/>
  <c r="C282" i="32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B284" i="32"/>
  <c r="C283" i="32"/>
  <c r="D283" i="32"/>
  <c r="G283" i="32"/>
  <c r="H283" i="32" s="1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B285" i="32"/>
  <c r="C284" i="32"/>
  <c r="D284" i="32"/>
  <c r="G284" i="32"/>
  <c r="H284" i="32" s="1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B286" i="32"/>
  <c r="C285" i="32"/>
  <c r="D285" i="32"/>
  <c r="G285" i="32"/>
  <c r="H285" i="32" s="1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B287" i="32"/>
  <c r="C286" i="32"/>
  <c r="D286" i="32"/>
  <c r="G286" i="32"/>
  <c r="H286" i="32" s="1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B288" i="32"/>
  <c r="G287" i="32"/>
  <c r="H287" i="32" s="1"/>
  <c r="C287" i="32"/>
  <c r="D287" i="32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B289" i="32"/>
  <c r="C288" i="32"/>
  <c r="D288" i="32"/>
  <c r="G288" i="32"/>
  <c r="H288" i="32" s="1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B290" i="32"/>
  <c r="C289" i="32"/>
  <c r="D289" i="32"/>
  <c r="G289" i="32"/>
  <c r="H289" i="32" s="1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B291" i="32"/>
  <c r="G290" i="32"/>
  <c r="H290" i="32" s="1"/>
  <c r="D290" i="32"/>
  <c r="C290" i="32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B292" i="32"/>
  <c r="C291" i="32"/>
  <c r="D291" i="32"/>
  <c r="G291" i="32"/>
  <c r="H291" i="32" s="1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B293" i="32"/>
  <c r="C292" i="32"/>
  <c r="D292" i="32"/>
  <c r="G292" i="32"/>
  <c r="H292" i="32" s="1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B294" i="32"/>
  <c r="G293" i="32"/>
  <c r="H293" i="32" s="1"/>
  <c r="D293" i="32"/>
  <c r="C293" i="32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B295" i="32"/>
  <c r="C294" i="32"/>
  <c r="D294" i="32"/>
  <c r="G294" i="32"/>
  <c r="H294" i="32" s="1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B296" i="32"/>
  <c r="C295" i="32"/>
  <c r="D295" i="32"/>
  <c r="G295" i="32"/>
  <c r="H295" i="32" s="1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B297" i="32"/>
  <c r="G296" i="32"/>
  <c r="H296" i="32" s="1"/>
  <c r="D296" i="32"/>
  <c r="C296" i="32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B298" i="32"/>
  <c r="C297" i="32"/>
  <c r="D297" i="32"/>
  <c r="G297" i="32"/>
  <c r="H297" i="32" s="1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B299" i="32"/>
  <c r="G298" i="32"/>
  <c r="H298" i="32" s="1"/>
  <c r="C298" i="32"/>
  <c r="D298" i="32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B300" i="32"/>
  <c r="C299" i="32"/>
  <c r="D299" i="32"/>
  <c r="G299" i="32"/>
  <c r="H299" i="32" s="1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B301" i="32"/>
  <c r="C300" i="32"/>
  <c r="D300" i="32"/>
  <c r="G300" i="32"/>
  <c r="H300" i="32" s="1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B302" i="32"/>
  <c r="C301" i="32"/>
  <c r="G301" i="32"/>
  <c r="H301" i="32" s="1"/>
  <c r="D301" i="32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B303" i="32"/>
  <c r="C302" i="32"/>
  <c r="D302" i="32"/>
  <c r="G302" i="32"/>
  <c r="H302" i="32" s="1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B304" i="32"/>
  <c r="C303" i="32"/>
  <c r="D303" i="32"/>
  <c r="G303" i="32"/>
  <c r="H303" i="32" s="1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B305" i="32"/>
  <c r="C304" i="32"/>
  <c r="G304" i="32"/>
  <c r="H304" i="32" s="1"/>
  <c r="D304" i="32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B306" i="32"/>
  <c r="C305" i="32"/>
  <c r="D305" i="32"/>
  <c r="G305" i="32"/>
  <c r="H305" i="32" s="1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B307" i="32"/>
  <c r="C306" i="32"/>
  <c r="D306" i="32"/>
  <c r="G306" i="32"/>
  <c r="H306" i="32" s="1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B308" i="32"/>
  <c r="G307" i="32"/>
  <c r="H307" i="32" s="1"/>
  <c r="C307" i="32"/>
  <c r="D307" i="32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B309" i="32"/>
  <c r="C308" i="32"/>
  <c r="D308" i="32"/>
  <c r="G308" i="32"/>
  <c r="H308" i="32" s="1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B310" i="32"/>
  <c r="C309" i="32"/>
  <c r="D309" i="32"/>
  <c r="G309" i="32"/>
  <c r="H309" i="32" s="1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B311" i="32"/>
  <c r="G310" i="32"/>
  <c r="H310" i="32" s="1"/>
  <c r="C310" i="32"/>
  <c r="D310" i="32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B312" i="32"/>
  <c r="C311" i="32"/>
  <c r="D311" i="32"/>
  <c r="G311" i="32"/>
  <c r="H311" i="32" s="1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B313" i="32"/>
  <c r="G312" i="32"/>
  <c r="H312" i="32" s="1"/>
  <c r="C312" i="32"/>
  <c r="D312" i="32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B314" i="32"/>
  <c r="C313" i="32"/>
  <c r="D313" i="32"/>
  <c r="G313" i="32"/>
  <c r="H313" i="32" s="1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B315" i="32"/>
  <c r="C314" i="32"/>
  <c r="D314" i="32"/>
  <c r="G314" i="32"/>
  <c r="H314" i="32" s="1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B316" i="32"/>
  <c r="D315" i="32"/>
  <c r="C315" i="32"/>
  <c r="G315" i="32"/>
  <c r="H315" i="32" s="1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B317" i="32"/>
  <c r="C316" i="32"/>
  <c r="D316" i="32"/>
  <c r="G316" i="32"/>
  <c r="H316" i="32" s="1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B318" i="32"/>
  <c r="C317" i="32"/>
  <c r="D317" i="32"/>
  <c r="G317" i="32"/>
  <c r="H317" i="32" s="1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B319" i="32"/>
  <c r="D318" i="32"/>
  <c r="C318" i="32"/>
  <c r="G318" i="32"/>
  <c r="H318" i="32" s="1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B320" i="32"/>
  <c r="C319" i="32"/>
  <c r="D319" i="32"/>
  <c r="G319" i="32"/>
  <c r="H319" i="32" s="1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B321" i="32"/>
  <c r="C320" i="32"/>
  <c r="D320" i="32"/>
  <c r="G320" i="32"/>
  <c r="H320" i="32" s="1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B322" i="32"/>
  <c r="C321" i="32"/>
  <c r="G321" i="32"/>
  <c r="H321" i="32" s="1"/>
  <c r="D321" i="32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B323" i="32"/>
  <c r="C322" i="32"/>
  <c r="D322" i="32"/>
  <c r="G322" i="32"/>
  <c r="H322" i="32" s="1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B324" i="32"/>
  <c r="C323" i="32"/>
  <c r="D323" i="32"/>
  <c r="G323" i="32"/>
  <c r="H323" i="32" s="1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B325" i="32"/>
  <c r="G324" i="32"/>
  <c r="H324" i="32" s="1"/>
  <c r="D324" i="32"/>
  <c r="C324" i="32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B326" i="32"/>
  <c r="C325" i="32"/>
  <c r="D325" i="32"/>
  <c r="G325" i="32"/>
  <c r="H325" i="32" s="1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B327" i="32"/>
  <c r="C326" i="32"/>
  <c r="G326" i="32"/>
  <c r="H326" i="32" s="1"/>
  <c r="D326" i="32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B328" i="32"/>
  <c r="D327" i="32"/>
  <c r="G327" i="32"/>
  <c r="H327" i="32" s="1"/>
  <c r="C327" i="32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B329" i="32"/>
  <c r="C328" i="32"/>
  <c r="D328" i="32"/>
  <c r="G328" i="32"/>
  <c r="H328" i="32" s="1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B330" i="32"/>
  <c r="G329" i="32"/>
  <c r="H329" i="32" s="1"/>
  <c r="C329" i="32"/>
  <c r="D329" i="32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B331" i="32"/>
  <c r="D330" i="32"/>
  <c r="G330" i="32"/>
  <c r="H330" i="32" s="1"/>
  <c r="C330" i="32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B332" i="32"/>
  <c r="C331" i="32"/>
  <c r="D331" i="32"/>
  <c r="G331" i="32"/>
  <c r="H331" i="32" s="1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B333" i="32"/>
  <c r="G332" i="32"/>
  <c r="H332" i="32" s="1"/>
  <c r="C332" i="32"/>
  <c r="D332" i="32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B334" i="32"/>
  <c r="C333" i="32"/>
  <c r="D333" i="32"/>
  <c r="G333" i="32"/>
  <c r="H333" i="32" s="1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B335" i="32"/>
  <c r="C334" i="32"/>
  <c r="D334" i="32"/>
  <c r="G334" i="32"/>
  <c r="H334" i="32" s="1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B336" i="32"/>
  <c r="G335" i="32"/>
  <c r="H335" i="32" s="1"/>
  <c r="C335" i="32"/>
  <c r="D335" i="32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B337" i="32"/>
  <c r="C336" i="32"/>
  <c r="D336" i="32"/>
  <c r="G336" i="32"/>
  <c r="H336" i="32" s="1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B338" i="32"/>
  <c r="C337" i="32"/>
  <c r="D337" i="32"/>
  <c r="G337" i="32"/>
  <c r="H337" i="32" s="1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C338" i="32"/>
  <c r="D338" i="32"/>
  <c r="G338" i="32"/>
  <c r="H338" i="32" s="1"/>
  <c r="B339" i="32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B340" i="32"/>
  <c r="C339" i="32"/>
  <c r="D339" i="32"/>
  <c r="G339" i="32"/>
  <c r="H339" i="32" s="1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B341" i="32"/>
  <c r="G340" i="32"/>
  <c r="H340" i="32" s="1"/>
  <c r="C340" i="32"/>
  <c r="D340" i="32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B342" i="32"/>
  <c r="C341" i="32"/>
  <c r="D341" i="32"/>
  <c r="G341" i="32"/>
  <c r="H341" i="32" s="1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B343" i="32"/>
  <c r="C342" i="32"/>
  <c r="G342" i="32"/>
  <c r="H342" i="32" s="1"/>
  <c r="D342" i="32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B344" i="32"/>
  <c r="D343" i="32"/>
  <c r="G343" i="32"/>
  <c r="H343" i="32" s="1"/>
  <c r="C343" i="32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B345" i="32"/>
  <c r="C344" i="32"/>
  <c r="D344" i="32"/>
  <c r="G344" i="32"/>
  <c r="H344" i="32" s="1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B346" i="32"/>
  <c r="C345" i="32"/>
  <c r="D345" i="32"/>
  <c r="G345" i="32"/>
  <c r="H345" i="32" s="1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B347" i="32"/>
  <c r="C346" i="32"/>
  <c r="D346" i="32"/>
  <c r="G346" i="32"/>
  <c r="H346" i="32" s="1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B348" i="32"/>
  <c r="C347" i="32"/>
  <c r="D347" i="32"/>
  <c r="G347" i="32"/>
  <c r="H347" i="32" s="1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B349" i="32"/>
  <c r="G348" i="32"/>
  <c r="H348" i="32" s="1"/>
  <c r="C348" i="32"/>
  <c r="D348" i="32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B350" i="32"/>
  <c r="C349" i="32"/>
  <c r="D349" i="32"/>
  <c r="G349" i="32"/>
  <c r="H349" i="32" s="1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B351" i="32"/>
  <c r="G350" i="32"/>
  <c r="H350" i="32" s="1"/>
  <c r="C350" i="32"/>
  <c r="D350" i="32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B352" i="32"/>
  <c r="C351" i="32"/>
  <c r="D351" i="32"/>
  <c r="G351" i="32"/>
  <c r="H351" i="32" s="1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B353" i="32"/>
  <c r="C352" i="32"/>
  <c r="D352" i="32"/>
  <c r="G352" i="32"/>
  <c r="H352" i="32" s="1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B354" i="32"/>
  <c r="C353" i="32"/>
  <c r="D353" i="32"/>
  <c r="G353" i="32"/>
  <c r="H353" i="32" s="1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B355" i="32"/>
  <c r="C354" i="32"/>
  <c r="D354" i="32"/>
  <c r="G354" i="32"/>
  <c r="H354" i="32" s="1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B356" i="32"/>
  <c r="C355" i="32"/>
  <c r="D355" i="32"/>
  <c r="G355" i="32"/>
  <c r="H355" i="32" s="1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B357" i="32"/>
  <c r="C356" i="32"/>
  <c r="D356" i="32"/>
  <c r="G356" i="32"/>
  <c r="H356" i="32" s="1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B358" i="32"/>
  <c r="C357" i="32"/>
  <c r="D357" i="32"/>
  <c r="G357" i="32"/>
  <c r="H357" i="32" s="1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B359" i="32"/>
  <c r="C358" i="32"/>
  <c r="D358" i="32"/>
  <c r="G358" i="32"/>
  <c r="H358" i="32" s="1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B360" i="32"/>
  <c r="D359" i="32"/>
  <c r="G359" i="32"/>
  <c r="H359" i="32" s="1"/>
  <c r="C359" i="32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B361" i="32"/>
  <c r="C360" i="32"/>
  <c r="D360" i="32"/>
  <c r="G360" i="32"/>
  <c r="H360" i="32" s="1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B362" i="32"/>
  <c r="C361" i="32"/>
  <c r="D361" i="32"/>
  <c r="G361" i="32"/>
  <c r="H361" i="32" s="1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B363" i="32"/>
  <c r="C362" i="32"/>
  <c r="D362" i="32"/>
  <c r="G362" i="32"/>
  <c r="H362" i="32" s="1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B364" i="32"/>
  <c r="C363" i="32"/>
  <c r="D363" i="32"/>
  <c r="G363" i="32"/>
  <c r="H363" i="32" s="1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B365" i="32"/>
  <c r="G364" i="32"/>
  <c r="H364" i="32" s="1"/>
  <c r="C364" i="32"/>
  <c r="D364" i="32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B366" i="32"/>
  <c r="C365" i="32"/>
  <c r="D365" i="32"/>
  <c r="G365" i="32"/>
  <c r="H365" i="32" s="1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B367" i="32"/>
  <c r="G366" i="32"/>
  <c r="H366" i="32" s="1"/>
  <c r="C366" i="32"/>
  <c r="D366" i="32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B368" i="32"/>
  <c r="D367" i="32"/>
  <c r="G367" i="32"/>
  <c r="H367" i="32" s="1"/>
  <c r="C367" i="32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B369" i="32"/>
  <c r="C368" i="32"/>
  <c r="D368" i="32"/>
  <c r="G368" i="32"/>
  <c r="H368" i="32" s="1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370" i="32"/>
  <c r="D369" i="32"/>
  <c r="C369" i="32"/>
  <c r="G369" i="32"/>
  <c r="H369" i="32" s="1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B371" i="32"/>
  <c r="C370" i="32"/>
  <c r="D370" i="32"/>
  <c r="G370" i="32"/>
  <c r="H370" i="32" s="1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B372" i="32"/>
  <c r="C371" i="32"/>
  <c r="D371" i="32"/>
  <c r="G371" i="32"/>
  <c r="H371" i="32" s="1"/>
  <c r="D10" i="20" l="1"/>
  <c r="A11" i="20"/>
  <c r="R6" i="39"/>
  <c r="Q6" i="39"/>
  <c r="C10" i="20"/>
  <c r="E10" i="20"/>
  <c r="B10" i="20"/>
  <c r="J2" i="27"/>
  <c r="I2" i="27"/>
  <c r="O6" i="39"/>
  <c r="AR153" i="39"/>
  <c r="AD153" i="39"/>
  <c r="E11" i="20"/>
  <c r="D11" i="20"/>
  <c r="C11" i="20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Y8" i="39"/>
  <c r="X8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B373" i="32"/>
  <c r="G372" i="32"/>
  <c r="H372" i="32" s="1"/>
  <c r="C372" i="32"/>
  <c r="D372" i="32"/>
  <c r="A12" i="20" l="1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374" i="32"/>
  <c r="C373" i="32"/>
  <c r="D373" i="32"/>
  <c r="G373" i="32"/>
  <c r="H373" i="32" s="1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B375" i="32"/>
  <c r="G374" i="32"/>
  <c r="H374" i="32" s="1"/>
  <c r="C374" i="32"/>
  <c r="D374" i="32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B376" i="32"/>
  <c r="C375" i="32"/>
  <c r="D375" i="32"/>
  <c r="G375" i="32"/>
  <c r="H375" i="32" s="1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B377" i="32"/>
  <c r="C376" i="32"/>
  <c r="D376" i="32"/>
  <c r="G376" i="32"/>
  <c r="H376" i="32" s="1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B378" i="32"/>
  <c r="C377" i="32"/>
  <c r="D377" i="32"/>
  <c r="G377" i="32"/>
  <c r="H377" i="32" s="1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B379" i="32"/>
  <c r="C378" i="32"/>
  <c r="D378" i="32"/>
  <c r="G378" i="32"/>
  <c r="H378" i="32" s="1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B380" i="32"/>
  <c r="C379" i="32"/>
  <c r="D379" i="32"/>
  <c r="G379" i="32"/>
  <c r="H379" i="32" s="1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B381" i="32"/>
  <c r="C380" i="32"/>
  <c r="D380" i="32"/>
  <c r="G380" i="32"/>
  <c r="H380" i="32" s="1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B382" i="32"/>
  <c r="C381" i="32"/>
  <c r="D381" i="32"/>
  <c r="G381" i="32"/>
  <c r="H381" i="32" s="1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B383" i="32"/>
  <c r="C382" i="32"/>
  <c r="D382" i="32"/>
  <c r="G382" i="32"/>
  <c r="H382" i="32" s="1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B384" i="32"/>
  <c r="D383" i="32"/>
  <c r="G383" i="32"/>
  <c r="H383" i="32" s="1"/>
  <c r="C383" i="32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B385" i="32"/>
  <c r="C384" i="32"/>
  <c r="D384" i="32"/>
  <c r="G384" i="32"/>
  <c r="H384" i="32" s="1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B386" i="32"/>
  <c r="C385" i="32"/>
  <c r="D385" i="32"/>
  <c r="G385" i="32"/>
  <c r="H385" i="32" s="1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B387" i="32"/>
  <c r="C386" i="32"/>
  <c r="D386" i="32"/>
  <c r="G386" i="32"/>
  <c r="H386" i="32" s="1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B388" i="32"/>
  <c r="C387" i="32"/>
  <c r="D387" i="32"/>
  <c r="G387" i="32"/>
  <c r="H387" i="32" s="1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B389" i="32"/>
  <c r="G388" i="32"/>
  <c r="H388" i="32" s="1"/>
  <c r="C388" i="32"/>
  <c r="D388" i="32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B390" i="32"/>
  <c r="C389" i="32"/>
  <c r="D389" i="32"/>
  <c r="G389" i="32"/>
  <c r="H389" i="32" s="1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B391" i="32"/>
  <c r="G390" i="32"/>
  <c r="H390" i="32" s="1"/>
  <c r="C390" i="32"/>
  <c r="D390" i="32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B392" i="32"/>
  <c r="D391" i="32"/>
  <c r="G391" i="32"/>
  <c r="H391" i="32" s="1"/>
  <c r="C391" i="32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B393" i="32"/>
  <c r="C392" i="32"/>
  <c r="D392" i="32"/>
  <c r="G392" i="32"/>
  <c r="H392" i="32" s="1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B394" i="32"/>
  <c r="D393" i="32"/>
  <c r="C393" i="32"/>
  <c r="G393" i="32"/>
  <c r="H393" i="32" s="1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C394" i="32"/>
  <c r="D394" i="32"/>
  <c r="G394" i="32"/>
  <c r="H394" i="32" s="1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G49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100" i="30"/>
  <c r="AM130" i="30"/>
  <c r="AM141" i="30"/>
  <c r="AM122" i="30"/>
  <c r="AM132" i="30"/>
  <c r="AM67" i="30"/>
  <c r="AM63" i="30"/>
  <c r="AM38" i="30"/>
  <c r="AM70" i="30"/>
  <c r="AM102" i="30"/>
  <c r="AM134" i="30"/>
  <c r="AM166" i="30"/>
  <c r="AM47" i="30"/>
  <c r="AM143" i="30"/>
  <c r="AM169" i="30"/>
  <c r="AM114" i="30"/>
  <c r="AM51" i="30"/>
  <c r="AM163" i="30"/>
  <c r="AM32" i="30"/>
  <c r="AM64" i="30"/>
  <c r="AM96" i="30"/>
  <c r="AM128" i="30"/>
  <c r="AM160" i="30"/>
  <c r="AM9" i="30"/>
  <c r="AM41" i="30"/>
  <c r="AM73" i="30"/>
  <c r="AM129" i="30"/>
  <c r="AM74" i="30"/>
  <c r="AM3" i="30"/>
  <c r="AM139" i="30"/>
  <c r="AM164" i="30"/>
  <c r="AM13" i="30"/>
  <c r="AM159" i="30"/>
  <c r="AM12" i="30"/>
  <c r="AM44" i="30"/>
  <c r="AM76" i="30"/>
  <c r="AM108" i="30"/>
  <c r="AM140" i="30"/>
  <c r="AM172" i="30"/>
  <c r="AM71" i="30"/>
  <c r="AM183" i="30"/>
  <c r="AM34" i="30"/>
  <c r="AM162" i="30"/>
  <c r="AM107" i="30"/>
  <c r="AM21" i="30"/>
  <c r="AM53" i="30"/>
  <c r="AM85" i="30"/>
  <c r="AM117" i="30"/>
  <c r="AM149" i="30"/>
  <c r="AM181" i="30"/>
  <c r="AM87" i="30"/>
  <c r="AM175" i="30"/>
  <c r="AM26" i="30"/>
  <c r="AM154" i="30"/>
  <c r="AM91" i="30"/>
  <c r="AM6" i="30"/>
  <c r="AM68" i="30"/>
  <c r="AM177" i="30"/>
  <c r="AM109" i="30"/>
  <c r="AM179" i="30"/>
  <c r="AM46" i="30"/>
  <c r="AM78" i="30"/>
  <c r="AM110" i="30"/>
  <c r="AM142" i="30"/>
  <c r="AM174" i="30"/>
  <c r="AM79" i="30"/>
  <c r="AM167" i="30"/>
  <c r="AM10" i="30"/>
  <c r="AM146" i="30"/>
  <c r="AM75" i="30"/>
  <c r="AM8" i="30"/>
  <c r="AM40" i="30"/>
  <c r="AM72" i="30"/>
  <c r="AM104" i="30"/>
  <c r="AM136" i="30"/>
  <c r="AM168" i="30"/>
  <c r="AM17" i="30"/>
  <c r="AM49" i="30"/>
  <c r="AM81" i="30"/>
  <c r="AM161" i="30"/>
  <c r="AM106" i="30"/>
  <c r="AM43" i="30"/>
  <c r="AM171" i="30"/>
  <c r="AM4" i="30"/>
  <c r="AM151" i="30"/>
  <c r="AM173" i="30"/>
  <c r="AM20" i="30"/>
  <c r="AM52" i="30"/>
  <c r="AM84" i="30"/>
  <c r="AM116" i="30"/>
  <c r="AM148" i="30"/>
  <c r="AM180" i="30"/>
  <c r="AM95" i="30"/>
  <c r="AM89" i="30"/>
  <c r="AM66" i="30"/>
  <c r="AM11" i="30"/>
  <c r="AM147" i="30"/>
  <c r="AM29" i="30"/>
  <c r="AM61" i="30"/>
  <c r="AM93" i="30"/>
  <c r="AM125" i="30"/>
  <c r="AM157" i="30"/>
  <c r="AM7" i="30"/>
  <c r="AM111" i="30"/>
  <c r="AM97" i="30"/>
  <c r="AM58" i="30"/>
  <c r="AM15" i="30"/>
  <c r="AM123" i="30"/>
  <c r="AM55" i="30"/>
  <c r="AM77" i="30"/>
  <c r="AM59" i="30"/>
  <c r="AM54" i="30"/>
  <c r="AM86" i="30"/>
  <c r="AM118" i="30"/>
  <c r="AM150" i="30"/>
  <c r="AM182" i="30"/>
  <c r="AM103" i="30"/>
  <c r="AM105" i="30"/>
  <c r="AM50" i="30"/>
  <c r="AM178" i="30"/>
  <c r="AM99" i="30"/>
  <c r="AM16" i="30"/>
  <c r="AM48" i="30"/>
  <c r="AM80" i="30"/>
  <c r="AM112" i="30"/>
  <c r="AM144" i="30"/>
  <c r="AM176" i="30"/>
  <c r="AM25" i="30"/>
  <c r="AM57" i="30"/>
  <c r="AM113" i="30"/>
  <c r="AM18" i="30"/>
  <c r="AM138" i="30"/>
  <c r="AM83" i="30"/>
  <c r="AM36" i="30"/>
  <c r="AM45" i="30"/>
  <c r="AM185" i="30"/>
  <c r="AM28" i="30"/>
  <c r="AM60" i="30"/>
  <c r="AM92" i="30"/>
  <c r="AM124" i="30"/>
  <c r="AM156" i="30"/>
  <c r="AM23" i="30"/>
  <c r="AM119" i="30"/>
  <c r="AM137" i="30"/>
  <c r="AM98" i="30"/>
  <c r="AM35" i="30"/>
  <c r="AM5" i="30"/>
  <c r="AM37" i="30"/>
  <c r="AM69" i="30"/>
  <c r="AM101" i="30"/>
  <c r="AM133" i="30"/>
  <c r="AM165" i="30"/>
  <c r="AM31" i="30"/>
  <c r="AM135" i="30"/>
  <c r="AM153" i="30"/>
  <c r="AM90" i="30"/>
  <c r="AM19" i="30"/>
  <c r="AM155" i="30"/>
  <c r="AM30" i="30"/>
  <c r="AM62" i="30"/>
  <c r="AM94" i="30"/>
  <c r="AM126" i="30"/>
  <c r="AM158" i="30"/>
  <c r="AM39" i="30"/>
  <c r="AM127" i="30"/>
  <c r="AM145" i="30"/>
  <c r="AM82" i="30"/>
  <c r="AM27" i="30"/>
  <c r="AM131" i="30"/>
  <c r="AM24" i="30"/>
  <c r="AM56" i="30"/>
  <c r="AM88" i="30"/>
  <c r="AM120" i="30"/>
  <c r="AM152" i="30"/>
  <c r="AM184" i="30"/>
  <c r="AM33" i="30"/>
  <c r="AM65" i="30"/>
  <c r="AM121" i="30"/>
  <c r="AM42" i="30"/>
  <c r="AM170" i="30"/>
  <c r="AM115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C73" i="20"/>
  <c r="B73" i="20"/>
  <c r="E73" i="20"/>
  <c r="D73" i="20"/>
  <c r="W69" i="39"/>
  <c r="R69" i="39"/>
  <c r="O69" i="39"/>
  <c r="Q69" i="39"/>
  <c r="U69" i="39"/>
  <c r="I70" i="39"/>
  <c r="G71" i="39"/>
  <c r="J71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AA71" i="39" l="1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D75" i="20"/>
  <c r="C75" i="20"/>
  <c r="B75" i="20"/>
  <c r="E75" i="20"/>
  <c r="X72" i="39"/>
  <c r="L72" i="39"/>
  <c r="AB72" i="39"/>
  <c r="AS72" i="39" s="1"/>
  <c r="J72" i="39"/>
  <c r="V72" i="39"/>
  <c r="H72" i="39"/>
  <c r="J73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B80" i="20"/>
  <c r="E80" i="20"/>
  <c r="D80" i="20"/>
  <c r="C80" i="20"/>
  <c r="V77" i="39"/>
  <c r="Z77" i="39"/>
  <c r="AA78" i="39"/>
  <c r="F78" i="39"/>
  <c r="I77" i="39"/>
  <c r="V78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M78" i="39" l="1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H6" i="35" l="1"/>
  <c r="Y80" i="39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C84" i="20"/>
  <c r="B84" i="20"/>
  <c r="E84" i="20"/>
  <c r="D84" i="20"/>
  <c r="V81" i="39"/>
  <c r="AB81" i="39"/>
  <c r="AS81" i="39" s="1"/>
  <c r="AA81" i="39"/>
  <c r="Y81" i="39"/>
  <c r="L81" i="39"/>
  <c r="G82" i="39"/>
  <c r="G81" i="39"/>
  <c r="J82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K82" i="39" l="1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C10" i="35" l="1"/>
  <c r="AO10" i="35"/>
  <c r="V83" i="39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AG11" i="35" l="1"/>
  <c r="M84" i="39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BS11" i="35" l="1"/>
  <c r="AQ11" i="35"/>
  <c r="AB85" i="39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A98" i="20" l="1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P17" i="35"/>
  <c r="AH13" i="35"/>
  <c r="Z17" i="35"/>
  <c r="AR17" i="35"/>
  <c r="AX15" i="35"/>
  <c r="BL17" i="35"/>
  <c r="BH14" i="35"/>
  <c r="G16" i="35"/>
  <c r="S16" i="35"/>
  <c r="AY17" i="35"/>
  <c r="AP16" i="35"/>
  <c r="E14" i="35"/>
  <c r="BA13" i="35"/>
  <c r="N18" i="35"/>
  <c r="AU13" i="35"/>
  <c r="BM15" i="35"/>
  <c r="U17" i="35"/>
  <c r="BT13" i="35"/>
  <c r="AV15" i="35"/>
  <c r="BC17" i="35"/>
  <c r="AM16" i="35"/>
  <c r="BR13" i="35"/>
  <c r="BO16" i="35"/>
  <c r="AI17" i="35"/>
  <c r="BC13" i="35"/>
  <c r="AI18" i="35"/>
  <c r="AW16" i="35"/>
  <c r="AK16" i="35"/>
  <c r="BE15" i="35"/>
  <c r="Y16" i="35"/>
  <c r="AZ17" i="35"/>
  <c r="X13" i="35"/>
  <c r="BC16" i="35"/>
  <c r="AD13" i="35"/>
  <c r="BF15" i="35"/>
  <c r="X14" i="35"/>
  <c r="AE15" i="35"/>
  <c r="AR18" i="35"/>
  <c r="AM17" i="35"/>
  <c r="BD16" i="35"/>
  <c r="BA15" i="35"/>
  <c r="Q13" i="35"/>
  <c r="BA18" i="35"/>
  <c r="AQ18" i="35"/>
  <c r="AK17" i="35"/>
  <c r="H13" i="35"/>
  <c r="AE18" i="35"/>
  <c r="L15" i="35"/>
  <c r="AE16" i="35"/>
  <c r="AJ17" i="35"/>
  <c r="AS14" i="35"/>
  <c r="AP15" i="35"/>
  <c r="AU17" i="35"/>
  <c r="AD14" i="35"/>
  <c r="Q17" i="35"/>
  <c r="BM13" i="35"/>
  <c r="C13" i="35"/>
  <c r="AC18" i="35"/>
  <c r="BH15" i="35"/>
  <c r="BO14" i="35"/>
  <c r="BR15" i="35"/>
  <c r="M18" i="35"/>
  <c r="AV17" i="35"/>
  <c r="AQ13" i="35"/>
  <c r="AK15" i="35"/>
  <c r="S13" i="35"/>
  <c r="AO15" i="35"/>
  <c r="T14" i="35"/>
  <c r="D15" i="35"/>
  <c r="BG17" i="35"/>
  <c r="BC14" i="35"/>
  <c r="AG16" i="35"/>
  <c r="Z13" i="35"/>
  <c r="C16" i="35"/>
  <c r="BN16" i="35"/>
  <c r="BD15" i="35"/>
  <c r="AA13" i="35"/>
  <c r="AH18" i="35"/>
  <c r="AF15" i="35"/>
  <c r="BE18" i="35"/>
  <c r="AG18" i="35"/>
  <c r="AD15" i="35"/>
  <c r="BP18" i="35"/>
  <c r="BN15" i="35"/>
  <c r="BP13" i="35"/>
  <c r="BR14" i="35"/>
  <c r="AJ16" i="35"/>
  <c r="BK14" i="35"/>
  <c r="I17" i="35"/>
  <c r="AP13" i="35"/>
  <c r="P16" i="35"/>
  <c r="AD18" i="35"/>
  <c r="W14" i="35"/>
  <c r="AA14" i="35"/>
  <c r="R15" i="35"/>
  <c r="AB14" i="35"/>
  <c r="AO14" i="35"/>
  <c r="AX18" i="35"/>
  <c r="AN16" i="35"/>
  <c r="L17" i="35"/>
  <c r="H18" i="35"/>
  <c r="AE17" i="35"/>
  <c r="AT16" i="35"/>
  <c r="BK15" i="35"/>
  <c r="BP16" i="35"/>
  <c r="BI14" i="35"/>
  <c r="N16" i="35"/>
  <c r="AS18" i="35"/>
  <c r="P18" i="35"/>
  <c r="AY13" i="35"/>
  <c r="H17" i="35"/>
  <c r="BH13" i="35"/>
  <c r="BO13" i="35"/>
  <c r="AL13" i="35"/>
  <c r="Z14" i="35"/>
  <c r="N13" i="35"/>
  <c r="BK18" i="35"/>
  <c r="G13" i="35"/>
  <c r="BB15" i="35"/>
  <c r="AX14" i="35"/>
  <c r="BS14" i="35"/>
  <c r="Z15" i="35"/>
  <c r="O13" i="35"/>
  <c r="O18" i="35"/>
  <c r="AH15" i="35"/>
  <c r="W17" i="35"/>
  <c r="Z16" i="35"/>
  <c r="M15" i="35"/>
  <c r="AZ13" i="35"/>
  <c r="BG15" i="35"/>
  <c r="W18" i="35"/>
  <c r="T17" i="35"/>
  <c r="P13" i="35"/>
  <c r="AH17" i="35"/>
  <c r="AO18" i="35"/>
  <c r="BC15" i="35"/>
  <c r="AL15" i="35"/>
  <c r="BD17" i="35"/>
  <c r="BG14" i="35"/>
  <c r="G17" i="35"/>
  <c r="BR17" i="35"/>
  <c r="BS18" i="35"/>
  <c r="BB14" i="35"/>
  <c r="R16" i="35"/>
  <c r="BL18" i="35"/>
  <c r="AL17" i="35"/>
  <c r="AN15" i="35"/>
  <c r="AS13" i="35"/>
  <c r="BA16" i="35"/>
  <c r="BC18" i="35"/>
  <c r="W15" i="35"/>
  <c r="AW15" i="35"/>
  <c r="U13" i="35"/>
  <c r="O16" i="35"/>
  <c r="BS13" i="35"/>
  <c r="BQ15" i="35"/>
  <c r="AT17" i="35"/>
  <c r="AL16" i="35"/>
  <c r="BN18" i="35"/>
  <c r="BH16" i="35"/>
  <c r="F17" i="35"/>
  <c r="AN17" i="35"/>
  <c r="V17" i="35"/>
  <c r="AO16" i="35"/>
  <c r="P15" i="35"/>
  <c r="C17" i="35"/>
  <c r="BO17" i="35"/>
  <c r="H16" i="35"/>
  <c r="AH14" i="35"/>
  <c r="AN14" i="35"/>
  <c r="AM15" i="35"/>
  <c r="AY18" i="35"/>
  <c r="BJ14" i="35"/>
  <c r="AQ15" i="35"/>
  <c r="AJ18" i="35"/>
  <c r="R14" i="35"/>
  <c r="E16" i="35"/>
  <c r="K15" i="35"/>
  <c r="L16" i="35"/>
  <c r="V15" i="35"/>
  <c r="J13" i="35"/>
  <c r="BF13" i="35"/>
  <c r="V14" i="35"/>
  <c r="AC13" i="35"/>
  <c r="AW18" i="35"/>
  <c r="K16" i="35"/>
  <c r="BI16" i="35"/>
  <c r="AP18" i="35"/>
  <c r="AX16" i="35"/>
  <c r="AM18" i="35"/>
  <c r="H15" i="35"/>
  <c r="AW13" i="35"/>
  <c r="AJ13" i="35"/>
  <c r="V16" i="35"/>
  <c r="AI16" i="35"/>
  <c r="BP14" i="35"/>
  <c r="BQ16" i="35"/>
  <c r="AJ14" i="35"/>
  <c r="F18" i="35"/>
  <c r="T18" i="35"/>
  <c r="AY15" i="35"/>
  <c r="AG17" i="35"/>
  <c r="BL13" i="35"/>
  <c r="BM16" i="35"/>
  <c r="AS15" i="35"/>
  <c r="AQ17" i="35"/>
  <c r="D13" i="35"/>
  <c r="Q14" i="35"/>
  <c r="D14" i="35"/>
  <c r="BN17" i="35"/>
  <c r="BN13" i="35"/>
  <c r="F16" i="35"/>
  <c r="L14" i="35"/>
  <c r="BF14" i="35"/>
  <c r="X18" i="35"/>
  <c r="BE16" i="35"/>
  <c r="BQ13" i="35"/>
  <c r="BN14" i="35"/>
  <c r="K17" i="35"/>
  <c r="BT15" i="35"/>
  <c r="AN18" i="35"/>
  <c r="BT17" i="35"/>
  <c r="BT18" i="35"/>
  <c r="BA17" i="35"/>
  <c r="AV13" i="35"/>
  <c r="M13" i="35"/>
  <c r="BS17" i="35"/>
  <c r="BT16" i="35"/>
  <c r="AU18" i="35"/>
  <c r="T15" i="35"/>
  <c r="X15" i="35"/>
  <c r="AC15" i="35"/>
  <c r="BS15" i="35"/>
  <c r="Z18" i="35"/>
  <c r="AZ18" i="35"/>
  <c r="BI15" i="35"/>
  <c r="AU15" i="35"/>
  <c r="G15" i="35"/>
  <c r="AS16" i="35"/>
  <c r="I16" i="35"/>
  <c r="V18" i="35"/>
  <c r="R17" i="35"/>
  <c r="R18" i="35"/>
  <c r="AY14" i="35"/>
  <c r="AS17" i="35"/>
  <c r="BJ18" i="35"/>
  <c r="BI18" i="35"/>
  <c r="AO13" i="35"/>
  <c r="BO15" i="35"/>
  <c r="N14" i="35"/>
  <c r="AG15" i="35"/>
  <c r="BE17" i="35"/>
  <c r="BB18" i="35"/>
  <c r="F14" i="35"/>
  <c r="AF18" i="35"/>
  <c r="AZ15" i="35"/>
  <c r="AK13" i="35"/>
  <c r="N17" i="35"/>
  <c r="AB18" i="35"/>
  <c r="S18" i="35"/>
  <c r="AL14" i="35"/>
  <c r="AV18" i="35"/>
  <c r="BB16" i="35"/>
  <c r="K14" i="35"/>
  <c r="BK17" i="35"/>
  <c r="U16" i="35"/>
  <c r="AB13" i="35"/>
  <c r="AF17" i="35"/>
  <c r="BL15" i="35"/>
  <c r="U14" i="35"/>
  <c r="AR14" i="35"/>
  <c r="Q15" i="35"/>
  <c r="U18" i="35"/>
  <c r="H14" i="35"/>
  <c r="O15" i="35"/>
  <c r="K18" i="35"/>
  <c r="AQ16" i="35"/>
  <c r="AN13" i="35"/>
  <c r="T13" i="35"/>
  <c r="AX17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AT18" i="35"/>
  <c r="BM18" i="35"/>
  <c r="S15" i="35"/>
  <c r="D18" i="35"/>
  <c r="AU14" i="35"/>
  <c r="AT15" i="35"/>
  <c r="BD14" i="35"/>
  <c r="AF13" i="35"/>
  <c r="BQ17" i="35"/>
  <c r="X17" i="35"/>
  <c r="AZ16" i="35"/>
  <c r="BG18" i="35"/>
  <c r="BB13" i="35"/>
  <c r="F15" i="35"/>
  <c r="BP15" i="35"/>
  <c r="O14" i="35"/>
  <c r="D17" i="35"/>
  <c r="J15" i="35"/>
  <c r="BG13" i="35"/>
  <c r="AR15" i="35"/>
  <c r="S14" i="35"/>
  <c r="L18" i="35"/>
  <c r="AT13" i="35"/>
  <c r="W13" i="35"/>
  <c r="O17" i="35"/>
  <c r="BD18" i="35"/>
  <c r="BE19" i="35"/>
  <c r="AL18" i="35"/>
  <c r="BM14" i="35"/>
  <c r="Q18" i="35"/>
  <c r="BL20" i="35"/>
  <c r="BG16" i="35"/>
  <c r="AJ19" i="35"/>
  <c r="BF16" i="35"/>
  <c r="AJ15" i="35"/>
  <c r="AA17" i="35"/>
  <c r="T16" i="35"/>
  <c r="AR19" i="35"/>
  <c r="AI19" i="35"/>
  <c r="E19" i="35"/>
  <c r="D16" i="35"/>
  <c r="BT14" i="35"/>
  <c r="BR19" i="35"/>
  <c r="X16" i="35"/>
  <c r="AX19" i="35"/>
  <c r="M14" i="35"/>
  <c r="BA14" i="35"/>
  <c r="AC14" i="35"/>
  <c r="AU16" i="35"/>
  <c r="O19" i="35"/>
  <c r="AD16" i="35"/>
  <c r="N15" i="35"/>
  <c r="AE14" i="35"/>
  <c r="AZ14" i="35"/>
  <c r="P17" i="35"/>
  <c r="BJ16" i="35"/>
  <c r="AW17" i="35"/>
  <c r="AF19" i="35"/>
  <c r="AQ14" i="35"/>
  <c r="K19" i="35"/>
  <c r="BJ15" i="35"/>
  <c r="Y19" i="35"/>
  <c r="J14" i="35"/>
  <c r="BH19" i="35"/>
  <c r="BT19" i="35"/>
  <c r="AW19" i="35"/>
  <c r="AK20" i="35"/>
  <c r="AB16" i="35"/>
  <c r="AW14" i="35"/>
  <c r="AO17" i="35"/>
  <c r="BG19" i="35"/>
  <c r="BF17" i="35"/>
  <c r="BO19" i="35"/>
  <c r="BF19" i="35"/>
  <c r="H20" i="35"/>
  <c r="S20" i="35"/>
  <c r="BH17" i="35"/>
  <c r="BA19" i="35"/>
  <c r="BM19" i="35"/>
  <c r="E17" i="35"/>
  <c r="AY16" i="35"/>
  <c r="U19" i="35"/>
  <c r="AK18" i="35"/>
  <c r="AD17" i="35"/>
  <c r="AI15" i="35"/>
  <c r="Y14" i="35"/>
  <c r="Q19" i="35"/>
  <c r="AB19" i="35"/>
  <c r="AG19" i="35"/>
  <c r="BQ18" i="35"/>
  <c r="BI17" i="35"/>
  <c r="AH19" i="35"/>
  <c r="E15" i="35"/>
  <c r="AU19" i="35"/>
  <c r="AT19" i="35"/>
  <c r="Y17" i="35"/>
  <c r="BM17" i="35"/>
  <c r="AF14" i="35"/>
  <c r="AR16" i="35"/>
  <c r="P19" i="35"/>
  <c r="BK19" i="35"/>
  <c r="BJ17" i="35"/>
  <c r="M19" i="35"/>
  <c r="N19" i="35"/>
  <c r="D19" i="35"/>
  <c r="J16" i="35"/>
  <c r="G18" i="35"/>
  <c r="BK16" i="35"/>
  <c r="AK19" i="35"/>
  <c r="J18" i="35"/>
  <c r="AP19" i="35"/>
  <c r="Q16" i="35"/>
  <c r="E18" i="35"/>
  <c r="AV14" i="35"/>
  <c r="AJ20" i="35"/>
  <c r="AE19" i="35"/>
  <c r="X19" i="35"/>
  <c r="AM14" i="35"/>
  <c r="BN19" i="35"/>
  <c r="V19" i="35"/>
  <c r="BR18" i="35"/>
  <c r="J17" i="35"/>
  <c r="W19" i="35"/>
  <c r="BB17" i="35"/>
  <c r="BL16" i="35"/>
  <c r="AY19" i="35"/>
  <c r="AP14" i="35"/>
  <c r="AC16" i="35"/>
  <c r="W16" i="35"/>
  <c r="C18" i="35"/>
  <c r="Y18" i="35"/>
  <c r="BL19" i="35"/>
  <c r="AL19" i="35"/>
  <c r="BF18" i="35"/>
  <c r="BO18" i="35"/>
  <c r="C14" i="35"/>
  <c r="Z19" i="35"/>
  <c r="R19" i="35"/>
  <c r="Y15" i="35"/>
  <c r="BH18" i="35"/>
  <c r="AH16" i="35"/>
  <c r="F19" i="35"/>
  <c r="AA18" i="35"/>
  <c r="AW20" i="35"/>
  <c r="BS19" i="35"/>
  <c r="T19" i="35"/>
  <c r="BP17" i="35"/>
  <c r="BR20" i="35"/>
  <c r="BG20" i="35"/>
  <c r="AS19" i="35"/>
  <c r="AQ19" i="35"/>
  <c r="I21" i="35"/>
  <c r="I19" i="35"/>
  <c r="AD19" i="35"/>
  <c r="AL21" i="35"/>
  <c r="L19" i="35"/>
  <c r="AM19" i="35"/>
  <c r="BC19" i="35"/>
  <c r="AO19" i="35"/>
  <c r="AS20" i="35"/>
  <c r="BK20" i="35"/>
  <c r="BJ20" i="35"/>
  <c r="BN20" i="35"/>
  <c r="AU20" i="35"/>
  <c r="BJ19" i="35"/>
  <c r="AT20" i="35"/>
  <c r="C19" i="35"/>
  <c r="M20" i="35"/>
  <c r="AB17" i="35"/>
  <c r="BB19" i="35"/>
  <c r="S17" i="35"/>
  <c r="M17" i="35"/>
  <c r="K20" i="35"/>
  <c r="Y21" i="35"/>
  <c r="J19" i="35"/>
  <c r="G20" i="35"/>
  <c r="AY20" i="35"/>
  <c r="AA16" i="35"/>
  <c r="AN19" i="35"/>
  <c r="BP19" i="35"/>
  <c r="BI19" i="35"/>
  <c r="E20" i="35"/>
  <c r="AV20" i="35"/>
  <c r="AC19" i="35"/>
  <c r="C20" i="35"/>
  <c r="H19" i="35"/>
  <c r="R20" i="35"/>
  <c r="I18" i="35"/>
  <c r="AA19" i="35"/>
  <c r="AZ19" i="35"/>
  <c r="AC17" i="35"/>
  <c r="G19" i="35"/>
  <c r="BQ19" i="35"/>
  <c r="S19" i="35"/>
  <c r="AV19" i="35"/>
  <c r="N20" i="35"/>
  <c r="AZ20" i="35"/>
  <c r="BD19" i="35"/>
  <c r="AW21" i="35"/>
  <c r="BO20" i="35"/>
  <c r="AF21" i="35"/>
  <c r="BJ21" i="35"/>
  <c r="BP21" i="35"/>
  <c r="X20" i="35"/>
  <c r="AZ21" i="35"/>
  <c r="AM21" i="35"/>
  <c r="BB21" i="35"/>
  <c r="Y20" i="35"/>
  <c r="AL20" i="35"/>
  <c r="Q21" i="35"/>
  <c r="AF20" i="35"/>
  <c r="P20" i="35"/>
  <c r="O21" i="35"/>
  <c r="AB20" i="35"/>
  <c r="AN21" i="35"/>
  <c r="BM20" i="35"/>
  <c r="J21" i="35"/>
  <c r="AS21" i="35"/>
  <c r="BA20" i="35"/>
  <c r="BC21" i="35"/>
  <c r="BK21" i="35"/>
  <c r="AE20" i="35"/>
  <c r="O20" i="35"/>
  <c r="L21" i="35"/>
  <c r="BE21" i="35"/>
  <c r="BQ21" i="35"/>
  <c r="I20" i="35"/>
  <c r="D20" i="35"/>
  <c r="F20" i="35"/>
  <c r="V20" i="35"/>
  <c r="K21" i="35"/>
  <c r="AA20" i="35"/>
  <c r="X21" i="35"/>
  <c r="AN20" i="35"/>
  <c r="Z21" i="35"/>
  <c r="AX21" i="35"/>
  <c r="AI21" i="35"/>
  <c r="AB21" i="35"/>
  <c r="F21" i="35"/>
  <c r="BO21" i="35"/>
  <c r="BT20" i="35"/>
  <c r="AF22" i="35"/>
  <c r="AJ21" i="35"/>
  <c r="AG21" i="35"/>
  <c r="G21" i="35"/>
  <c r="BM22" i="35"/>
  <c r="BL21" i="35"/>
  <c r="AD21" i="35"/>
  <c r="BI21" i="35"/>
  <c r="BE20" i="35"/>
  <c r="W20" i="35"/>
  <c r="BS21" i="35"/>
  <c r="AV21" i="35"/>
  <c r="BQ20" i="35"/>
  <c r="E21" i="35"/>
  <c r="BS20" i="35"/>
  <c r="AK21" i="35"/>
  <c r="U21" i="35"/>
  <c r="AD20" i="35"/>
  <c r="AR21" i="35"/>
  <c r="AQ20" i="35"/>
  <c r="AQ21" i="35"/>
  <c r="BM21" i="35"/>
  <c r="V21" i="35"/>
  <c r="AC21" i="35"/>
  <c r="AH20" i="35"/>
  <c r="W21" i="35"/>
  <c r="AM20" i="35"/>
  <c r="AC20" i="35"/>
  <c r="AN22" i="35"/>
  <c r="BC20" i="35"/>
  <c r="BD20" i="35"/>
  <c r="C21" i="35"/>
  <c r="AO21" i="35"/>
  <c r="AU21" i="35"/>
  <c r="BP20" i="35"/>
  <c r="AO20" i="35"/>
  <c r="D21" i="35"/>
  <c r="BF21" i="35"/>
  <c r="AI20" i="35"/>
  <c r="T21" i="35"/>
  <c r="AL22" i="35"/>
  <c r="BB20" i="35"/>
  <c r="AY21" i="35"/>
  <c r="AG20" i="35"/>
  <c r="BI20" i="35"/>
  <c r="AX20" i="35"/>
  <c r="J20" i="35"/>
  <c r="BH20" i="35"/>
  <c r="AP21" i="35"/>
  <c r="R21" i="35"/>
  <c r="AT22" i="35"/>
  <c r="BD21" i="35"/>
  <c r="Z20" i="35"/>
  <c r="BH21" i="35"/>
  <c r="W22" i="35"/>
  <c r="P21" i="35"/>
  <c r="BT21" i="35"/>
  <c r="S21" i="35"/>
  <c r="BN21" i="35"/>
  <c r="Q20" i="35"/>
  <c r="M21" i="35"/>
  <c r="T20" i="35"/>
  <c r="AP20" i="35"/>
  <c r="BB22" i="35"/>
  <c r="Z22" i="35"/>
  <c r="T22" i="35"/>
  <c r="R22" i="35"/>
  <c r="AD22" i="35"/>
  <c r="AE21" i="35"/>
  <c r="AI22" i="35"/>
  <c r="BT22" i="35"/>
  <c r="AQ22" i="35"/>
  <c r="C22" i="35"/>
  <c r="AP22" i="35"/>
  <c r="P22" i="35"/>
  <c r="AW22" i="35"/>
  <c r="BA22" i="35"/>
  <c r="AQ23" i="35"/>
  <c r="BE22" i="35"/>
  <c r="J22" i="35"/>
  <c r="AM22" i="35"/>
  <c r="AA22" i="35"/>
  <c r="K23" i="35"/>
  <c r="AH22" i="35"/>
  <c r="Y22" i="35"/>
  <c r="F22" i="35"/>
  <c r="AT21" i="35"/>
  <c r="G22" i="35"/>
  <c r="N22" i="35"/>
  <c r="AA21" i="35"/>
  <c r="Q22" i="35"/>
  <c r="BK22" i="35"/>
  <c r="K22" i="35"/>
  <c r="AS22" i="35"/>
  <c r="AL23" i="35"/>
  <c r="BP22" i="35"/>
  <c r="BD22" i="35"/>
  <c r="BJ22" i="35"/>
  <c r="N21" i="35"/>
  <c r="O22" i="35"/>
  <c r="U22" i="35"/>
  <c r="E23" i="35"/>
  <c r="AK23" i="35"/>
  <c r="U20" i="35"/>
  <c r="BI22" i="35"/>
  <c r="AZ22" i="35"/>
  <c r="BF20" i="35"/>
  <c r="E22" i="35"/>
  <c r="BO22" i="35"/>
  <c r="H21" i="35"/>
  <c r="BN22" i="35"/>
  <c r="M23" i="35"/>
  <c r="AH21" i="35"/>
  <c r="H22" i="35"/>
  <c r="BG22" i="35"/>
  <c r="AE22" i="35"/>
  <c r="BS22" i="35"/>
  <c r="BF22" i="35"/>
  <c r="BC22" i="35"/>
  <c r="BH22" i="35"/>
  <c r="AV22" i="35"/>
  <c r="BR22" i="35"/>
  <c r="G24" i="35"/>
  <c r="AB22" i="35"/>
  <c r="BG21" i="35"/>
  <c r="AU22" i="35"/>
  <c r="AP23" i="35"/>
  <c r="BR21" i="35"/>
  <c r="AR20" i="35"/>
  <c r="W23" i="35"/>
  <c r="AY22" i="35"/>
  <c r="AV23" i="35"/>
  <c r="AL24" i="35"/>
  <c r="AB23" i="35"/>
  <c r="BT23" i="35"/>
  <c r="BE24" i="35"/>
  <c r="I22" i="35"/>
  <c r="J23" i="35"/>
  <c r="AG22" i="35"/>
  <c r="BM24" i="35"/>
  <c r="AJ24" i="35"/>
  <c r="D23" i="35"/>
  <c r="BL22" i="35"/>
  <c r="T23" i="35"/>
  <c r="BO23" i="35"/>
  <c r="AD24" i="35"/>
  <c r="AJ22" i="35"/>
  <c r="AX23" i="35"/>
  <c r="M22" i="35"/>
  <c r="L20" i="35"/>
  <c r="AR23" i="35"/>
  <c r="BG23" i="35"/>
  <c r="BL23" i="35"/>
  <c r="Y23" i="35"/>
  <c r="AH23" i="35"/>
  <c r="AE23" i="35"/>
  <c r="L22" i="35"/>
  <c r="AC22" i="35"/>
  <c r="AX22" i="35"/>
  <c r="U23" i="35"/>
  <c r="BN23" i="35"/>
  <c r="BS23" i="35"/>
  <c r="AO23" i="35"/>
  <c r="AM24" i="35"/>
  <c r="BB24" i="35"/>
  <c r="V23" i="35"/>
  <c r="BQ22" i="35"/>
  <c r="AD23" i="35"/>
  <c r="BM23" i="35"/>
  <c r="AW23" i="35"/>
  <c r="G23" i="35"/>
  <c r="L23" i="35"/>
  <c r="I23" i="35"/>
  <c r="X23" i="35"/>
  <c r="AN23" i="35"/>
  <c r="BD23" i="35"/>
  <c r="AI23" i="35"/>
  <c r="D22" i="35"/>
  <c r="Z23" i="35"/>
  <c r="E24" i="35"/>
  <c r="BE23" i="35"/>
  <c r="AY23" i="35"/>
  <c r="AM23" i="35"/>
  <c r="X22" i="35"/>
  <c r="AT23" i="35"/>
  <c r="BA21" i="35"/>
  <c r="AR22" i="35"/>
  <c r="BC23" i="35"/>
  <c r="AZ23" i="35"/>
  <c r="BR23" i="35"/>
  <c r="AG23" i="35"/>
  <c r="N23" i="35"/>
  <c r="O23" i="35"/>
  <c r="BA23" i="35"/>
  <c r="BF23" i="35"/>
  <c r="AS23" i="35"/>
  <c r="BK23" i="35"/>
  <c r="P23" i="35"/>
  <c r="AO24" i="35"/>
  <c r="Y24" i="35"/>
  <c r="L24" i="35"/>
  <c r="U24" i="35"/>
  <c r="AQ24" i="35"/>
  <c r="BP23" i="35"/>
  <c r="AW24" i="35"/>
  <c r="C23" i="35"/>
  <c r="BK24" i="35"/>
  <c r="R24" i="35"/>
  <c r="P24" i="35"/>
  <c r="T24" i="35"/>
  <c r="AI24" i="35"/>
  <c r="AD25" i="35"/>
  <c r="V24" i="35"/>
  <c r="AO22" i="35"/>
  <c r="V22" i="35"/>
  <c r="AF24" i="35"/>
  <c r="AC23" i="35"/>
  <c r="BA24" i="35"/>
  <c r="U25" i="35"/>
  <c r="BL24" i="35"/>
  <c r="AB24" i="35"/>
  <c r="AP24" i="35"/>
  <c r="BB25" i="35"/>
  <c r="AN24" i="35"/>
  <c r="AQ25" i="35"/>
  <c r="AK24" i="35"/>
  <c r="AA24" i="35"/>
  <c r="BJ23" i="35"/>
  <c r="AJ23" i="35"/>
  <c r="BB23" i="35"/>
  <c r="BN24" i="35"/>
  <c r="Z24" i="35"/>
  <c r="F23" i="35"/>
  <c r="AU24" i="35"/>
  <c r="AH24" i="35"/>
  <c r="Q23" i="35"/>
  <c r="S23" i="35"/>
  <c r="I24" i="35"/>
  <c r="O24" i="35"/>
  <c r="AE24" i="35"/>
  <c r="R23" i="35"/>
  <c r="AR24" i="35"/>
  <c r="BI23" i="35"/>
  <c r="BO24" i="35"/>
  <c r="AT24" i="35"/>
  <c r="J24" i="35"/>
  <c r="BR24" i="35"/>
  <c r="AY24" i="35"/>
  <c r="BH24" i="35"/>
  <c r="BA25" i="35"/>
  <c r="AG24" i="35"/>
  <c r="H23" i="35"/>
  <c r="BP25" i="35"/>
  <c r="AZ24" i="35"/>
  <c r="M24" i="35"/>
  <c r="X24" i="35"/>
  <c r="AK22" i="35"/>
  <c r="BD24" i="35"/>
  <c r="BH23" i="35"/>
  <c r="AA23" i="35"/>
  <c r="S22" i="35"/>
  <c r="AF23" i="35"/>
  <c r="BQ23" i="35"/>
  <c r="BF24" i="35"/>
  <c r="AV24" i="35"/>
  <c r="S24" i="35"/>
  <c r="BC24" i="35"/>
  <c r="F24" i="35"/>
  <c r="AU23" i="35"/>
  <c r="AU25" i="35"/>
  <c r="X25" i="35"/>
  <c r="BS24" i="35"/>
  <c r="BQ24" i="35"/>
  <c r="S25" i="35"/>
  <c r="D24" i="35"/>
  <c r="K25" i="35"/>
  <c r="Q24" i="35"/>
  <c r="H24" i="35"/>
  <c r="AS25" i="35"/>
  <c r="D25" i="35"/>
  <c r="W24" i="35"/>
  <c r="BF25" i="35"/>
  <c r="AC24" i="35"/>
  <c r="BP24" i="35"/>
  <c r="Q25" i="35"/>
  <c r="N24" i="35"/>
  <c r="L25" i="35"/>
  <c r="AY25" i="35"/>
  <c r="AJ25" i="35"/>
  <c r="BQ25" i="35"/>
  <c r="AC25" i="35"/>
  <c r="C24" i="35"/>
  <c r="AR25" i="35"/>
  <c r="I25" i="35"/>
  <c r="BI24" i="35"/>
  <c r="AS24" i="35"/>
  <c r="AB25" i="35"/>
  <c r="AV25" i="35"/>
  <c r="AL25" i="35"/>
  <c r="BT24" i="35"/>
  <c r="Y25" i="35"/>
  <c r="O25" i="35"/>
  <c r="W25" i="35"/>
  <c r="AH25" i="35"/>
  <c r="AA25" i="35"/>
  <c r="BJ24" i="35"/>
  <c r="BG24" i="35"/>
  <c r="AX25" i="35"/>
  <c r="AX24" i="35"/>
  <c r="AF25" i="35"/>
  <c r="K24" i="35"/>
  <c r="BN25" i="35"/>
  <c r="H25" i="35"/>
  <c r="BG25" i="35"/>
  <c r="AM25" i="35"/>
  <c r="Z25" i="35"/>
  <c r="AE25" i="35"/>
  <c r="AN25" i="35"/>
  <c r="AK25" i="35"/>
  <c r="M25" i="35"/>
  <c r="AZ25" i="35"/>
  <c r="N25" i="35"/>
  <c r="R25" i="35"/>
  <c r="E25" i="35"/>
  <c r="AT25" i="35"/>
  <c r="BO25" i="35"/>
  <c r="BR25" i="35"/>
  <c r="BK25" i="35"/>
  <c r="BM25" i="35"/>
  <c r="BL25" i="35"/>
  <c r="AO25" i="35"/>
  <c r="BS25" i="35"/>
  <c r="C25" i="35"/>
  <c r="BE25" i="35"/>
  <c r="BJ25" i="35"/>
  <c r="T25" i="35"/>
  <c r="F25" i="35"/>
  <c r="AG25" i="35"/>
  <c r="AW25" i="35"/>
  <c r="BH25" i="35"/>
  <c r="AI25" i="35"/>
  <c r="BT25" i="35"/>
  <c r="V25" i="35"/>
  <c r="J25" i="35"/>
  <c r="BC25" i="35"/>
  <c r="BI25" i="35"/>
  <c r="G25" i="35"/>
  <c r="BD25" i="35"/>
  <c r="AP25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25" i="35" l="1"/>
  <c r="AE25" i="36" s="1"/>
  <c r="BZ24" i="35"/>
  <c r="AG24" i="36" s="1"/>
  <c r="BZ23" i="35"/>
  <c r="AE23" i="36" s="1"/>
  <c r="BZ21" i="35"/>
  <c r="AU21" i="36" s="1"/>
  <c r="BZ20" i="35"/>
  <c r="AV20" i="36" s="1"/>
  <c r="BZ16" i="35"/>
  <c r="AQ16" i="36" s="1"/>
  <c r="BZ15" i="35"/>
  <c r="AT15" i="36" s="1"/>
  <c r="BZ18" i="35"/>
  <c r="AP18" i="36" s="1"/>
  <c r="BZ17" i="35"/>
  <c r="AT17" i="36" s="1"/>
  <c r="BZ22" i="35"/>
  <c r="AN22" i="36" s="1"/>
  <c r="AR23" i="36"/>
  <c r="BZ19" i="35"/>
  <c r="AV19" i="36" s="1"/>
  <c r="BY24" i="35"/>
  <c r="N24" i="36" s="1"/>
  <c r="BY20" i="35"/>
  <c r="Y20" i="36" s="1"/>
  <c r="BY14" i="35"/>
  <c r="X14" i="36" s="1"/>
  <c r="BY23" i="35"/>
  <c r="I23" i="36" s="1"/>
  <c r="BY17" i="35"/>
  <c r="D17" i="36" s="1"/>
  <c r="BY22" i="35"/>
  <c r="E22" i="36" s="1"/>
  <c r="BY19" i="35"/>
  <c r="R19" i="36" s="1"/>
  <c r="BY18" i="35"/>
  <c r="X18" i="36" s="1"/>
  <c r="BY21" i="35"/>
  <c r="N21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F100" i="39"/>
  <c r="X100" i="39"/>
  <c r="L99" i="39"/>
  <c r="N100" i="39"/>
  <c r="M100" i="39"/>
  <c r="F99" i="39"/>
  <c r="K100" i="39"/>
  <c r="AA99" i="39"/>
  <c r="AA100" i="39"/>
  <c r="L100" i="39"/>
  <c r="Z100" i="39"/>
  <c r="G99" i="39"/>
  <c r="I99" i="39"/>
  <c r="J99" i="39"/>
  <c r="D102" i="20"/>
  <c r="AB99" i="39"/>
  <c r="AS99" i="39" s="1"/>
  <c r="J100" i="39"/>
  <c r="Y99" i="39"/>
  <c r="H99" i="39"/>
  <c r="M99" i="39"/>
  <c r="H100" i="39"/>
  <c r="V99" i="39"/>
  <c r="AB100" i="39"/>
  <c r="AS100" i="39" s="1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V22" i="35"/>
  <c r="BU26" i="35"/>
  <c r="BU15" i="35"/>
  <c r="BW18" i="35"/>
  <c r="BX15" i="35"/>
  <c r="BV24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W21" i="35"/>
  <c r="BW24" i="35"/>
  <c r="BV7" i="35"/>
  <c r="BX7" i="35"/>
  <c r="BU10" i="35"/>
  <c r="BX19" i="35"/>
  <c r="BW22" i="35"/>
  <c r="BU6" i="35"/>
  <c r="BX22" i="35"/>
  <c r="BV10" i="35"/>
  <c r="BX16" i="35"/>
  <c r="BW19" i="35"/>
  <c r="BW12" i="35"/>
  <c r="BV19" i="35"/>
  <c r="BX21" i="35"/>
  <c r="BW20" i="35"/>
  <c r="BV20" i="35"/>
  <c r="BU22" i="35"/>
  <c r="BX8" i="35"/>
  <c r="BU8" i="35"/>
  <c r="BW23" i="35"/>
  <c r="BV18" i="35"/>
  <c r="BX17" i="35"/>
  <c r="BW5" i="35"/>
  <c r="BV8" i="35"/>
  <c r="BX25" i="35"/>
  <c r="BV25" i="35"/>
  <c r="BU14" i="35"/>
  <c r="BX6" i="35"/>
  <c r="BW26" i="35"/>
  <c r="BV15" i="35"/>
  <c r="BW6" i="35"/>
  <c r="BU11" i="35"/>
  <c r="BU19" i="35"/>
  <c r="BW8" i="35"/>
  <c r="BX4" i="35"/>
  <c r="BW15" i="35"/>
  <c r="BX20" i="35"/>
  <c r="BW4" i="35"/>
  <c r="BU25" i="35"/>
  <c r="BW11" i="35"/>
  <c r="BX11" i="35"/>
  <c r="BX18" i="35"/>
  <c r="BU18" i="35"/>
  <c r="BU24" i="35"/>
  <c r="BW9" i="35"/>
  <c r="BX5" i="35"/>
  <c r="BU21" i="35"/>
  <c r="BV4" i="35"/>
  <c r="BU23" i="35"/>
  <c r="BV12" i="35"/>
  <c r="BU7" i="35"/>
  <c r="BX10" i="35"/>
  <c r="BV5" i="35"/>
  <c r="BV21" i="35"/>
  <c r="BU4" i="35"/>
  <c r="BX26" i="35"/>
  <c r="BV17" i="35"/>
  <c r="BV23" i="35"/>
  <c r="BV26" i="35"/>
  <c r="BW25" i="35"/>
  <c r="BX23" i="35"/>
  <c r="BU5" i="35"/>
  <c r="BU9" i="35"/>
  <c r="BX24" i="35"/>
  <c r="BW7" i="35"/>
  <c r="BX14" i="35"/>
  <c r="BW14" i="35"/>
  <c r="BU20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E26" i="35"/>
  <c r="AV26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L26" i="35"/>
  <c r="AP26" i="35"/>
  <c r="AW26" i="35"/>
  <c r="X26" i="35"/>
  <c r="BJ26" i="35"/>
  <c r="Q26" i="35"/>
  <c r="J26" i="35"/>
  <c r="BD26" i="35"/>
  <c r="AG26" i="35"/>
  <c r="BG26" i="35"/>
  <c r="BM26" i="35"/>
  <c r="Z26" i="35"/>
  <c r="AL26" i="35"/>
  <c r="BS26" i="35"/>
  <c r="G26" i="35"/>
  <c r="V26" i="35"/>
  <c r="AY26" i="35"/>
  <c r="O26" i="35"/>
  <c r="I26" i="35"/>
  <c r="K26" i="35"/>
  <c r="P25" i="35"/>
  <c r="BT26" i="35"/>
  <c r="N26" i="35"/>
  <c r="W26" i="35"/>
  <c r="AC26" i="35"/>
  <c r="AU26" i="35"/>
  <c r="AM26" i="35"/>
  <c r="AA26" i="35"/>
  <c r="BK26" i="35"/>
  <c r="BB26" i="35"/>
  <c r="BC26" i="35"/>
  <c r="AK26" i="35"/>
  <c r="BH26" i="35"/>
  <c r="AB26" i="35"/>
  <c r="AR26" i="35"/>
  <c r="S26" i="35"/>
  <c r="AX26" i="35"/>
  <c r="AF26" i="35"/>
  <c r="D26" i="35"/>
  <c r="BR26" i="35"/>
  <c r="R26" i="35"/>
  <c r="AJ26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AQ23" i="36" l="1"/>
  <c r="AP23" i="36"/>
  <c r="AK23" i="36"/>
  <c r="AO23" i="36"/>
  <c r="AP24" i="36"/>
  <c r="AU24" i="36"/>
  <c r="AN23" i="36"/>
  <c r="AO24" i="36"/>
  <c r="AH24" i="36"/>
  <c r="AS24" i="36"/>
  <c r="AI24" i="36"/>
  <c r="AG20" i="36"/>
  <c r="AU20" i="36"/>
  <c r="AF20" i="36"/>
  <c r="AI21" i="36"/>
  <c r="AF21" i="36"/>
  <c r="AL15" i="36"/>
  <c r="AN15" i="36"/>
  <c r="AR15" i="36"/>
  <c r="AQ20" i="36"/>
  <c r="AL23" i="36"/>
  <c r="AH23" i="36"/>
  <c r="AG23" i="36"/>
  <c r="AT20" i="36"/>
  <c r="AM16" i="36"/>
  <c r="AF16" i="36"/>
  <c r="AM21" i="36"/>
  <c r="AH20" i="36"/>
  <c r="AM24" i="36"/>
  <c r="AP21" i="36"/>
  <c r="AN24" i="36"/>
  <c r="AV24" i="36"/>
  <c r="AJ21" i="36"/>
  <c r="AU25" i="36"/>
  <c r="AN25" i="36"/>
  <c r="AJ25" i="36"/>
  <c r="AK25" i="36"/>
  <c r="AO25" i="36"/>
  <c r="AO15" i="36"/>
  <c r="AM23" i="36"/>
  <c r="AH17" i="36"/>
  <c r="AH21" i="36"/>
  <c r="O20" i="36"/>
  <c r="G20" i="36"/>
  <c r="AD20" i="36"/>
  <c r="AJ17" i="36"/>
  <c r="P20" i="36"/>
  <c r="AR18" i="36"/>
  <c r="AV17" i="36"/>
  <c r="O21" i="36"/>
  <c r="AK17" i="36"/>
  <c r="AG17" i="36"/>
  <c r="CA23" i="35"/>
  <c r="BL23" i="36" s="1"/>
  <c r="AS17" i="36"/>
  <c r="AF15" i="36"/>
  <c r="AU15" i="36"/>
  <c r="AR16" i="36"/>
  <c r="AE15" i="36"/>
  <c r="M18" i="36"/>
  <c r="Z21" i="36"/>
  <c r="Z17" i="36"/>
  <c r="AO17" i="36"/>
  <c r="C16" i="36"/>
  <c r="AM17" i="36"/>
  <c r="AL17" i="36"/>
  <c r="AA21" i="36"/>
  <c r="AJ16" i="36"/>
  <c r="AD21" i="36"/>
  <c r="AR17" i="36"/>
  <c r="AE22" i="36"/>
  <c r="AE17" i="36"/>
  <c r="AL24" i="36"/>
  <c r="AS16" i="36"/>
  <c r="AQ25" i="36"/>
  <c r="CA20" i="35"/>
  <c r="AX20" i="36" s="1"/>
  <c r="AL16" i="36"/>
  <c r="E23" i="36"/>
  <c r="AN16" i="36"/>
  <c r="AR21" i="36"/>
  <c r="AK16" i="36"/>
  <c r="AQ15" i="36"/>
  <c r="AQ24" i="36"/>
  <c r="AJ23" i="36"/>
  <c r="AG15" i="36"/>
  <c r="AV25" i="36"/>
  <c r="AQ17" i="36"/>
  <c r="J23" i="36"/>
  <c r="AO18" i="36"/>
  <c r="AP15" i="36"/>
  <c r="AJ15" i="36"/>
  <c r="AQ18" i="36"/>
  <c r="AT21" i="36"/>
  <c r="P17" i="36"/>
  <c r="L17" i="36"/>
  <c r="AA23" i="36"/>
  <c r="Y18" i="36"/>
  <c r="AT18" i="36"/>
  <c r="AG16" i="36"/>
  <c r="AK20" i="36"/>
  <c r="AM15" i="36"/>
  <c r="AF17" i="36"/>
  <c r="AU17" i="36"/>
  <c r="AL21" i="36"/>
  <c r="AU16" i="36"/>
  <c r="AT25" i="36"/>
  <c r="AK21" i="36"/>
  <c r="AV23" i="36"/>
  <c r="AJ20" i="36"/>
  <c r="J24" i="36"/>
  <c r="AI16" i="36"/>
  <c r="AH16" i="36"/>
  <c r="AK15" i="36"/>
  <c r="AN21" i="36"/>
  <c r="AI15" i="36"/>
  <c r="AP25" i="36"/>
  <c r="AS23" i="36"/>
  <c r="AT23" i="36"/>
  <c r="AI18" i="36"/>
  <c r="R20" i="36"/>
  <c r="AF18" i="36"/>
  <c r="AH15" i="36"/>
  <c r="AV15" i="36"/>
  <c r="AI20" i="36"/>
  <c r="BZ14" i="35"/>
  <c r="BZ5" i="35"/>
  <c r="AL5" i="36" s="1"/>
  <c r="CA21" i="35"/>
  <c r="BV21" i="36" s="1"/>
  <c r="BY25" i="35"/>
  <c r="P25" i="36" s="1"/>
  <c r="BZ4" i="35"/>
  <c r="AK4" i="36" s="1"/>
  <c r="CA22" i="35"/>
  <c r="BX22" i="36" s="1"/>
  <c r="CA13" i="35"/>
  <c r="BK13" i="36" s="1"/>
  <c r="CA25" i="35"/>
  <c r="BU25" i="36" s="1"/>
  <c r="H18" i="36"/>
  <c r="U19" i="36"/>
  <c r="W17" i="36"/>
  <c r="U14" i="36"/>
  <c r="AB15" i="36"/>
  <c r="M16" i="36"/>
  <c r="V21" i="36"/>
  <c r="T14" i="36"/>
  <c r="T18" i="36"/>
  <c r="J18" i="36"/>
  <c r="L22" i="36"/>
  <c r="G23" i="36"/>
  <c r="AD15" i="36"/>
  <c r="H20" i="36"/>
  <c r="AJ22" i="36"/>
  <c r="S20" i="36"/>
  <c r="L15" i="36"/>
  <c r="J15" i="36"/>
  <c r="AS19" i="36"/>
  <c r="N23" i="36"/>
  <c r="S21" i="36"/>
  <c r="AE19" i="36"/>
  <c r="AU19" i="36"/>
  <c r="W15" i="36"/>
  <c r="Z23" i="36"/>
  <c r="F16" i="36"/>
  <c r="U18" i="36"/>
  <c r="J17" i="36"/>
  <c r="AA14" i="36"/>
  <c r="G15" i="36"/>
  <c r="Q19" i="36"/>
  <c r="K21" i="36"/>
  <c r="AB23" i="36"/>
  <c r="S24" i="36"/>
  <c r="R15" i="36"/>
  <c r="AB19" i="36"/>
  <c r="P22" i="36"/>
  <c r="D16" i="36"/>
  <c r="K20" i="36"/>
  <c r="R24" i="36"/>
  <c r="Z20" i="36"/>
  <c r="Q18" i="36"/>
  <c r="AB21" i="36"/>
  <c r="AE24" i="36"/>
  <c r="AI22" i="36"/>
  <c r="D24" i="36"/>
  <c r="AB24" i="36"/>
  <c r="D22" i="36"/>
  <c r="AQ22" i="36"/>
  <c r="T15" i="36"/>
  <c r="H22" i="36"/>
  <c r="AC16" i="36"/>
  <c r="O18" i="36"/>
  <c r="E15" i="36"/>
  <c r="J16" i="36"/>
  <c r="AA18" i="36"/>
  <c r="V17" i="36"/>
  <c r="J20" i="36"/>
  <c r="AD18" i="36"/>
  <c r="I15" i="36"/>
  <c r="D21" i="36"/>
  <c r="N14" i="36"/>
  <c r="AD24" i="36"/>
  <c r="H24" i="36"/>
  <c r="N16" i="36"/>
  <c r="P19" i="36"/>
  <c r="C20" i="36"/>
  <c r="Z22" i="36"/>
  <c r="AE16" i="36"/>
  <c r="Y21" i="36"/>
  <c r="AA22" i="36"/>
  <c r="AK22" i="36"/>
  <c r="R17" i="36"/>
  <c r="AU22" i="36"/>
  <c r="CA16" i="35"/>
  <c r="BW16" i="36" s="1"/>
  <c r="AR22" i="36"/>
  <c r="D19" i="36"/>
  <c r="Y16" i="36"/>
  <c r="AN17" i="36"/>
  <c r="AJ18" i="36"/>
  <c r="L19" i="36"/>
  <c r="S16" i="36"/>
  <c r="T19" i="36"/>
  <c r="O23" i="36"/>
  <c r="AV18" i="36"/>
  <c r="AP19" i="36"/>
  <c r="E21" i="36"/>
  <c r="AC22" i="36"/>
  <c r="M24" i="36"/>
  <c r="Q16" i="36"/>
  <c r="G24" i="36"/>
  <c r="G22" i="36"/>
  <c r="Z24" i="36"/>
  <c r="AS15" i="36"/>
  <c r="H19" i="36"/>
  <c r="AE21" i="36"/>
  <c r="D23" i="36"/>
  <c r="AS22" i="36"/>
  <c r="K24" i="36"/>
  <c r="AI25" i="36"/>
  <c r="AO20" i="36"/>
  <c r="AL22" i="36"/>
  <c r="F14" i="36"/>
  <c r="M19" i="36"/>
  <c r="I21" i="36"/>
  <c r="W22" i="36"/>
  <c r="X19" i="36"/>
  <c r="AA15" i="36"/>
  <c r="C18" i="36"/>
  <c r="C19" i="36"/>
  <c r="AA17" i="36"/>
  <c r="M20" i="36"/>
  <c r="V22" i="36"/>
  <c r="P15" i="36"/>
  <c r="F15" i="36"/>
  <c r="M21" i="36"/>
  <c r="CA24" i="35"/>
  <c r="BU24" i="36" s="1"/>
  <c r="H14" i="36"/>
  <c r="W19" i="36"/>
  <c r="W21" i="36"/>
  <c r="W18" i="36"/>
  <c r="O15" i="36"/>
  <c r="AB14" i="36"/>
  <c r="AL20" i="36"/>
  <c r="O22" i="36"/>
  <c r="N22" i="36"/>
  <c r="CA19" i="35"/>
  <c r="BU19" i="36" s="1"/>
  <c r="AM22" i="36"/>
  <c r="AO22" i="36"/>
  <c r="AV21" i="36"/>
  <c r="W23" i="36"/>
  <c r="AF24" i="36"/>
  <c r="Z15" i="36"/>
  <c r="U16" i="36"/>
  <c r="L20" i="36"/>
  <c r="V14" i="36"/>
  <c r="R22" i="36"/>
  <c r="W16" i="36"/>
  <c r="C21" i="36"/>
  <c r="U17" i="36"/>
  <c r="F17" i="36"/>
  <c r="F19" i="36"/>
  <c r="AD14" i="36"/>
  <c r="K16" i="36"/>
  <c r="AN19" i="36"/>
  <c r="Q17" i="36"/>
  <c r="F18" i="36"/>
  <c r="AC14" i="36"/>
  <c r="K23" i="36"/>
  <c r="AA24" i="36"/>
  <c r="M15" i="36"/>
  <c r="S18" i="36"/>
  <c r="AK19" i="36"/>
  <c r="E16" i="36"/>
  <c r="C22" i="36"/>
  <c r="AV16" i="36"/>
  <c r="I14" i="36"/>
  <c r="AP16" i="36"/>
  <c r="C14" i="36"/>
  <c r="AS18" i="36"/>
  <c r="I16" i="36"/>
  <c r="M23" i="36"/>
  <c r="X24" i="36"/>
  <c r="U22" i="36"/>
  <c r="AU18" i="36"/>
  <c r="Q21" i="36"/>
  <c r="AQ21" i="36"/>
  <c r="AF23" i="36"/>
  <c r="T23" i="36"/>
  <c r="AM25" i="36"/>
  <c r="P24" i="36"/>
  <c r="X16" i="36"/>
  <c r="S14" i="36"/>
  <c r="X17" i="36"/>
  <c r="AD19" i="36"/>
  <c r="AC17" i="36"/>
  <c r="K19" i="36"/>
  <c r="G19" i="36"/>
  <c r="G14" i="36"/>
  <c r="G17" i="36"/>
  <c r="Q15" i="36"/>
  <c r="AR19" i="36"/>
  <c r="E20" i="36"/>
  <c r="Y22" i="36"/>
  <c r="AC23" i="36"/>
  <c r="O16" i="36"/>
  <c r="S15" i="36"/>
  <c r="R21" i="36"/>
  <c r="D18" i="36"/>
  <c r="AG19" i="36"/>
  <c r="X21" i="36"/>
  <c r="AB22" i="36"/>
  <c r="F24" i="36"/>
  <c r="V18" i="36"/>
  <c r="V24" i="36"/>
  <c r="AO21" i="36"/>
  <c r="AH22" i="36"/>
  <c r="J21" i="36"/>
  <c r="AF25" i="36"/>
  <c r="I22" i="36"/>
  <c r="AT24" i="36"/>
  <c r="C15" i="36"/>
  <c r="Y15" i="36"/>
  <c r="X23" i="36"/>
  <c r="I18" i="36"/>
  <c r="Q22" i="36"/>
  <c r="AJ19" i="36"/>
  <c r="I19" i="36"/>
  <c r="P21" i="36"/>
  <c r="CA18" i="35"/>
  <c r="BU18" i="36" s="1"/>
  <c r="L18" i="36"/>
  <c r="AH18" i="36"/>
  <c r="X20" i="36"/>
  <c r="G16" i="36"/>
  <c r="CA15" i="35"/>
  <c r="BW15" i="36" s="1"/>
  <c r="P14" i="36"/>
  <c r="AL19" i="36"/>
  <c r="O19" i="36"/>
  <c r="S19" i="36"/>
  <c r="AM20" i="36"/>
  <c r="C17" i="36"/>
  <c r="AO19" i="36"/>
  <c r="T20" i="36"/>
  <c r="AG25" i="36"/>
  <c r="O14" i="36"/>
  <c r="AS20" i="36"/>
  <c r="AS25" i="36"/>
  <c r="T17" i="36"/>
  <c r="K14" i="36"/>
  <c r="G21" i="36"/>
  <c r="P18" i="36"/>
  <c r="AE20" i="36"/>
  <c r="U24" i="36"/>
  <c r="K22" i="36"/>
  <c r="Q20" i="36"/>
  <c r="H23" i="36"/>
  <c r="F20" i="36"/>
  <c r="AL25" i="36"/>
  <c r="M22" i="36"/>
  <c r="AR25" i="36"/>
  <c r="N18" i="36"/>
  <c r="AQ19" i="36"/>
  <c r="K17" i="36"/>
  <c r="AB16" i="36"/>
  <c r="AD22" i="36"/>
  <c r="Y24" i="36"/>
  <c r="AA16" i="36"/>
  <c r="P16" i="36"/>
  <c r="AD17" i="36"/>
  <c r="D15" i="36"/>
  <c r="L14" i="36"/>
  <c r="Y19" i="36"/>
  <c r="R23" i="36"/>
  <c r="K15" i="36"/>
  <c r="S17" i="36"/>
  <c r="AP22" i="36"/>
  <c r="C23" i="36"/>
  <c r="AA20" i="36"/>
  <c r="L16" i="36"/>
  <c r="AL18" i="36"/>
  <c r="M17" i="36"/>
  <c r="U15" i="36"/>
  <c r="R16" i="36"/>
  <c r="K18" i="36"/>
  <c r="E18" i="36"/>
  <c r="C24" i="36"/>
  <c r="AP17" i="36"/>
  <c r="AN20" i="36"/>
  <c r="AR20" i="36"/>
  <c r="AJ24" i="36"/>
  <c r="E24" i="36"/>
  <c r="AC21" i="36"/>
  <c r="P23" i="36"/>
  <c r="X15" i="36"/>
  <c r="E17" i="36"/>
  <c r="Q14" i="36"/>
  <c r="CA17" i="35"/>
  <c r="J22" i="36"/>
  <c r="M14" i="36"/>
  <c r="Z18" i="36"/>
  <c r="AK18" i="36"/>
  <c r="I20" i="36"/>
  <c r="AT16" i="36"/>
  <c r="Y17" i="36"/>
  <c r="D20" i="36"/>
  <c r="AO16" i="36"/>
  <c r="AM19" i="36"/>
  <c r="AG18" i="36"/>
  <c r="AS21" i="36"/>
  <c r="AV22" i="36"/>
  <c r="AP20" i="36"/>
  <c r="AM18" i="36"/>
  <c r="AI19" i="36"/>
  <c r="F22" i="36"/>
  <c r="AG21" i="36"/>
  <c r="AE18" i="36"/>
  <c r="H15" i="36"/>
  <c r="E19" i="36"/>
  <c r="AC19" i="36"/>
  <c r="E14" i="36"/>
  <c r="AC20" i="36"/>
  <c r="U23" i="36"/>
  <c r="AH25" i="36"/>
  <c r="Y23" i="36"/>
  <c r="AI23" i="36"/>
  <c r="F23" i="36"/>
  <c r="AD23" i="36"/>
  <c r="V23" i="36"/>
  <c r="J19" i="36"/>
  <c r="T22" i="36"/>
  <c r="T24" i="36"/>
  <c r="R18" i="36"/>
  <c r="AH19" i="36"/>
  <c r="L21" i="36"/>
  <c r="AC24" i="36"/>
  <c r="AA19" i="36"/>
  <c r="D14" i="36"/>
  <c r="AF19" i="36"/>
  <c r="AT19" i="36"/>
  <c r="F21" i="36"/>
  <c r="Z14" i="36"/>
  <c r="AB18" i="36"/>
  <c r="R14" i="36"/>
  <c r="O17" i="36"/>
  <c r="AB17" i="36"/>
  <c r="W14" i="36"/>
  <c r="Y14" i="36"/>
  <c r="V20" i="36"/>
  <c r="AC18" i="36"/>
  <c r="AD16" i="36"/>
  <c r="AT22" i="36"/>
  <c r="N15" i="36"/>
  <c r="N20" i="36"/>
  <c r="AI17" i="36"/>
  <c r="H16" i="36"/>
  <c r="Z19" i="36"/>
  <c r="T21" i="36"/>
  <c r="L23" i="36"/>
  <c r="U21" i="36"/>
  <c r="AK24" i="36"/>
  <c r="L24" i="36"/>
  <c r="O24" i="36"/>
  <c r="AU23" i="36"/>
  <c r="I24" i="36"/>
  <c r="S22" i="36"/>
  <c r="V16" i="36"/>
  <c r="H17" i="36"/>
  <c r="N19" i="36"/>
  <c r="AG22" i="36"/>
  <c r="AC15" i="36"/>
  <c r="CA14" i="35"/>
  <c r="BW14" i="36" s="1"/>
  <c r="U20" i="36"/>
  <c r="Q23" i="36"/>
  <c r="I17" i="36"/>
  <c r="AN18" i="36"/>
  <c r="AB20" i="36"/>
  <c r="N17" i="36"/>
  <c r="G18" i="36"/>
  <c r="W20" i="36"/>
  <c r="Z16" i="36"/>
  <c r="V19" i="36"/>
  <c r="AF22" i="36"/>
  <c r="Q24" i="36"/>
  <c r="J14" i="36"/>
  <c r="H21" i="36"/>
  <c r="AR24" i="36"/>
  <c r="X22" i="36"/>
  <c r="S23" i="36"/>
  <c r="W24" i="36"/>
  <c r="BY12" i="35"/>
  <c r="E12" i="36" s="1"/>
  <c r="AQ26" i="35"/>
  <c r="H27" i="35"/>
  <c r="AI26" i="35"/>
  <c r="T26" i="35"/>
  <c r="BP26" i="35"/>
  <c r="AE26" i="35"/>
  <c r="M26" i="35"/>
  <c r="BI26" i="35"/>
  <c r="E27" i="35"/>
  <c r="P26" i="35"/>
  <c r="AZ26" i="35"/>
  <c r="AH26" i="35"/>
  <c r="AO26" i="35"/>
  <c r="F26" i="35"/>
  <c r="BQ26" i="35"/>
  <c r="BL26" i="35"/>
  <c r="U26" i="35"/>
  <c r="AD26" i="35"/>
  <c r="BA26" i="35"/>
  <c r="AN26" i="35"/>
  <c r="BE26" i="35"/>
  <c r="BF26" i="35"/>
  <c r="Y26" i="35"/>
  <c r="BN26" i="35"/>
  <c r="AC27" i="35"/>
  <c r="H26" i="35"/>
  <c r="C26" i="35"/>
  <c r="BO26" i="35"/>
  <c r="AT26" i="35"/>
  <c r="AS26" i="35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BW21" i="36" l="1"/>
  <c r="BU23" i="36"/>
  <c r="BU21" i="36"/>
  <c r="BV22" i="36"/>
  <c r="AW23" i="36"/>
  <c r="BX21" i="36"/>
  <c r="BG23" i="36"/>
  <c r="BN23" i="36"/>
  <c r="BB23" i="36"/>
  <c r="AZ23" i="36"/>
  <c r="BO23" i="36"/>
  <c r="BQ23" i="36"/>
  <c r="BV13" i="36"/>
  <c r="BW23" i="36"/>
  <c r="BE23" i="36"/>
  <c r="BI23" i="36"/>
  <c r="BV23" i="36"/>
  <c r="BP23" i="36"/>
  <c r="AG5" i="36"/>
  <c r="AT5" i="36"/>
  <c r="AX23" i="36"/>
  <c r="AS5" i="36"/>
  <c r="BJ23" i="36"/>
  <c r="BX20" i="36"/>
  <c r="BU13" i="36"/>
  <c r="BX25" i="36"/>
  <c r="BV20" i="36"/>
  <c r="BQ20" i="36"/>
  <c r="BW20" i="36"/>
  <c r="BF20" i="36"/>
  <c r="BB20" i="36"/>
  <c r="BW13" i="36"/>
  <c r="BX13" i="36"/>
  <c r="BA20" i="36"/>
  <c r="BO20" i="36"/>
  <c r="BK20" i="36"/>
  <c r="BM20" i="36"/>
  <c r="BU20" i="36"/>
  <c r="BP20" i="36"/>
  <c r="BN20" i="36"/>
  <c r="BJ20" i="36"/>
  <c r="AY20" i="36"/>
  <c r="BD20" i="36"/>
  <c r="BL20" i="36"/>
  <c r="AW20" i="36"/>
  <c r="BT20" i="36"/>
  <c r="BH20" i="36"/>
  <c r="BE20" i="36"/>
  <c r="AX13" i="36"/>
  <c r="BI20" i="36"/>
  <c r="BH23" i="36"/>
  <c r="BC20" i="36"/>
  <c r="AZ20" i="36"/>
  <c r="AQ5" i="36"/>
  <c r="BF23" i="36"/>
  <c r="BR23" i="36"/>
  <c r="BD23" i="36"/>
  <c r="BC23" i="36"/>
  <c r="BA23" i="36"/>
  <c r="AR5" i="36"/>
  <c r="R12" i="36"/>
  <c r="CA26" i="35"/>
  <c r="BB26" i="36" s="1"/>
  <c r="BW19" i="36"/>
  <c r="BX24" i="36"/>
  <c r="BE13" i="36"/>
  <c r="BV14" i="36"/>
  <c r="BJ13" i="36"/>
  <c r="AP5" i="36"/>
  <c r="BS23" i="36"/>
  <c r="BT23" i="36"/>
  <c r="BX23" i="36"/>
  <c r="BU22" i="36"/>
  <c r="AO5" i="36"/>
  <c r="BW24" i="36"/>
  <c r="BS20" i="36"/>
  <c r="BG20" i="36"/>
  <c r="BK23" i="36"/>
  <c r="AY23" i="36"/>
  <c r="BV19" i="36"/>
  <c r="BR20" i="36"/>
  <c r="BM23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BW18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BZ26" i="35"/>
  <c r="AT26" i="36" s="1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L18" i="36"/>
  <c r="BJ18" i="36"/>
  <c r="BI18" i="36"/>
  <c r="AZ18" i="36"/>
  <c r="AW18" i="36"/>
  <c r="BQ18" i="36"/>
  <c r="BB18" i="36"/>
  <c r="BT18" i="36"/>
  <c r="BR18" i="36"/>
  <c r="AY18" i="36"/>
  <c r="BO18" i="36"/>
  <c r="BS18" i="36"/>
  <c r="BD18" i="36"/>
  <c r="BA18" i="36"/>
  <c r="BM18" i="36"/>
  <c r="BH18" i="36"/>
  <c r="BN18" i="36"/>
  <c r="AX18" i="36"/>
  <c r="BF18" i="36"/>
  <c r="BG18" i="36"/>
  <c r="BC18" i="36"/>
  <c r="BE18" i="36"/>
  <c r="BP18" i="36"/>
  <c r="BK18" i="36"/>
  <c r="BU15" i="36"/>
  <c r="AG4" i="36"/>
  <c r="BR25" i="36"/>
  <c r="BA25" i="36"/>
  <c r="BK25" i="36"/>
  <c r="BD25" i="36"/>
  <c r="BI25" i="36"/>
  <c r="BP25" i="36"/>
  <c r="BT25" i="36"/>
  <c r="BC25" i="36"/>
  <c r="AY25" i="36"/>
  <c r="BL25" i="36"/>
  <c r="AW25" i="36"/>
  <c r="BJ25" i="36"/>
  <c r="BO25" i="36"/>
  <c r="BB25" i="36"/>
  <c r="BN25" i="36"/>
  <c r="BG25" i="36"/>
  <c r="BF25" i="36"/>
  <c r="AZ25" i="36"/>
  <c r="BQ25" i="36"/>
  <c r="AX25" i="36"/>
  <c r="BE25" i="36"/>
  <c r="BM25" i="36"/>
  <c r="BS25" i="36"/>
  <c r="BH25" i="36"/>
  <c r="BJ22" i="36"/>
  <c r="BN22" i="36"/>
  <c r="BL22" i="36"/>
  <c r="BK22" i="36"/>
  <c r="BP22" i="36"/>
  <c r="BM22" i="36"/>
  <c r="AY22" i="36"/>
  <c r="BG22" i="36"/>
  <c r="BO22" i="36"/>
  <c r="BC22" i="36"/>
  <c r="BD22" i="36"/>
  <c r="BE22" i="36"/>
  <c r="BS22" i="36"/>
  <c r="AZ22" i="36"/>
  <c r="BI22" i="36"/>
  <c r="AX22" i="36"/>
  <c r="BT22" i="36"/>
  <c r="BA22" i="36"/>
  <c r="BH22" i="36"/>
  <c r="AW22" i="36"/>
  <c r="BF22" i="36"/>
  <c r="BB22" i="36"/>
  <c r="BR22" i="36"/>
  <c r="BQ22" i="36"/>
  <c r="AC12" i="36"/>
  <c r="BI13" i="36"/>
  <c r="BW22" i="36"/>
  <c r="AF5" i="36"/>
  <c r="AH5" i="36"/>
  <c r="BD13" i="36"/>
  <c r="F12" i="36"/>
  <c r="AM5" i="36"/>
  <c r="AE5" i="36"/>
  <c r="AK14" i="36"/>
  <c r="BU14" i="36"/>
  <c r="BV18" i="36"/>
  <c r="BD21" i="36"/>
  <c r="BB21" i="36"/>
  <c r="BS21" i="36"/>
  <c r="AX21" i="36"/>
  <c r="BO21" i="36"/>
  <c r="BJ21" i="36"/>
  <c r="BM21" i="36"/>
  <c r="BH21" i="36"/>
  <c r="BA21" i="36"/>
  <c r="BT21" i="36"/>
  <c r="BG21" i="36"/>
  <c r="BP21" i="36"/>
  <c r="BQ21" i="36"/>
  <c r="BK21" i="36"/>
  <c r="BF21" i="36"/>
  <c r="BL21" i="36"/>
  <c r="BN21" i="36"/>
  <c r="BI21" i="36"/>
  <c r="AY21" i="36"/>
  <c r="BR21" i="36"/>
  <c r="AZ21" i="36"/>
  <c r="BE21" i="36"/>
  <c r="AW21" i="36"/>
  <c r="BC21" i="36"/>
  <c r="BW25" i="36"/>
  <c r="AV4" i="36"/>
  <c r="BX19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BX18" i="36"/>
  <c r="I12" i="36"/>
  <c r="AK5" i="36"/>
  <c r="AQ4" i="36"/>
  <c r="AX24" i="36"/>
  <c r="BG24" i="36"/>
  <c r="BI24" i="36"/>
  <c r="BT24" i="36"/>
  <c r="BA24" i="36"/>
  <c r="BR24" i="36"/>
  <c r="BE24" i="36"/>
  <c r="BJ24" i="36"/>
  <c r="BB24" i="36"/>
  <c r="AW24" i="36"/>
  <c r="BO24" i="36"/>
  <c r="BC24" i="36"/>
  <c r="BM24" i="36"/>
  <c r="BQ24" i="36"/>
  <c r="BF24" i="36"/>
  <c r="BL24" i="36"/>
  <c r="BN24" i="36"/>
  <c r="BS24" i="36"/>
  <c r="BP24" i="36"/>
  <c r="BD24" i="36"/>
  <c r="BK24" i="36"/>
  <c r="BH24" i="36"/>
  <c r="AZ24" i="36"/>
  <c r="AY24" i="36"/>
  <c r="AH4" i="36"/>
  <c r="BV17" i="36"/>
  <c r="BX16" i="36"/>
  <c r="D12" i="36"/>
  <c r="N12" i="36"/>
  <c r="Y12" i="36"/>
  <c r="AS4" i="36"/>
  <c r="AI4" i="36"/>
  <c r="BV24" i="36"/>
  <c r="AJ4" i="36"/>
  <c r="BX17" i="36"/>
  <c r="BX14" i="36"/>
  <c r="H12" i="36"/>
  <c r="P12" i="36"/>
  <c r="AA12" i="36"/>
  <c r="Q12" i="36"/>
  <c r="AV5" i="36"/>
  <c r="AN5" i="36"/>
  <c r="BV25" i="36"/>
  <c r="AF4" i="36"/>
  <c r="BH19" i="36"/>
  <c r="BI19" i="36"/>
  <c r="BR19" i="36"/>
  <c r="AY19" i="36"/>
  <c r="BF19" i="36"/>
  <c r="AZ19" i="36"/>
  <c r="BE19" i="36"/>
  <c r="BS19" i="36"/>
  <c r="BG19" i="36"/>
  <c r="BJ19" i="36"/>
  <c r="AX19" i="36"/>
  <c r="BK19" i="36"/>
  <c r="BA19" i="36"/>
  <c r="AW19" i="36"/>
  <c r="BB19" i="36"/>
  <c r="BP19" i="36"/>
  <c r="BD19" i="36"/>
  <c r="BT19" i="36"/>
  <c r="BC19" i="36"/>
  <c r="BO19" i="36"/>
  <c r="BM19" i="36"/>
  <c r="BQ19" i="36"/>
  <c r="BL19" i="36"/>
  <c r="BN19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W25" i="36"/>
  <c r="Z25" i="36"/>
  <c r="AD25" i="36"/>
  <c r="X25" i="36"/>
  <c r="S25" i="36"/>
  <c r="D25" i="36"/>
  <c r="U25" i="36"/>
  <c r="N25" i="36"/>
  <c r="I25" i="36"/>
  <c r="AB25" i="36"/>
  <c r="T25" i="36"/>
  <c r="J25" i="36"/>
  <c r="O25" i="36"/>
  <c r="AC25" i="36"/>
  <c r="F25" i="36"/>
  <c r="K25" i="36"/>
  <c r="L25" i="36"/>
  <c r="C25" i="36"/>
  <c r="M25" i="36"/>
  <c r="H25" i="36"/>
  <c r="Q25" i="36"/>
  <c r="R25" i="36"/>
  <c r="E25" i="36"/>
  <c r="Y25" i="36"/>
  <c r="V25" i="36"/>
  <c r="G25" i="36"/>
  <c r="AA25" i="36"/>
  <c r="C12" i="36"/>
  <c r="W12" i="36"/>
  <c r="BY26" i="35"/>
  <c r="P26" i="36" s="1"/>
  <c r="T27" i="35"/>
  <c r="BJ27" i="35"/>
  <c r="S27" i="35"/>
  <c r="BM27" i="35"/>
  <c r="AV27" i="35"/>
  <c r="X27" i="35"/>
  <c r="O27" i="35"/>
  <c r="BU27" i="35"/>
  <c r="AI27" i="35"/>
  <c r="AP27" i="35"/>
  <c r="AD27" i="35"/>
  <c r="I27" i="35"/>
  <c r="AM27" i="35"/>
  <c r="K27" i="35"/>
  <c r="P27" i="35"/>
  <c r="AY27" i="35"/>
  <c r="AR27" i="35"/>
  <c r="AG27" i="35"/>
  <c r="BG27" i="35"/>
  <c r="C27" i="35"/>
  <c r="R27" i="35"/>
  <c r="AX27" i="35"/>
  <c r="V27" i="35"/>
  <c r="AQ27" i="35"/>
  <c r="BP27" i="35"/>
  <c r="AU27" i="35"/>
  <c r="AJ27" i="35"/>
  <c r="Y27" i="35"/>
  <c r="AH27" i="35"/>
  <c r="AB27" i="35"/>
  <c r="M27" i="35"/>
  <c r="BW27" i="35"/>
  <c r="F27" i="35"/>
  <c r="AK27" i="35"/>
  <c r="AW27" i="35"/>
  <c r="BR27" i="35"/>
  <c r="L27" i="35"/>
  <c r="BL27" i="35"/>
  <c r="BB27" i="35"/>
  <c r="J27" i="35"/>
  <c r="AT27" i="35"/>
  <c r="G27" i="35"/>
  <c r="AN27" i="35"/>
  <c r="AS27" i="35"/>
  <c r="AA27" i="35"/>
  <c r="BF27" i="35"/>
  <c r="W27" i="35"/>
  <c r="Z27" i="35"/>
  <c r="BV27" i="35"/>
  <c r="AO27" i="35"/>
  <c r="BS27" i="35"/>
  <c r="D27" i="35"/>
  <c r="BQ27" i="35"/>
  <c r="BT27" i="35"/>
  <c r="BN27" i="35"/>
  <c r="BO27" i="35"/>
  <c r="AZ27" i="35"/>
  <c r="BK27" i="35"/>
  <c r="N27" i="35"/>
  <c r="BX27" i="35"/>
  <c r="BC27" i="35"/>
  <c r="BA27" i="35"/>
  <c r="BD27" i="35"/>
  <c r="Q27" i="35"/>
  <c r="BI27" i="35"/>
  <c r="BE27" i="35"/>
  <c r="AE27" i="35"/>
  <c r="BH27" i="35"/>
  <c r="AF27" i="35"/>
  <c r="AL27" i="35"/>
  <c r="U27" i="35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N26" i="36" l="1"/>
  <c r="AZ26" i="36"/>
  <c r="AH26" i="36"/>
  <c r="AO26" i="36"/>
  <c r="BL26" i="36"/>
  <c r="BO26" i="36"/>
  <c r="AS26" i="36"/>
  <c r="BG26" i="36"/>
  <c r="BV26" i="36"/>
  <c r="BJ26" i="36"/>
  <c r="AY26" i="36"/>
  <c r="BI26" i="36"/>
  <c r="BW26" i="36"/>
  <c r="BU26" i="36"/>
  <c r="BP26" i="36"/>
  <c r="AX26" i="36"/>
  <c r="BE26" i="36"/>
  <c r="BS26" i="36"/>
  <c r="BQ26" i="36"/>
  <c r="BD26" i="36"/>
  <c r="BX26" i="36"/>
  <c r="AI26" i="36"/>
  <c r="BK26" i="36"/>
  <c r="BF26" i="36"/>
  <c r="BT26" i="36"/>
  <c r="BH26" i="36"/>
  <c r="AW26" i="36"/>
  <c r="AQ26" i="36"/>
  <c r="BA26" i="36"/>
  <c r="BC26" i="36"/>
  <c r="BR26" i="36"/>
  <c r="BM26" i="36"/>
  <c r="T26" i="36"/>
  <c r="AB26" i="36"/>
  <c r="L26" i="36"/>
  <c r="Q26" i="36"/>
  <c r="S26" i="36"/>
  <c r="R26" i="36"/>
  <c r="E26" i="36"/>
  <c r="W26" i="36"/>
  <c r="K26" i="36"/>
  <c r="AA26" i="36"/>
  <c r="Z26" i="36"/>
  <c r="D26" i="36"/>
  <c r="I26" i="36"/>
  <c r="J26" i="36"/>
  <c r="N26" i="36"/>
  <c r="G26" i="36"/>
  <c r="X26" i="36"/>
  <c r="O26" i="36"/>
  <c r="V26" i="36"/>
  <c r="AC26" i="36"/>
  <c r="M26" i="36"/>
  <c r="CA27" i="35"/>
  <c r="BS27" i="36" s="1"/>
  <c r="Y26" i="36"/>
  <c r="AN26" i="36"/>
  <c r="F26" i="36"/>
  <c r="BZ27" i="35"/>
  <c r="AS27" i="36" s="1"/>
  <c r="H26" i="36"/>
  <c r="C26" i="36"/>
  <c r="AD26" i="36"/>
  <c r="U26" i="36"/>
  <c r="AF26" i="36"/>
  <c r="AG26" i="36"/>
  <c r="AL26" i="36"/>
  <c r="AV26" i="36"/>
  <c r="AK26" i="36"/>
  <c r="AR26" i="36"/>
  <c r="AM26" i="36"/>
  <c r="AP26" i="36"/>
  <c r="AJ26" i="36"/>
  <c r="AU26" i="36"/>
  <c r="AE26" i="36"/>
  <c r="BY27" i="35"/>
  <c r="S27" i="36" s="1"/>
  <c r="BB28" i="35"/>
  <c r="G102" i="39"/>
  <c r="H28" i="35"/>
  <c r="AF28" i="35"/>
  <c r="AO28" i="35"/>
  <c r="I28" i="35"/>
  <c r="AJ28" i="35"/>
  <c r="W28" i="35"/>
  <c r="AK28" i="35"/>
  <c r="R28" i="35"/>
  <c r="BW28" i="35"/>
  <c r="BP28" i="35"/>
  <c r="BI28" i="35"/>
  <c r="T28" i="35"/>
  <c r="BN28" i="35"/>
  <c r="AV28" i="35"/>
  <c r="BM28" i="35"/>
  <c r="V102" i="39"/>
  <c r="AT29" i="35"/>
  <c r="BU28" i="35"/>
  <c r="AD28" i="35"/>
  <c r="BX28" i="35"/>
  <c r="AI28" i="35"/>
  <c r="S28" i="35"/>
  <c r="J28" i="35"/>
  <c r="X28" i="35"/>
  <c r="H102" i="39"/>
  <c r="Y28" i="35"/>
  <c r="BG28" i="35"/>
  <c r="AP28" i="35"/>
  <c r="J102" i="39"/>
  <c r="V28" i="35"/>
  <c r="AG28" i="35"/>
  <c r="AC28" i="35"/>
  <c r="BD28" i="35"/>
  <c r="BJ28" i="35"/>
  <c r="BT28" i="35"/>
  <c r="Q28" i="35"/>
  <c r="AY28" i="35"/>
  <c r="N28" i="35"/>
  <c r="BK28" i="35"/>
  <c r="BO28" i="35"/>
  <c r="AZ28" i="35"/>
  <c r="BE28" i="35"/>
  <c r="AS28" i="35"/>
  <c r="F28" i="35"/>
  <c r="C28" i="35"/>
  <c r="AM28" i="35"/>
  <c r="BL28" i="35"/>
  <c r="M29" i="35"/>
  <c r="AA102" i="39"/>
  <c r="W102" i="39" s="1"/>
  <c r="BF28" i="35"/>
  <c r="BA28" i="35"/>
  <c r="AE28" i="35"/>
  <c r="AT28" i="35"/>
  <c r="AX28" i="35"/>
  <c r="D29" i="35"/>
  <c r="AU28" i="35"/>
  <c r="K28" i="35"/>
  <c r="G28" i="35"/>
  <c r="Z28" i="35"/>
  <c r="AR28" i="35"/>
  <c r="M28" i="35"/>
  <c r="BH28" i="35"/>
  <c r="U28" i="35"/>
  <c r="X102" i="39"/>
  <c r="BC28" i="35"/>
  <c r="O28" i="35"/>
  <c r="L28" i="35"/>
  <c r="BV28" i="35"/>
  <c r="BQ28" i="35"/>
  <c r="AL28" i="35"/>
  <c r="AN28" i="35"/>
  <c r="L102" i="39"/>
  <c r="AW28" i="35"/>
  <c r="BR28" i="35"/>
  <c r="AA28" i="35"/>
  <c r="AQ28" i="35"/>
  <c r="AB28" i="35"/>
  <c r="D28" i="35"/>
  <c r="P28" i="35"/>
  <c r="AH28" i="35"/>
  <c r="BS28" i="35"/>
  <c r="E28" i="35"/>
  <c r="AR29" i="35"/>
  <c r="B105" i="20"/>
  <c r="E105" i="20"/>
  <c r="D105" i="20"/>
  <c r="C105" i="20"/>
  <c r="A106" i="20"/>
  <c r="I102" i="39"/>
  <c r="N103" i="39"/>
  <c r="Y102" i="39"/>
  <c r="Z103" i="39"/>
  <c r="F102" i="39"/>
  <c r="I103" i="39"/>
  <c r="Z102" i="39"/>
  <c r="AB102" i="39"/>
  <c r="AS102" i="39" s="1"/>
  <c r="J103" i="39"/>
  <c r="K102" i="39"/>
  <c r="F103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Q102" i="39" l="1"/>
  <c r="O102" i="39"/>
  <c r="R102" i="39"/>
  <c r="BM27" i="36"/>
  <c r="BL27" i="36"/>
  <c r="AW27" i="36"/>
  <c r="BG27" i="36"/>
  <c r="BO27" i="36"/>
  <c r="BH27" i="36"/>
  <c r="AT27" i="36"/>
  <c r="AP27" i="36"/>
  <c r="BQ27" i="36"/>
  <c r="AX27" i="36"/>
  <c r="BR27" i="36"/>
  <c r="BI27" i="36"/>
  <c r="I27" i="36"/>
  <c r="AU27" i="36"/>
  <c r="BZ28" i="35"/>
  <c r="AG28" i="36" s="1"/>
  <c r="W27" i="36"/>
  <c r="O27" i="36"/>
  <c r="AQ27" i="36"/>
  <c r="N27" i="36"/>
  <c r="Z27" i="36"/>
  <c r="AO27" i="36"/>
  <c r="X27" i="36"/>
  <c r="AI27" i="36"/>
  <c r="AK27" i="36"/>
  <c r="D27" i="36"/>
  <c r="BA27" i="36"/>
  <c r="CA28" i="35"/>
  <c r="BO28" i="36" s="1"/>
  <c r="AG27" i="36"/>
  <c r="M27" i="36"/>
  <c r="R27" i="36"/>
  <c r="BF27" i="36"/>
  <c r="T27" i="36"/>
  <c r="BD27" i="36"/>
  <c r="AB27" i="36"/>
  <c r="F27" i="36"/>
  <c r="BK27" i="36"/>
  <c r="AM27" i="36"/>
  <c r="Q27" i="36"/>
  <c r="G27" i="36"/>
  <c r="AE27" i="36"/>
  <c r="AA27" i="36"/>
  <c r="AL27" i="36"/>
  <c r="BP27" i="36"/>
  <c r="E27" i="36"/>
  <c r="AC27" i="36"/>
  <c r="H27" i="36"/>
  <c r="BT27" i="36"/>
  <c r="AZ27" i="36"/>
  <c r="BX27" i="36"/>
  <c r="L27" i="36"/>
  <c r="P27" i="36"/>
  <c r="BE27" i="36"/>
  <c r="BU27" i="36"/>
  <c r="AF27" i="36"/>
  <c r="BV27" i="36"/>
  <c r="AJ27" i="36"/>
  <c r="AV27" i="36"/>
  <c r="AN27" i="36"/>
  <c r="C27" i="36"/>
  <c r="U27" i="36"/>
  <c r="AD27" i="36"/>
  <c r="AY27" i="36"/>
  <c r="BB27" i="36"/>
  <c r="AR27" i="36"/>
  <c r="BN27" i="36"/>
  <c r="BW27" i="36"/>
  <c r="BC27" i="36"/>
  <c r="V27" i="36"/>
  <c r="BJ27" i="36"/>
  <c r="AH27" i="36"/>
  <c r="J27" i="36"/>
  <c r="K27" i="36"/>
  <c r="Y27" i="36"/>
  <c r="BY28" i="35"/>
  <c r="AB28" i="36" s="1"/>
  <c r="L29" i="35"/>
  <c r="BP29" i="35"/>
  <c r="S29" i="35"/>
  <c r="AJ29" i="35"/>
  <c r="J29" i="35"/>
  <c r="BC29" i="35"/>
  <c r="AO29" i="35"/>
  <c r="BT29" i="35"/>
  <c r="AI29" i="35"/>
  <c r="BR29" i="35"/>
  <c r="BB29" i="35"/>
  <c r="BS29" i="35"/>
  <c r="AH29" i="35"/>
  <c r="I29" i="35"/>
  <c r="E29" i="35"/>
  <c r="AF29" i="35"/>
  <c r="T29" i="35"/>
  <c r="F29" i="35"/>
  <c r="AA29" i="35"/>
  <c r="BD29" i="35"/>
  <c r="AS29" i="35"/>
  <c r="AL29" i="35"/>
  <c r="BO29" i="35"/>
  <c r="AX29" i="35"/>
  <c r="BE29" i="35"/>
  <c r="BW29" i="35"/>
  <c r="BX29" i="35"/>
  <c r="BH29" i="35"/>
  <c r="AY29" i="35"/>
  <c r="N29" i="35"/>
  <c r="AG29" i="35"/>
  <c r="Y29" i="35"/>
  <c r="BU29" i="35"/>
  <c r="V29" i="35"/>
  <c r="U29" i="35"/>
  <c r="BL29" i="35"/>
  <c r="BG29" i="35"/>
  <c r="AW29" i="35"/>
  <c r="BJ29" i="35"/>
  <c r="AD29" i="35"/>
  <c r="AU29" i="35"/>
  <c r="AC29" i="35"/>
  <c r="W29" i="35"/>
  <c r="R29" i="35"/>
  <c r="BA29" i="35"/>
  <c r="AK29" i="35"/>
  <c r="Q29" i="35"/>
  <c r="AE29" i="35"/>
  <c r="BK29" i="35"/>
  <c r="AV29" i="35"/>
  <c r="AZ29" i="35"/>
  <c r="AP29" i="35"/>
  <c r="AB29" i="35"/>
  <c r="P29" i="35"/>
  <c r="AQ29" i="35"/>
  <c r="BQ29" i="35"/>
  <c r="BV29" i="35"/>
  <c r="X29" i="35"/>
  <c r="H29" i="35"/>
  <c r="BF29" i="35"/>
  <c r="AM29" i="35"/>
  <c r="AN29" i="35"/>
  <c r="K29" i="35"/>
  <c r="BI29" i="35"/>
  <c r="BN29" i="35"/>
  <c r="C29" i="35"/>
  <c r="G29" i="35"/>
  <c r="O29" i="35"/>
  <c r="BM29" i="35"/>
  <c r="Z29" i="35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BH28" i="36" l="1"/>
  <c r="BJ28" i="36"/>
  <c r="BV28" i="36"/>
  <c r="BR28" i="36"/>
  <c r="BD28" i="36"/>
  <c r="BF28" i="36"/>
  <c r="BX28" i="36"/>
  <c r="BQ28" i="36"/>
  <c r="BE28" i="36"/>
  <c r="BS28" i="36"/>
  <c r="AX28" i="36"/>
  <c r="BB28" i="36"/>
  <c r="AS28" i="36"/>
  <c r="BI28" i="36"/>
  <c r="BU28" i="36"/>
  <c r="AI28" i="36"/>
  <c r="BP28" i="36"/>
  <c r="R28" i="36"/>
  <c r="AE28" i="36"/>
  <c r="O28" i="36"/>
  <c r="L28" i="36"/>
  <c r="C28" i="36"/>
  <c r="AQ28" i="36"/>
  <c r="BY29" i="35"/>
  <c r="C29" i="36" s="1"/>
  <c r="CA29" i="35"/>
  <c r="AY29" i="36" s="1"/>
  <c r="P28" i="36"/>
  <c r="AC28" i="36"/>
  <c r="K28" i="36"/>
  <c r="AO28" i="36"/>
  <c r="D28" i="36"/>
  <c r="BZ29" i="35"/>
  <c r="AJ29" i="36" s="1"/>
  <c r="AU28" i="36"/>
  <c r="F28" i="36"/>
  <c r="S28" i="36"/>
  <c r="BM28" i="36"/>
  <c r="AH28" i="36"/>
  <c r="T28" i="36"/>
  <c r="BG28" i="36"/>
  <c r="AA28" i="36"/>
  <c r="AM28" i="36"/>
  <c r="J28" i="36"/>
  <c r="X28" i="36"/>
  <c r="H28" i="36"/>
  <c r="AF28" i="36"/>
  <c r="BK28" i="36"/>
  <c r="AJ28" i="36"/>
  <c r="G28" i="36"/>
  <c r="BT28" i="36"/>
  <c r="Q28" i="36"/>
  <c r="BN28" i="36"/>
  <c r="AV28" i="36"/>
  <c r="BA28" i="36"/>
  <c r="AL28" i="36"/>
  <c r="BL28" i="36"/>
  <c r="AY28" i="36"/>
  <c r="Y28" i="36"/>
  <c r="AZ28" i="36"/>
  <c r="W28" i="36"/>
  <c r="AK28" i="36"/>
  <c r="E28" i="36"/>
  <c r="Z28" i="36"/>
  <c r="AR28" i="36"/>
  <c r="M28" i="36"/>
  <c r="N28" i="36"/>
  <c r="I28" i="36"/>
  <c r="AT28" i="36"/>
  <c r="AD28" i="36"/>
  <c r="AN28" i="36"/>
  <c r="AP28" i="36"/>
  <c r="BC28" i="36"/>
  <c r="V28" i="36"/>
  <c r="BW28" i="36"/>
  <c r="U28" i="36"/>
  <c r="AW28" i="36"/>
  <c r="F104" i="39"/>
  <c r="H30" i="35"/>
  <c r="BV30" i="35"/>
  <c r="AX30" i="35"/>
  <c r="R30" i="35"/>
  <c r="AM31" i="35"/>
  <c r="AY30" i="35"/>
  <c r="BE30" i="35"/>
  <c r="BG30" i="35"/>
  <c r="BS30" i="35"/>
  <c r="G104" i="39"/>
  <c r="AS31" i="35"/>
  <c r="BH30" i="35"/>
  <c r="T30" i="35"/>
  <c r="AS30" i="35"/>
  <c r="BC30" i="35"/>
  <c r="S30" i="35"/>
  <c r="AI31" i="35"/>
  <c r="AP30" i="35"/>
  <c r="C30" i="35"/>
  <c r="G30" i="35"/>
  <c r="BM31" i="35"/>
  <c r="L30" i="35"/>
  <c r="J30" i="35"/>
  <c r="T31" i="35"/>
  <c r="V30" i="35"/>
  <c r="BA30" i="35"/>
  <c r="AM30" i="35"/>
  <c r="AF30" i="35"/>
  <c r="W30" i="35"/>
  <c r="AL30" i="35"/>
  <c r="BU30" i="35"/>
  <c r="P30" i="35"/>
  <c r="O30" i="35"/>
  <c r="X104" i="39"/>
  <c r="N30" i="35"/>
  <c r="BJ30" i="35"/>
  <c r="AW30" i="35"/>
  <c r="BW30" i="35"/>
  <c r="Q30" i="35"/>
  <c r="BF30" i="35"/>
  <c r="AT30" i="35"/>
  <c r="AQ30" i="35"/>
  <c r="BK30" i="35"/>
  <c r="AU30" i="35"/>
  <c r="BI30" i="35"/>
  <c r="BN31" i="35"/>
  <c r="BX30" i="35"/>
  <c r="K104" i="39"/>
  <c r="V104" i="39"/>
  <c r="BQ30" i="35"/>
  <c r="I30" i="35"/>
  <c r="AZ30" i="35"/>
  <c r="AB30" i="35"/>
  <c r="U30" i="35"/>
  <c r="D30" i="35"/>
  <c r="AJ30" i="35"/>
  <c r="BL30" i="35"/>
  <c r="AR30" i="35"/>
  <c r="BN30" i="35"/>
  <c r="AG30" i="35"/>
  <c r="X30" i="35"/>
  <c r="BM30" i="35"/>
  <c r="AH30" i="35"/>
  <c r="M30" i="35"/>
  <c r="AB104" i="39"/>
  <c r="AS104" i="39" s="1"/>
  <c r="Z104" i="39"/>
  <c r="AN30" i="35"/>
  <c r="AD30" i="35"/>
  <c r="AV30" i="35"/>
  <c r="BP30" i="35"/>
  <c r="F30" i="35"/>
  <c r="Y30" i="35"/>
  <c r="AO30" i="35"/>
  <c r="AA104" i="39"/>
  <c r="R104" i="39" s="1"/>
  <c r="M104" i="39"/>
  <c r="U31" i="35"/>
  <c r="BB30" i="35"/>
  <c r="AE30" i="35"/>
  <c r="AK30" i="35"/>
  <c r="G31" i="35"/>
  <c r="BD30" i="35"/>
  <c r="K30" i="35"/>
  <c r="BT30" i="35"/>
  <c r="BO30" i="35"/>
  <c r="AY31" i="35"/>
  <c r="BG31" i="35"/>
  <c r="BR30" i="35"/>
  <c r="AI30" i="35"/>
  <c r="BU31" i="35"/>
  <c r="AC30" i="35"/>
  <c r="Z30" i="35"/>
  <c r="E30" i="35"/>
  <c r="N31" i="35"/>
  <c r="D107" i="20"/>
  <c r="B107" i="20"/>
  <c r="E107" i="20"/>
  <c r="C107" i="20"/>
  <c r="U103" i="39"/>
  <c r="R103" i="39"/>
  <c r="O103" i="39"/>
  <c r="Q103" i="39"/>
  <c r="W103" i="39"/>
  <c r="A108" i="20"/>
  <c r="N104" i="39"/>
  <c r="J104" i="39"/>
  <c r="Y104" i="39"/>
  <c r="H104" i="39"/>
  <c r="L104" i="39"/>
  <c r="F105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Q104" i="39" l="1"/>
  <c r="BN29" i="36"/>
  <c r="BB29" i="36"/>
  <c r="U29" i="36"/>
  <c r="AB29" i="36"/>
  <c r="BS29" i="36"/>
  <c r="BX29" i="36"/>
  <c r="AG29" i="36"/>
  <c r="BJ29" i="36"/>
  <c r="AI29" i="36"/>
  <c r="AZ29" i="36"/>
  <c r="BC29" i="36"/>
  <c r="BA29" i="36"/>
  <c r="BT29" i="36"/>
  <c r="AU29" i="36"/>
  <c r="G29" i="36"/>
  <c r="Z29" i="36"/>
  <c r="M29" i="36"/>
  <c r="D29" i="36"/>
  <c r="Q29" i="36"/>
  <c r="F29" i="36"/>
  <c r="H29" i="36"/>
  <c r="L29" i="36"/>
  <c r="K29" i="36"/>
  <c r="N29" i="36"/>
  <c r="AN29" i="36"/>
  <c r="AX29" i="36"/>
  <c r="AH29" i="36"/>
  <c r="P29" i="36"/>
  <c r="BM29" i="36"/>
  <c r="BL29" i="36"/>
  <c r="BE29" i="36"/>
  <c r="AR29" i="36"/>
  <c r="AT29" i="36"/>
  <c r="BG29" i="36"/>
  <c r="BP29" i="36"/>
  <c r="AF29" i="36"/>
  <c r="AO29" i="36"/>
  <c r="BD29" i="36"/>
  <c r="AS29" i="36"/>
  <c r="BR29" i="36"/>
  <c r="AE29" i="36"/>
  <c r="BK29" i="36"/>
  <c r="I29" i="36"/>
  <c r="BH29" i="36"/>
  <c r="AA29" i="36"/>
  <c r="Y29" i="36"/>
  <c r="BU29" i="36"/>
  <c r="AL29" i="36"/>
  <c r="BF29" i="36"/>
  <c r="BW29" i="36"/>
  <c r="AD29" i="36"/>
  <c r="CA30" i="35"/>
  <c r="BR30" i="36" s="1"/>
  <c r="J29" i="36"/>
  <c r="R29" i="36"/>
  <c r="V29" i="36"/>
  <c r="AM29" i="36"/>
  <c r="AP29" i="36"/>
  <c r="T29" i="36"/>
  <c r="W29" i="36"/>
  <c r="BQ29" i="36"/>
  <c r="BV29" i="36"/>
  <c r="AK29" i="36"/>
  <c r="BO29" i="36"/>
  <c r="AW29" i="36"/>
  <c r="S29" i="36"/>
  <c r="BI29" i="36"/>
  <c r="BZ30" i="35"/>
  <c r="AR30" i="36" s="1"/>
  <c r="AQ29" i="36"/>
  <c r="O29" i="36"/>
  <c r="X29" i="36"/>
  <c r="AV29" i="36"/>
  <c r="E29" i="36"/>
  <c r="AC29" i="36"/>
  <c r="O104" i="39"/>
  <c r="W104" i="39"/>
  <c r="AU31" i="35"/>
  <c r="K31" i="35"/>
  <c r="V31" i="35"/>
  <c r="AQ31" i="35"/>
  <c r="AL31" i="35"/>
  <c r="BT31" i="35"/>
  <c r="BF31" i="35"/>
  <c r="AF31" i="35"/>
  <c r="BO31" i="35"/>
  <c r="Y31" i="35"/>
  <c r="R31" i="35"/>
  <c r="AR31" i="35"/>
  <c r="H31" i="35"/>
  <c r="AO31" i="35"/>
  <c r="W31" i="35"/>
  <c r="BE31" i="35"/>
  <c r="BC31" i="35"/>
  <c r="L31" i="35"/>
  <c r="AN31" i="35"/>
  <c r="AX31" i="35"/>
  <c r="AJ31" i="35"/>
  <c r="BS31" i="35"/>
  <c r="K32" i="35"/>
  <c r="BI31" i="35"/>
  <c r="AH31" i="35"/>
  <c r="F31" i="35"/>
  <c r="BX31" i="35"/>
  <c r="AW31" i="35"/>
  <c r="O31" i="35"/>
  <c r="BW31" i="35"/>
  <c r="AC31" i="35"/>
  <c r="I31" i="35"/>
  <c r="Z31" i="35"/>
  <c r="M31" i="35"/>
  <c r="BA31" i="35"/>
  <c r="BV31" i="35"/>
  <c r="BR31" i="35"/>
  <c r="J31" i="35"/>
  <c r="AA31" i="35"/>
  <c r="BD31" i="35"/>
  <c r="AV31" i="35"/>
  <c r="P31" i="35"/>
  <c r="AZ31" i="35"/>
  <c r="BJ31" i="35"/>
  <c r="AB31" i="35"/>
  <c r="Q31" i="35"/>
  <c r="BL31" i="35"/>
  <c r="BB31" i="35"/>
  <c r="AT31" i="35"/>
  <c r="BK31" i="35"/>
  <c r="BP31" i="35"/>
  <c r="BU32" i="35"/>
  <c r="U104" i="39"/>
  <c r="D108" i="20"/>
  <c r="B108" i="20"/>
  <c r="E108" i="20"/>
  <c r="C108" i="20"/>
  <c r="A109" i="20"/>
  <c r="X105" i="39"/>
  <c r="K105" i="39"/>
  <c r="G105" i="39"/>
  <c r="M106" i="39"/>
  <c r="Y105" i="39"/>
  <c r="F106" i="39"/>
  <c r="J105" i="39"/>
  <c r="N105" i="39"/>
  <c r="M105" i="39"/>
  <c r="L106" i="39"/>
  <c r="AA105" i="39"/>
  <c r="J106" i="39"/>
  <c r="Z105" i="39"/>
  <c r="AB105" i="39"/>
  <c r="AS105" i="39" s="1"/>
  <c r="AB106" i="39"/>
  <c r="AS106" i="39" s="1"/>
  <c r="L105" i="39"/>
  <c r="AA106" i="39"/>
  <c r="N106" i="39"/>
  <c r="V106" i="39"/>
  <c r="H106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BU30" i="36" l="1"/>
  <c r="BH30" i="36"/>
  <c r="BK30" i="36"/>
  <c r="BP30" i="36"/>
  <c r="BJ30" i="36"/>
  <c r="BO30" i="36"/>
  <c r="BN30" i="36"/>
  <c r="AY30" i="36"/>
  <c r="BT30" i="36"/>
  <c r="BS30" i="36"/>
  <c r="BA30" i="36"/>
  <c r="BW30" i="36"/>
  <c r="BL30" i="36"/>
  <c r="AS30" i="36"/>
  <c r="AF30" i="36"/>
  <c r="AE30" i="36"/>
  <c r="AP30" i="36"/>
  <c r="AG30" i="36"/>
  <c r="AM30" i="36"/>
  <c r="BQ30" i="36"/>
  <c r="BF30" i="36"/>
  <c r="AL30" i="36"/>
  <c r="AN30" i="36"/>
  <c r="BM30" i="36"/>
  <c r="AZ30" i="36"/>
  <c r="AQ30" i="36"/>
  <c r="AK30" i="36"/>
  <c r="BC30" i="36"/>
  <c r="BG30" i="36"/>
  <c r="AI30" i="36"/>
  <c r="AV30" i="36"/>
  <c r="BI30" i="36"/>
  <c r="AT30" i="36"/>
  <c r="AH30" i="36"/>
  <c r="AX30" i="36"/>
  <c r="BD30" i="36"/>
  <c r="AW30" i="36"/>
  <c r="AU30" i="36"/>
  <c r="AO30" i="36"/>
  <c r="BB30" i="36"/>
  <c r="BE30" i="36"/>
  <c r="AJ30" i="36"/>
  <c r="BX30" i="36"/>
  <c r="BV30" i="36"/>
  <c r="Z106" i="39"/>
  <c r="G32" i="35"/>
  <c r="BI32" i="35"/>
  <c r="AQ32" i="35"/>
  <c r="X106" i="39"/>
  <c r="K106" i="39"/>
  <c r="I106" i="39"/>
  <c r="U106" i="39" s="1"/>
  <c r="S32" i="35"/>
  <c r="D109" i="20"/>
  <c r="C109" i="20"/>
  <c r="B109" i="20"/>
  <c r="E109" i="20"/>
  <c r="G106" i="39"/>
  <c r="Y106" i="39"/>
  <c r="O106" i="39"/>
  <c r="R106" i="39"/>
  <c r="Q106" i="39"/>
  <c r="W106" i="39"/>
  <c r="U105" i="39"/>
  <c r="Q105" i="39"/>
  <c r="R105" i="39"/>
  <c r="O105" i="39"/>
  <c r="W105" i="39"/>
  <c r="A110" i="20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BV33" i="35" l="1"/>
  <c r="C110" i="20"/>
  <c r="D110" i="20"/>
  <c r="B110" i="20"/>
  <c r="E110" i="20"/>
  <c r="A111" i="20"/>
  <c r="H107" i="39"/>
  <c r="Y108" i="39"/>
  <c r="L107" i="39"/>
  <c r="Z107" i="39"/>
  <c r="AB107" i="39"/>
  <c r="AS107" i="39" s="1"/>
  <c r="AA108" i="39"/>
  <c r="G107" i="39"/>
  <c r="N108" i="39"/>
  <c r="M108" i="39"/>
  <c r="X108" i="39"/>
  <c r="H108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G35" i="35" l="1"/>
  <c r="U35" i="35"/>
  <c r="C111" i="20"/>
  <c r="D111" i="20"/>
  <c r="B111" i="20"/>
  <c r="E111" i="20"/>
  <c r="Q108" i="39"/>
  <c r="O108" i="39"/>
  <c r="R108" i="39"/>
  <c r="W108" i="39"/>
  <c r="A112" i="20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C112" i="20" l="1"/>
  <c r="D112" i="20"/>
  <c r="B112" i="20"/>
  <c r="E112" i="20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C113" i="20" l="1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B114" i="20" l="1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B115" i="20" l="1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116" i="20" l="1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B117" i="20" l="1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D118" i="20" l="1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D119" i="20" l="1"/>
  <c r="B119" i="20"/>
  <c r="E119" i="20"/>
  <c r="C119" i="20"/>
  <c r="A120" i="20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A121" i="20" l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8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F118" i="39"/>
  <c r="G110" i="39"/>
  <c r="V110" i="39"/>
  <c r="G112" i="39"/>
  <c r="N107" i="39"/>
  <c r="M116" i="39"/>
  <c r="Z108" i="39"/>
  <c r="L108" i="39"/>
  <c r="F108" i="39"/>
  <c r="J108" i="39"/>
  <c r="X116" i="39"/>
  <c r="V118" i="39"/>
  <c r="F107" i="39"/>
  <c r="L111" i="39"/>
  <c r="K109" i="39"/>
  <c r="G116" i="39"/>
  <c r="L114" i="39"/>
  <c r="H111" i="39"/>
  <c r="M115" i="39"/>
  <c r="M110" i="39"/>
  <c r="V116" i="39"/>
  <c r="V107" i="39"/>
  <c r="Y118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L118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X118" i="39"/>
  <c r="I114" i="39"/>
  <c r="J118" i="39"/>
  <c r="AA114" i="39"/>
  <c r="H114" i="39"/>
  <c r="L110" i="39"/>
  <c r="H118" i="39"/>
  <c r="Z109" i="39"/>
  <c r="I113" i="39"/>
  <c r="M118" i="39"/>
  <c r="L115" i="39"/>
  <c r="G118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AB118" i="39"/>
  <c r="AS118" i="39" s="1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K118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Z118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AA118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D11" i="9" l="1"/>
  <c r="G11" i="9"/>
  <c r="D14" i="9"/>
  <c r="K37" i="27"/>
  <c r="B121" i="20"/>
  <c r="C121" i="20"/>
  <c r="D121" i="20"/>
  <c r="E121" i="20"/>
  <c r="K91" i="27"/>
  <c r="K49" i="27"/>
  <c r="A122" i="20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U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D17" i="9" l="1"/>
  <c r="D26" i="9"/>
  <c r="D20" i="9"/>
  <c r="E20" i="9" s="1"/>
  <c r="B122" i="20"/>
  <c r="C122" i="20"/>
  <c r="D122" i="20"/>
  <c r="E122" i="20"/>
  <c r="A123" i="20"/>
  <c r="H119" i="39"/>
  <c r="J119" i="39"/>
  <c r="Z120" i="39"/>
  <c r="I119" i="39"/>
  <c r="K119" i="39"/>
  <c r="Y120" i="39"/>
  <c r="J120" i="39"/>
  <c r="H120" i="39"/>
  <c r="G120" i="39"/>
  <c r="G119" i="39"/>
  <c r="F119" i="39"/>
  <c r="AB119" i="39"/>
  <c r="AS119" i="39" s="1"/>
  <c r="N120" i="39"/>
  <c r="L119" i="39"/>
  <c r="AA119" i="39"/>
  <c r="F120" i="39"/>
  <c r="M119" i="39"/>
  <c r="Z119" i="39"/>
  <c r="N119" i="39"/>
  <c r="X119" i="39"/>
  <c r="Y119" i="39"/>
  <c r="M120" i="39"/>
  <c r="AA120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B123" i="20" l="1"/>
  <c r="C123" i="20"/>
  <c r="D123" i="20"/>
  <c r="E123" i="20"/>
  <c r="K120" i="39"/>
  <c r="V120" i="39"/>
  <c r="AB120" i="39"/>
  <c r="AS120" i="39" s="1"/>
  <c r="X120" i="39"/>
  <c r="I120" i="39"/>
  <c r="L120" i="39"/>
  <c r="R120" i="39"/>
  <c r="Q120" i="39"/>
  <c r="O120" i="39"/>
  <c r="W120" i="39"/>
  <c r="Q119" i="39"/>
  <c r="R119" i="39"/>
  <c r="U119" i="39"/>
  <c r="O119" i="39"/>
  <c r="W119" i="39"/>
  <c r="A124" i="20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U120" i="39" l="1"/>
  <c r="E124" i="20"/>
  <c r="B124" i="20"/>
  <c r="C124" i="20"/>
  <c r="D124" i="20"/>
  <c r="A125" i="20"/>
  <c r="J121" i="39"/>
  <c r="M121" i="39"/>
  <c r="G121" i="39"/>
  <c r="Y122" i="39"/>
  <c r="F121" i="39"/>
  <c r="L121" i="39"/>
  <c r="I121" i="39"/>
  <c r="N121" i="39"/>
  <c r="AB122" i="39"/>
  <c r="AS122" i="39" s="1"/>
  <c r="AB121" i="39"/>
  <c r="AS121" i="39" s="1"/>
  <c r="H122" i="39"/>
  <c r="L122" i="39"/>
  <c r="X122" i="39"/>
  <c r="G122" i="39"/>
  <c r="I122" i="39"/>
  <c r="X121" i="39"/>
  <c r="K122" i="39"/>
  <c r="H121" i="39"/>
  <c r="K121" i="39"/>
  <c r="N122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E125" i="20" l="1"/>
  <c r="B125" i="20"/>
  <c r="C125" i="20"/>
  <c r="D125" i="20"/>
  <c r="M122" i="39"/>
  <c r="J122" i="39"/>
  <c r="F122" i="39"/>
  <c r="U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E126" i="20" l="1"/>
  <c r="B126" i="20"/>
  <c r="C126" i="20"/>
  <c r="D126" i="20"/>
  <c r="A127" i="20"/>
  <c r="H124" i="39"/>
  <c r="Z124" i="39"/>
  <c r="N124" i="39"/>
  <c r="L124" i="39"/>
  <c r="X124" i="39"/>
  <c r="I123" i="39"/>
  <c r="AB123" i="39"/>
  <c r="AS123" i="39" s="1"/>
  <c r="H123" i="39"/>
  <c r="Y123" i="39"/>
  <c r="Z123" i="39"/>
  <c r="V124" i="39"/>
  <c r="J123" i="39"/>
  <c r="AA123" i="39"/>
  <c r="F123" i="39"/>
  <c r="AA124" i="39"/>
  <c r="G123" i="39"/>
  <c r="AB124" i="39"/>
  <c r="AS124" i="39" s="1"/>
  <c r="V123" i="39"/>
  <c r="M123" i="39"/>
  <c r="K124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D127" i="20" l="1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AA126" i="39"/>
  <c r="F126" i="39"/>
  <c r="AB126" i="39"/>
  <c r="AS126" i="39" s="1"/>
  <c r="N125" i="39"/>
  <c r="M126" i="39"/>
  <c r="J125" i="39"/>
  <c r="Z126" i="39"/>
  <c r="K125" i="39"/>
  <c r="K126" i="39"/>
  <c r="V125" i="39"/>
  <c r="L125" i="39"/>
  <c r="L126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D129" i="20" l="1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X128" i="39"/>
  <c r="M127" i="39"/>
  <c r="I127" i="39"/>
  <c r="L127" i="39"/>
  <c r="G128" i="39"/>
  <c r="AA128" i="39"/>
  <c r="K127" i="39"/>
  <c r="V128" i="39"/>
  <c r="G127" i="39"/>
  <c r="X127" i="39"/>
  <c r="Y128" i="39"/>
  <c r="N127" i="39"/>
  <c r="Y127" i="39"/>
  <c r="AB128" i="39"/>
  <c r="AS128" i="39" s="1"/>
  <c r="J127" i="39"/>
  <c r="F127" i="39"/>
  <c r="V127" i="39"/>
  <c r="AB127" i="39"/>
  <c r="AS127" i="39" s="1"/>
  <c r="N128" i="39"/>
  <c r="L128" i="39"/>
  <c r="H127" i="39"/>
  <c r="J128" i="39"/>
  <c r="AA127" i="39"/>
  <c r="M128" i="39"/>
  <c r="Z127" i="39"/>
  <c r="I128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C131" i="20" l="1"/>
  <c r="D131" i="20"/>
  <c r="E131" i="20"/>
  <c r="B131" i="20"/>
  <c r="R127" i="39"/>
  <c r="U127" i="39"/>
  <c r="Q127" i="39"/>
  <c r="W127" i="39"/>
  <c r="O127" i="39"/>
  <c r="A132" i="20"/>
  <c r="Q128" i="39"/>
  <c r="U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L272" i="39"/>
  <c r="G272" i="39"/>
  <c r="L274" i="39"/>
  <c r="I274" i="39"/>
  <c r="V274" i="39"/>
  <c r="M268" i="39"/>
  <c r="G269" i="39"/>
  <c r="N270" i="39"/>
  <c r="Y268" i="39"/>
  <c r="X270" i="39"/>
  <c r="Z266" i="39"/>
  <c r="V267" i="39"/>
  <c r="Z272" i="39"/>
  <c r="V272" i="39"/>
  <c r="G274" i="39"/>
  <c r="AA274" i="39"/>
  <c r="X268" i="39"/>
  <c r="J270" i="39"/>
  <c r="L268" i="39"/>
  <c r="Y270" i="39"/>
  <c r="F274" i="39"/>
  <c r="AB274" i="39"/>
  <c r="AS274" i="39" s="1"/>
  <c r="K274" i="39"/>
  <c r="AB266" i="39"/>
  <c r="AS266" i="39" s="1"/>
  <c r="F268" i="39"/>
  <c r="Z270" i="39"/>
  <c r="M266" i="39"/>
  <c r="X266" i="39"/>
  <c r="F266" i="39"/>
  <c r="H272" i="39"/>
  <c r="AA268" i="39"/>
  <c r="H274" i="39"/>
  <c r="I266" i="39"/>
  <c r="I268" i="39"/>
  <c r="L267" i="39"/>
  <c r="X272" i="39"/>
  <c r="K272" i="39"/>
  <c r="AB272" i="39"/>
  <c r="AS272" i="39" s="1"/>
  <c r="V271" i="39"/>
  <c r="V269" i="39"/>
  <c r="H269" i="39"/>
  <c r="L266" i="39"/>
  <c r="AB270" i="39"/>
  <c r="AS270" i="39" s="1"/>
  <c r="M269" i="39"/>
  <c r="F270" i="39"/>
  <c r="J272" i="39"/>
  <c r="Z267" i="39"/>
  <c r="N267" i="39"/>
  <c r="K269" i="39"/>
  <c r="V270" i="39"/>
  <c r="AA270" i="39"/>
  <c r="Y266" i="39"/>
  <c r="G268" i="39"/>
  <c r="M267" i="39"/>
  <c r="N266" i="39"/>
  <c r="H267" i="39"/>
  <c r="H266" i="39"/>
  <c r="Z269" i="39"/>
  <c r="AA266" i="39"/>
  <c r="N269" i="39"/>
  <c r="I272" i="39"/>
  <c r="Z274" i="39"/>
  <c r="X274" i="39"/>
  <c r="M272" i="39"/>
  <c r="J268" i="39"/>
  <c r="H270" i="39"/>
  <c r="V268" i="39"/>
  <c r="K268" i="39"/>
  <c r="J269" i="39"/>
  <c r="K266" i="39"/>
  <c r="M274" i="39"/>
  <c r="H268" i="39"/>
  <c r="X267" i="39"/>
  <c r="J266" i="39"/>
  <c r="Z268" i="39"/>
  <c r="AB268" i="39"/>
  <c r="AS268" i="39" s="1"/>
  <c r="G270" i="39"/>
  <c r="N272" i="39"/>
  <c r="F272" i="39"/>
  <c r="N274" i="39"/>
  <c r="Y274" i="39"/>
  <c r="I270" i="39"/>
  <c r="J267" i="39"/>
  <c r="M270" i="39"/>
  <c r="L270" i="39"/>
  <c r="I267" i="39"/>
  <c r="AA272" i="39"/>
  <c r="K270" i="39"/>
  <c r="G266" i="39"/>
  <c r="J274" i="39"/>
  <c r="N276" i="39"/>
  <c r="I276" i="39"/>
  <c r="M276" i="39"/>
  <c r="H276" i="39"/>
  <c r="K276" i="39"/>
  <c r="L276" i="39"/>
  <c r="J276" i="39"/>
  <c r="G276" i="39"/>
  <c r="AR275" i="39"/>
  <c r="AD275" i="39"/>
  <c r="AH275" i="39"/>
  <c r="AE275" i="39"/>
  <c r="AG275" i="39"/>
  <c r="AF275" i="39"/>
  <c r="AC275" i="39"/>
  <c r="F276" i="39"/>
  <c r="V276" i="39"/>
  <c r="AB276" i="39"/>
  <c r="AA276" i="39"/>
  <c r="Z276" i="39"/>
  <c r="Y276" i="39"/>
  <c r="X276" i="39"/>
  <c r="E276" i="39"/>
  <c r="A277" i="39"/>
  <c r="D276" i="39"/>
  <c r="C276" i="39"/>
  <c r="B276" i="39"/>
  <c r="I110" i="27" l="1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14" i="29"/>
  <c r="U5" i="29"/>
  <c r="U7" i="29"/>
  <c r="G7" i="24"/>
  <c r="U13" i="29"/>
  <c r="U18" i="29"/>
  <c r="G15" i="24"/>
  <c r="U8" i="29"/>
  <c r="G5" i="24"/>
  <c r="G10" i="24"/>
  <c r="V13" i="24"/>
  <c r="U20" i="29"/>
  <c r="U10" i="29"/>
  <c r="G8" i="24"/>
  <c r="U4" i="29"/>
  <c r="U6" i="29"/>
  <c r="U17" i="29"/>
  <c r="U15" i="29"/>
  <c r="U11" i="29"/>
  <c r="G4" i="24"/>
  <c r="U19" i="29"/>
  <c r="U9" i="29"/>
  <c r="V10" i="24"/>
  <c r="G12" i="24"/>
  <c r="V15" i="24"/>
  <c r="U3" i="29"/>
  <c r="G9" i="24"/>
  <c r="U16" i="29"/>
  <c r="G11" i="24"/>
  <c r="V14" i="24"/>
  <c r="G13" i="24"/>
  <c r="U2" i="29"/>
  <c r="G14" i="24"/>
  <c r="V6" i="24"/>
  <c r="V5" i="24"/>
  <c r="V11" i="24"/>
  <c r="V4" i="24"/>
  <c r="V7" i="24"/>
  <c r="V8" i="24"/>
  <c r="G6" i="24"/>
  <c r="V12" i="24"/>
  <c r="V9" i="24"/>
  <c r="U12" i="29"/>
  <c r="O268" i="39"/>
  <c r="R268" i="39"/>
  <c r="U268" i="39"/>
  <c r="Q268" i="39"/>
  <c r="W268" i="39"/>
  <c r="U274" i="39"/>
  <c r="R274" i="39"/>
  <c r="Q274" i="39"/>
  <c r="O274" i="39"/>
  <c r="R272" i="39"/>
  <c r="U272" i="39"/>
  <c r="Q272" i="39"/>
  <c r="O272" i="39"/>
  <c r="W272" i="39"/>
  <c r="U270" i="39"/>
  <c r="R270" i="39"/>
  <c r="Q270" i="39"/>
  <c r="O270" i="39"/>
  <c r="W270" i="39"/>
  <c r="Q266" i="39"/>
  <c r="U266" i="39"/>
  <c r="R266" i="39"/>
  <c r="O266" i="39"/>
  <c r="W266" i="39"/>
  <c r="R267" i="39"/>
  <c r="O267" i="39"/>
  <c r="U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W274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U276" i="39"/>
  <c r="AA277" i="39"/>
  <c r="AB277" i="39"/>
  <c r="Z277" i="39"/>
  <c r="Y277" i="39"/>
  <c r="X277" i="39"/>
  <c r="E277" i="39"/>
  <c r="A278" i="39"/>
  <c r="D277" i="39"/>
  <c r="C277" i="39"/>
  <c r="B277" i="39"/>
  <c r="K109" i="27" l="1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BZ31" i="35" l="1"/>
  <c r="AP31" i="36" s="1"/>
  <c r="BZ9" i="35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AP9" i="36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M35" i="36"/>
  <c r="AR35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<sst xmlns="http://schemas.openxmlformats.org/spreadsheetml/2006/main" count="6457" uniqueCount="1326">
  <si>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</si>
  <si>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</si>
  <si>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</si>
  <si>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</si>
  <si>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</si>
  <si>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</si>
  <si>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</si>
  <si>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</si>
  <si>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</si>
  <si>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</si>
  <si>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</si>
  <si>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</si>
  <si>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</si>
  <si>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</si>
  <si>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</si>
  <si>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</si>
  <si>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</si>
  <si>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</si>
  <si>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</si>
  <si>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</si>
  <si>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</si>
  <si>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</si>
  <si>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</si>
  <si>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</si>
  <si>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</si>
  <si>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</si>
  <si>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</si>
  <si>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</si>
  <si>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</si>
  <si>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</si>
  <si>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</si>
  <si>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</si>
  <si>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</si>
  <si>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</si>
  <si>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</si>
  <si>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</si>
  <si>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</si>
  <si>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</si>
  <si>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</si>
  <si>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</si>
  <si>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</si>
  <si>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</si>
  <si>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</si>
  <si>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</si>
  <si>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</si>
  <si>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</si>
  <si>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</si>
  <si>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</si>
  <si>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</si>
  <si>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</si>
  <si>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</si>
  <si>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</si>
  <si>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</si>
  <si>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</si>
  <si>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</si>
  <si>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</si>
  <si>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</si>
  <si>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</si>
  <si>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</si>
  <si>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</si>
  <si>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</si>
  <si>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</si>
  <si>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</si>
  <si>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</si>
  <si>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</si>
  <si>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</si>
  <si>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</si>
  <si>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</si>
  <si>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</si>
  <si>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</si>
  <si>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</si>
  <si>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</si>
  <si>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</si>
  <si>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</si>
  <si>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</si>
  <si>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</si>
  <si>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</si>
  <si>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</si>
  <si>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</si>
  <si>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</si>
  <si>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</si>
  <si>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</si>
  <si>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</si>
  <si>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</si>
  <si>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</si>
  <si>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</si>
  <si>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</si>
  <si>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</si>
  <si>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</si>
  <si>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</si>
  <si>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</si>
  <si>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</si>
  <si>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</si>
  <si>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</si>
  <si>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</si>
  <si>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</si>
  <si>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</si>
  <si>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</si>
  <si>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</si>
  <si>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</si>
  <si>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</si>
  <si>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</si>
  <si>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</si>
  <si>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</si>
  <si>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</si>
  <si>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</si>
  <si>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</si>
  <si>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</si>
  <si>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</si>
  <si>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</si>
  <si>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</si>
  <si>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</si>
  <si>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</si>
  <si>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</si>
  <si>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</si>
  <si>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</si>
  <si>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</si>
  <si>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</si>
  <si>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</si>
  <si>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</si>
  <si>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</si>
  <si>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</si>
  <si>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</si>
  <si>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</si>
  <si>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</si>
  <si>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</si>
  <si>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</si>
  <si>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</si>
  <si>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</si>
  <si>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</si>
  <si>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</si>
  <si>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</si>
  <si>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</si>
  <si>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</si>
  <si>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</si>
  <si>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</si>
  <si>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</si>
  <si>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</si>
  <si>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</si>
  <si>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</si>
  <si>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</si>
  <si>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</si>
  <si>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</si>
  <si>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</si>
  <si>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</si>
  <si>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</si>
  <si>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</si>
  <si>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</si>
  <si>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</si>
  <si>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</si>
  <si>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</si>
  <si>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</si>
  <si>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</si>
  <si>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</si>
  <si>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</si>
  <si>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</si>
  <si>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</si>
  <si>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</si>
  <si>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</si>
  <si>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</si>
  <si>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</si>
  <si>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</si>
  <si>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</si>
  <si>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</si>
  <si>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</si>
  <si>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</si>
  <si>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</si>
  <si>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</si>
  <si>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</si>
  <si>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</si>
  <si>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</si>
  <si>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</si>
  <si>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</si>
  <si>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</si>
  <si>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</si>
  <si>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</si>
  <si>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</si>
  <si>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</si>
  <si>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</si>
  <si>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</si>
  <si>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</si>
  <si>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</si>
  <si>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</si>
  <si>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</si>
  <si>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</si>
  <si>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</si>
  <si>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</si>
  <si>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</si>
  <si>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</si>
  <si>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</si>
  <si>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</si>
  <si>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</si>
  <si>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</si>
  <si>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</si>
  <si>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</si>
  <si>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</si>
  <si>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</si>
  <si>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</si>
  <si>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</si>
  <si>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</si>
  <si>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</si>
  <si>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</si>
  <si>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</si>
  <si>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</si>
  <si>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</si>
  <si>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</si>
  <si>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</si>
  <si>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</si>
  <si>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</si>
  <si>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</si>
  <si>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</si>
  <si>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</si>
  <si>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</si>
  <si>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</si>
  <si>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</si>
  <si>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</si>
  <si>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</si>
  <si>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</si>
  <si>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</si>
  <si>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</si>
  <si>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</si>
  <si>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</si>
  <si>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</si>
  <si>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</si>
  <si>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</si>
  <si>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</si>
  <si>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</si>
  <si>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</si>
  <si>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</si>
  <si>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</si>
  <si>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</si>
  <si>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</si>
  <si>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</si>
  <si>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</si>
  <si>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</si>
  <si>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</si>
  <si>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</si>
  <si>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</si>
  <si>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</si>
  <si>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</si>
  <si>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</si>
  <si>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</si>
  <si>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</si>
  <si>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</si>
  <si>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</si>
  <si>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</si>
  <si>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</si>
  <si>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</si>
  <si>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</si>
  <si>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</si>
  <si>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</si>
  <si>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</si>
  <si>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</si>
  <si>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</si>
  <si>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</si>
  <si>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</si>
  <si>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</si>
  <si>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</si>
  <si>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</si>
  <si>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</si>
  <si>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</si>
  <si>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</si>
  <si>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</si>
  <si>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</si>
  <si>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</si>
  <si>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</si>
  <si>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</si>
  <si>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</si>
  <si>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</si>
  <si>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</si>
  <si>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</si>
  <si>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</si>
  <si>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</si>
  <si>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</si>
  <si>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</si>
  <si>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</si>
  <si>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</si>
  <si>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</si>
  <si>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</si>
  <si>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</si>
  <si>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</si>
  <si>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</si>
  <si>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</si>
  <si>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</si>
  <si>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</si>
  <si>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</si>
  <si>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</si>
  <si>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</si>
  <si>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</si>
  <si>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</si>
  <si>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</si>
  <si>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</si>
  <si>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</si>
  <si>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</si>
  <si>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</si>
  <si>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</si>
  <si>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</si>
  <si>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</si>
  <si>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</si>
  <si>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</si>
  <si>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</si>
  <si>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</si>
  <si>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</si>
  <si>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ICR-10 INV-2 Unit2 internal fault at 12:26 to 13:20  Fully Cloudly Weathere</t>
  </si>
  <si>
    <t>ICR-10 INV-2 Unit2 internal fault at 8:54 to 9:49  Fully Cloudly Weathere</t>
  </si>
  <si>
    <t>ICR 06 &amp; 08 Emergency Shutdown Due to Local Issue From 09:47 to 11:18 Fully Cloudly Weathere</t>
  </si>
  <si>
    <t>ICR 10 Inv 02 Unit 02 Breakdown due to the soft strat fault at 10:56 AM to 12:46 PM Fully Cloudly Weathere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</si>
  <si>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</si>
  <si>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</si>
  <si>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ICR 06 INV 02 Unit 01 &amp; 02 Brakdown due to the GFDI Fault at 15:53 to 16:46 Fully Cloudly Weathere &amp; Heavy Rain.</t>
  </si>
  <si>
    <t>ICR 10 INV 02 Unit 01  Brakdown due to the GFDI pro Fault at 13:42 to 15:55 Fully Cloudly Weathere &amp; Heavy Rain.</t>
  </si>
  <si>
    <t>Fully Cloudly Weather &amp; rain</t>
  </si>
  <si>
    <t>ICR 01 INV 02  Brakdown due to the GFDI pro Fault at 11:29 to 11:40 Moving Cloudly Weathere</t>
  </si>
  <si>
    <t>Avg_SY Ph1</t>
  </si>
  <si>
    <t>Avg_SY Ph2</t>
  </si>
  <si>
    <t>Avg_SY Ph3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</si>
  <si>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</si>
  <si>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</si>
  <si>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</si>
  <si>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</si>
  <si>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</si>
  <si>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</si>
  <si>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</si>
  <si>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</si>
  <si>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</si>
  <si>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</si>
  <si>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</si>
  <si>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</si>
  <si>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</si>
  <si>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</si>
  <si>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</si>
  <si>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</si>
  <si>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</si>
  <si>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</si>
  <si>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</si>
  <si>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</si>
  <si>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</si>
  <si>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</si>
  <si>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</si>
  <si>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</si>
  <si>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Year_2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</si>
  <si>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</si>
  <si>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</si>
  <si>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</si>
  <si>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</si>
  <si>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</si>
  <si>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</si>
  <si>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</si>
  <si>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</si>
  <si>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</si>
  <si>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</si>
  <si>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</si>
  <si>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</si>
  <si>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</si>
  <si>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</si>
  <si>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</si>
  <si>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</si>
  <si>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</si>
  <si>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</si>
  <si>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</si>
  <si>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</si>
  <si>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</si>
  <si>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Line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</si>
  <si>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</si>
  <si>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</si>
  <si>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</si>
  <si>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</si>
  <si>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</si>
  <si>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</si>
  <si>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</si>
  <si>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</si>
  <si>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</si>
  <si>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</si>
  <si>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</si>
  <si>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</si>
  <si>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</si>
  <si>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</si>
  <si>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</si>
  <si>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</si>
  <si>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</si>
  <si>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</si>
  <si>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</si>
  <si>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</si>
  <si>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</si>
  <si>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</si>
  <si>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</si>
  <si>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</si>
  <si>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</si>
  <si>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</si>
  <si>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</si>
  <si>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</si>
  <si>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</si>
  <si>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</si>
  <si>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</si>
  <si>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</si>
  <si>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</si>
  <si>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</si>
  <si>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</si>
  <si>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</si>
  <si>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</si>
  <si>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</si>
  <si>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</si>
  <si>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</si>
  <si>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</si>
  <si>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</si>
  <si>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</si>
  <si>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</si>
  <si>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</si>
  <si>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</si>
  <si>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</si>
  <si>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</si>
  <si>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</si>
  <si>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</si>
  <si>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</si>
  <si>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</si>
  <si>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</si>
  <si>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</si>
  <si>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</si>
  <si>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</si>
  <si>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</si>
  <si>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</si>
  <si>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</si>
  <si>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</si>
  <si>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</si>
  <si>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</si>
  <si>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</si>
  <si>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</si>
  <si>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</si>
  <si>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</si>
  <si>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</si>
  <si>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</si>
  <si>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</si>
  <si>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</si>
  <si>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</si>
  <si>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</si>
  <si>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</si>
  <si>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</si>
  <si>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</si>
  <si>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</si>
  <si>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</si>
  <si>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</si>
  <si>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</si>
  <si>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</si>
  <si>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</si>
  <si>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</si>
  <si>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</si>
  <si>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</si>
  <si>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</si>
  <si>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</si>
  <si>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</si>
  <si>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</si>
  <si>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</si>
  <si>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</si>
  <si>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</si>
  <si>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</si>
  <si>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</si>
  <si>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</si>
  <si>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</si>
  <si>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</si>
  <si>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</si>
  <si>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</si>
  <si>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</si>
  <si>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</si>
  <si>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</si>
  <si>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</si>
  <si>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</si>
  <si>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</si>
  <si>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</si>
  <si>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</si>
  <si>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</si>
  <si>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</si>
  <si>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</si>
  <si>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</si>
  <si>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</si>
  <si>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</si>
  <si>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</si>
  <si>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</si>
  <si>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</si>
  <si>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</si>
  <si>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</si>
  <si>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</si>
  <si>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</si>
  <si>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</si>
  <si>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</si>
  <si>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</si>
  <si>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</si>
  <si>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</si>
  <si>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</si>
  <si>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</si>
  <si>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</si>
  <si>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</si>
  <si>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</si>
  <si>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</si>
  <si>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</si>
  <si>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</si>
  <si>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</si>
  <si>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</si>
  <si>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</si>
  <si>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</si>
  <si>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</si>
  <si>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</si>
  <si>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</si>
  <si>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</si>
  <si>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</si>
  <si>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</si>
  <si>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</si>
  <si>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</si>
  <si>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</si>
  <si>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</si>
  <si>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</si>
  <si>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</si>
  <si>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</si>
  <si>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</si>
  <si>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</si>
  <si>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</si>
  <si>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</si>
  <si>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</si>
  <si>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</si>
  <si>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</si>
  <si>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</si>
  <si>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</si>
  <si>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</si>
  <si>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</si>
  <si>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</si>
  <si>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</si>
  <si>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</si>
  <si>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</si>
  <si>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</si>
  <si>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</si>
  <si>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</si>
  <si>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</si>
  <si>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</si>
  <si>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</si>
  <si>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</si>
  <si>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</si>
  <si>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</si>
  <si>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</si>
  <si>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</si>
  <si>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</si>
  <si>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</si>
  <si>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</si>
  <si>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</si>
  <si>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</si>
  <si>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</si>
  <si>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</si>
  <si>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</si>
  <si>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</si>
  <si>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</si>
  <si>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</si>
  <si>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</si>
  <si>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</si>
  <si>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</si>
  <si>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</si>
  <si>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</si>
  <si>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</si>
  <si>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</si>
  <si>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</si>
  <si>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</si>
  <si>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</si>
  <si>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</si>
  <si>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</si>
  <si>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</si>
  <si>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</si>
  <si>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</si>
  <si>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</si>
  <si>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</si>
  <si>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</si>
  <si>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</si>
  <si>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</si>
  <si>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</si>
  <si>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</si>
  <si>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</si>
  <si>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</si>
  <si>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</si>
  <si>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</si>
  <si>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</si>
  <si>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</si>
  <si>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</si>
  <si>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</si>
  <si>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</si>
  <si>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</si>
  <si>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</si>
  <si>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</si>
  <si>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</si>
  <si>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</si>
  <si>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</si>
  <si>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</si>
  <si>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</si>
  <si>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</si>
  <si>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</si>
  <si>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</si>
  <si>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</si>
  <si>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</si>
  <si>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</si>
  <si>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</si>
  <si>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</si>
  <si>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</si>
  <si>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</si>
  <si>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</si>
  <si>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</si>
  <si>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</si>
  <si>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</si>
  <si>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</si>
  <si>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</si>
  <si>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</si>
  <si>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</si>
  <si>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</si>
  <si>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</si>
  <si>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</si>
  <si>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</si>
  <si>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</si>
  <si>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</si>
  <si>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</si>
  <si>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</si>
  <si>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</si>
  <si>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</si>
  <si>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</si>
  <si>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</si>
  <si>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</si>
  <si>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</si>
  <si>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</si>
  <si>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</si>
  <si>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</si>
  <si>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</si>
  <si>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</si>
  <si>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</si>
  <si>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</si>
  <si>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</si>
  <si>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</si>
  <si>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</si>
  <si>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</si>
  <si>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</si>
  <si>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</si>
  <si>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</si>
  <si>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</si>
  <si>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</si>
  <si>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</si>
  <si>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</si>
  <si>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</si>
  <si>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</si>
  <si>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</si>
  <si>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</si>
  <si>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</si>
  <si>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</si>
  <si>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</si>
  <si>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</si>
  <si>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</si>
  <si>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</si>
  <si>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</si>
  <si>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</si>
  <si>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</si>
  <si>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</si>
  <si>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</si>
  <si>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</si>
  <si>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</si>
  <si>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</si>
  <si>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</si>
  <si>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</si>
  <si>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</si>
  <si>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</si>
  <si>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</si>
  <si>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</si>
  <si>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</si>
  <si>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</si>
  <si>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</si>
  <si>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</si>
  <si>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</si>
  <si>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</si>
  <si>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</si>
  <si>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</si>
  <si>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</si>
  <si>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</si>
  <si>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</si>
  <si>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</si>
  <si>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</si>
  <si>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</si>
  <si>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</si>
  <si>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</si>
  <si>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</si>
  <si>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</si>
  <si>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</si>
  <si>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</si>
  <si>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</si>
  <si>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</si>
  <si>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</si>
  <si>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</si>
  <si>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</si>
  <si>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</si>
  <si>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</si>
  <si>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</si>
  <si>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</si>
  <si>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</si>
  <si>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</si>
  <si>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</si>
  <si>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</si>
  <si>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</si>
  <si>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</si>
  <si>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</si>
  <si>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</si>
  <si>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</si>
  <si>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</si>
  <si>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</si>
  <si>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</si>
  <si>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</si>
  <si>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</si>
  <si>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</si>
  <si>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</si>
  <si>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</si>
  <si>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</si>
  <si>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</si>
  <si>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</si>
  <si>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</si>
  <si>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</si>
  <si>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</si>
  <si>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</si>
  <si>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</si>
  <si>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</si>
  <si>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</si>
  <si>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</si>
  <si>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</si>
  <si>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</si>
  <si>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</si>
  <si>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</si>
  <si>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</si>
  <si>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</si>
  <si>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</si>
  <si>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</si>
  <si>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</si>
  <si>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</si>
  <si>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</si>
  <si>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</si>
  <si>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</si>
  <si>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</si>
  <si>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</si>
  <si>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</si>
  <si>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</si>
  <si>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</si>
  <si>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</si>
  <si>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</si>
  <si>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</si>
  <si>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</si>
  <si>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</si>
  <si>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</si>
  <si>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</si>
  <si>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</si>
  <si>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</si>
  <si>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</si>
  <si>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</si>
  <si>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</si>
  <si>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</si>
  <si>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</si>
  <si>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</si>
  <si>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</si>
  <si>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</si>
  <si>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</si>
  <si>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</si>
  <si>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</si>
  <si>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</si>
  <si>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</si>
  <si>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</si>
  <si>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</si>
  <si>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</si>
  <si>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</si>
  <si>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</si>
  <si>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</si>
  <si>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</si>
  <si>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</si>
  <si>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</si>
  <si>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</si>
  <si>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</si>
  <si>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</si>
  <si>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</si>
  <si>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</si>
  <si>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</si>
  <si>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</si>
  <si>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</si>
  <si>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</si>
  <si>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</si>
  <si>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</si>
  <si>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</si>
  <si>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</si>
  <si>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</si>
  <si>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</si>
  <si>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</si>
  <si>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</si>
  <si>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</si>
  <si>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</si>
  <si>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</si>
  <si>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</si>
  <si>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</si>
  <si>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</si>
  <si>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</si>
  <si>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</si>
  <si>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</si>
  <si>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</si>
  <si>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</si>
  <si>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</si>
  <si>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</si>
  <si>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</si>
  <si>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</si>
  <si>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</si>
  <si>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</si>
  <si>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</si>
  <si>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</si>
  <si>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</si>
  <si>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</si>
  <si>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</si>
  <si>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</si>
  <si>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</si>
  <si>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</si>
  <si>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</si>
  <si>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</si>
  <si>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</si>
  <si>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</si>
  <si>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</si>
  <si>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</si>
  <si>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</si>
  <si>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</si>
  <si>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</si>
  <si>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</si>
  <si>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</si>
  <si>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</si>
  <si>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</si>
  <si>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</si>
  <si>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</si>
  <si>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</si>
  <si>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</si>
  <si>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</si>
  <si>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</si>
  <si>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</si>
  <si>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</si>
  <si>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</si>
  <si>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</si>
  <si>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</si>
  <si>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</si>
  <si>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</si>
  <si>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</si>
  <si>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</si>
  <si>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</si>
  <si>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</si>
  <si>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</si>
  <si>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</si>
  <si>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</si>
  <si>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</si>
  <si>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</si>
  <si>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</si>
  <si>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</si>
  <si>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</si>
  <si>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</si>
  <si>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</si>
  <si>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</si>
  <si>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</si>
  <si>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</si>
  <si>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</si>
  <si>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</si>
  <si>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</si>
  <si>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</si>
  <si>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</si>
  <si>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</si>
  <si>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</si>
  <si>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</si>
  <si>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</si>
  <si>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</si>
  <si>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</si>
  <si>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</si>
  <si>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</si>
  <si>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</si>
  <si>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</si>
  <si>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</si>
  <si>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</si>
  <si>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</si>
  <si>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</si>
  <si>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</si>
  <si>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</si>
  <si>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</si>
  <si>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</si>
  <si>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</si>
  <si>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</si>
  <si>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</si>
  <si>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</si>
  <si>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</si>
  <si>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</si>
  <si>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</si>
  <si>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</si>
  <si>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</si>
  <si>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</si>
  <si>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</si>
  <si>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</si>
  <si>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</si>
  <si>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</si>
  <si>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</si>
  <si>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</si>
  <si>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</si>
  <si>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</si>
  <si>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</si>
  <si>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</si>
  <si>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</si>
  <si>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</si>
  <si>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</si>
  <si>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</si>
  <si>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</si>
  <si>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</si>
  <si>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</si>
  <si>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</si>
  <si>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</si>
  <si>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</si>
  <si>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</si>
  <si>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</si>
  <si>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</si>
  <si>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</si>
  <si>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</si>
  <si>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</si>
  <si>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</si>
  <si>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</si>
  <si>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</si>
  <si>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</si>
  <si>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</si>
  <si>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</si>
  <si>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</si>
  <si>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</si>
  <si>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</si>
  <si>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</si>
  <si>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</si>
  <si>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</si>
  <si>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</si>
  <si>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</si>
  <si>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</si>
  <si>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</si>
  <si>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</si>
  <si>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</si>
  <si>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</si>
  <si>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</si>
  <si>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</si>
  <si>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</si>
  <si>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</si>
  <si>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</si>
  <si>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</si>
  <si>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</si>
  <si>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</si>
  <si>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</si>
  <si>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</si>
  <si>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</si>
  <si>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</si>
  <si>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</si>
  <si>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</si>
  <si>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</si>
  <si>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</si>
  <si>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</si>
  <si>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</si>
  <si>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</si>
  <si>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</si>
  <si>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</si>
  <si>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</si>
  <si>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</si>
  <si>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</si>
  <si>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</si>
  <si>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</si>
  <si>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</si>
  <si>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</si>
  <si>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</si>
  <si>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</si>
  <si>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</si>
  <si>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</si>
  <si>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</si>
  <si>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</si>
  <si>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</si>
  <si>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</si>
  <si>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</si>
  <si>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</si>
  <si>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</si>
  <si>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</si>
  <si>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</si>
  <si>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</si>
  <si>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</si>
  <si>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</si>
  <si>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</si>
  <si>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</si>
  <si>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</si>
  <si>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</si>
  <si>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</si>
  <si>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</si>
  <si>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</si>
  <si>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</si>
  <si>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</si>
  <si>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</si>
  <si>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</si>
  <si>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</si>
  <si>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</si>
  <si>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</si>
  <si>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</si>
  <si>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</si>
  <si>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</si>
  <si>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</si>
  <si>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</si>
  <si>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</si>
  <si>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</si>
  <si>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</si>
  <si>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</si>
  <si>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</si>
  <si>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</si>
  <si>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</si>
  <si>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</si>
  <si>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</si>
  <si>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</si>
  <si>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</si>
  <si>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</si>
  <si>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</si>
  <si>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</si>
  <si>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</si>
  <si>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</si>
  <si>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</si>
  <si>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</si>
  <si>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</si>
  <si>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</si>
  <si>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</si>
  <si>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</si>
  <si>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</si>
  <si>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</si>
  <si>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</si>
  <si>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</si>
  <si>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</si>
  <si>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</si>
  <si>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</si>
  <si>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</si>
  <si>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</si>
  <si>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</si>
  <si>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</si>
  <si>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</si>
  <si>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</si>
  <si>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</si>
  <si>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</si>
  <si>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</si>
  <si>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</si>
  <si>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</si>
  <si>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</si>
  <si>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</si>
  <si>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</si>
  <si>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IS10Tx</t>
  </si>
  <si>
    <t>IS11Tx</t>
  </si>
  <si>
    <t>IS12Tx</t>
  </si>
  <si>
    <t>IS13Tx</t>
  </si>
  <si>
    <t>IS14Tx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</si>
  <si>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</si>
  <si>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</si>
  <si>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</si>
  <si>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</si>
  <si>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</si>
  <si>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</si>
  <si>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</si>
  <si>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</si>
  <si>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</si>
  <si>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</si>
  <si>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</si>
  <si>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</si>
  <si>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</si>
  <si>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</si>
  <si>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</si>
  <si>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</si>
  <si>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</si>
  <si>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</si>
  <si>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</si>
  <si>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</si>
  <si>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</si>
  <si>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</si>
  <si>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</si>
  <si>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</si>
  <si>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</si>
  <si>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</si>
  <si>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</si>
  <si>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</si>
  <si>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</si>
  <si>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</si>
  <si>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</si>
  <si>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</si>
  <si>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</si>
  <si>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</si>
  <si>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</si>
  <si>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</si>
  <si>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</si>
  <si>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</si>
  <si>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</si>
  <si>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</si>
  <si>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</si>
  <si>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</si>
  <si>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</si>
  <si>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</si>
  <si>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</si>
  <si>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</si>
  <si>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</si>
  <si>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</si>
  <si>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</si>
  <si>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</si>
  <si>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</si>
  <si>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</si>
  <si>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</si>
  <si>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</si>
  <si>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</si>
  <si>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</si>
  <si>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</si>
  <si>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</si>
  <si>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</si>
  <si>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</si>
  <si>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</si>
  <si>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</si>
  <si>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</si>
  <si>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</si>
  <si>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</si>
  <si>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</si>
  <si>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</si>
  <si>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</si>
  <si>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</si>
  <si>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</si>
  <si>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</si>
  <si>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</si>
  <si>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 xml:space="preserve">DC String </t>
  </si>
  <si>
    <t>Fuse Damage</t>
  </si>
  <si>
    <t>In SCB Fuse Damage</t>
  </si>
  <si>
    <t>50 Amps Replace Work Donde After Generation &amp; Than String Charge.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</si>
  <si>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</si>
  <si>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</si>
  <si>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</si>
  <si>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</si>
  <si>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</si>
  <si>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</si>
  <si>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</si>
  <si>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>Dc String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</si>
  <si>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</si>
  <si>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</si>
  <si>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</si>
  <si>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</si>
  <si>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</si>
  <si>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</si>
  <si>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</si>
  <si>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</si>
  <si>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</si>
  <si>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</si>
  <si>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</si>
  <si>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</si>
  <si>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</si>
  <si>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</si>
  <si>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</si>
  <si>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</si>
  <si>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</si>
  <si>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</si>
  <si>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</si>
  <si>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</si>
  <si>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</si>
  <si>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</si>
  <si>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</si>
  <si>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</si>
  <si>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</si>
  <si>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</si>
  <si>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</si>
  <si>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</si>
  <si>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</si>
  <si>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</si>
  <si>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</si>
  <si>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 xml:space="preserve">Inv Trip By Project Team </t>
  </si>
  <si>
    <t xml:space="preserve">DC Capacity increase Durating Night Time </t>
  </si>
  <si>
    <t xml:space="preserve">Inv Start After Rain Over </t>
  </si>
  <si>
    <t>IDT Tripped due to Project work</t>
  </si>
  <si>
    <t xml:space="preserve">DC Capacity increase </t>
  </si>
  <si>
    <t>SCB Cable work completed</t>
  </si>
  <si>
    <t xml:space="preserve">String No 04 Breakdown Due to Sreise Open </t>
  </si>
  <si>
    <t xml:space="preserve">After Generation String Rectification Done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</si>
  <si>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</si>
  <si>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</si>
  <si>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</si>
  <si>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</si>
  <si>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</si>
  <si>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</si>
  <si>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</si>
  <si>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</si>
  <si>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</si>
  <si>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</si>
  <si>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</si>
  <si>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</si>
  <si>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Emergency Shutdown</t>
  </si>
  <si>
    <t>Visual Check All Inverter &amp; IDT Found ok Then Inverter Charge.</t>
  </si>
  <si>
    <t xml:space="preserve">Unit </t>
  </si>
  <si>
    <t>Unit Brakdown due the soft start foult of unit 02</t>
  </si>
  <si>
    <t>Check Voc of INV 02 Unit 02  DC Cable Found Floating Voltage Not Proper &amp; Damage Module has been Bypassed and then Unit 02 Charge.</t>
  </si>
  <si>
    <t>ICR 03 Trip due to Master Relay Trip</t>
  </si>
  <si>
    <t>ICR 03 Trip due to the Over Current &amp; Earth Fault</t>
  </si>
  <si>
    <t xml:space="preserve">Check Visual all is Normal Candition and then Charge </t>
  </si>
  <si>
    <t xml:space="preserve">Incomer 04 shudown due to the Over Currrent Fault </t>
  </si>
  <si>
    <t>Inverter Brakdown due to the GFDI Pro Fault</t>
  </si>
  <si>
    <t>Check all SCB Cable is Voltage Floating ok Then INV Charge.</t>
  </si>
  <si>
    <t>Unit Brakdown due the DC Injection Pro</t>
  </si>
  <si>
    <t xml:space="preserve">Restoration Work Is Underprogress 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</si>
  <si>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</si>
  <si>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</si>
  <si>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</si>
  <si>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</si>
  <si>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</si>
  <si>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Check SCB 2-1-4 String Cable Found DC String Cable Graund Fault then Isolate Faulty Cable and the Unit Charge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</si>
  <si>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</si>
  <si>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</si>
  <si>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</si>
  <si>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</si>
  <si>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unit 01 Auto start</t>
  </si>
  <si>
    <t>Isolate the Faulty String Cable and Then Uint 02 Charge.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</si>
  <si>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</si>
  <si>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</si>
  <si>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</si>
  <si>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</si>
  <si>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</si>
  <si>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</si>
  <si>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</si>
  <si>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</si>
  <si>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</si>
  <si>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</si>
  <si>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132 kV TL line Manual Trip due to 
CT &amp; PT Oil Leakage Attend work From GSS Side.</t>
  </si>
  <si>
    <t>132 kV TL CT &amp; PT  Oil Leakage attend work Complete and then Charge Grid Line.</t>
  </si>
  <si>
    <t>b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</si>
  <si>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</si>
  <si>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</si>
  <si>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</si>
  <si>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</si>
  <si>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</si>
  <si>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</si>
  <si>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</si>
  <si>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</si>
  <si>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</si>
  <si>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</si>
  <si>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</si>
  <si>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</si>
  <si>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</si>
  <si>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</si>
  <si>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</si>
  <si>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</si>
  <si>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</si>
  <si>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</si>
  <si>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</si>
  <si>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</si>
  <si>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</si>
  <si>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</si>
  <si>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</si>
  <si>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</si>
  <si>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</si>
  <si>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</si>
  <si>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</si>
  <si>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</si>
  <si>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</si>
  <si>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</si>
  <si>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</si>
  <si>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Water Tanker</t>
  </si>
  <si>
    <t>MOP</t>
  </si>
  <si>
    <t>Cleaning Stop due to Fanbalt Broken</t>
  </si>
  <si>
    <t>Cleaning not done due to marriage in vendor's family</t>
  </si>
  <si>
    <t>Cleaning stop due to Tractor pulli Broken</t>
  </si>
  <si>
    <t>Cleaning Stop due to Tractor under breakdown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</si>
  <si>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</si>
  <si>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</si>
  <si>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</si>
  <si>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</si>
  <si>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</si>
  <si>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</si>
  <si>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</si>
  <si>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</si>
  <si>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</si>
  <si>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</si>
  <si>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</si>
  <si>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</si>
  <si>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</si>
  <si>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</si>
  <si>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</si>
  <si>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</si>
  <si>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</si>
  <si>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</si>
  <si>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Rin fall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</si>
  <si>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</si>
  <si>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No.Table GC done</t>
  </si>
  <si>
    <t>Mrthod of Cutting</t>
  </si>
  <si>
    <t>Rotavator</t>
  </si>
  <si>
    <t>Manually Grass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</si>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</sst>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_ * #,##0.00_ ;_ * \-#,##0.00_ ;_ * &quot;-&quot;??_ ;_ @_ 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14009]hh:mm;@"/>
    <numFmt numFmtId="174" formatCode="[$-14009]hh:mm"/>
    <numFmt numFmtId="175" formatCode="[$-F400]h:mm:ss\ AM/PM"/>
  </numFmts>
  <fonts count="9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</fonts>
  <fills count="5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7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dotted">
        <color theme="5" tint="0.59996337778862885"/>
      </left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164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42" fillId="0" borderId="0" applyNumberFormat="0" applyFill="0" applyBorder="0" applyAlignment="0" applyProtection="0"/>
    <xf numFmtId="164" fontId="57" fillId="0" borderId="0" applyFont="0" applyFill="0" applyBorder="0" applyAlignment="0" applyProtection="0"/>
    <xf numFmtId="0" fontId="57" fillId="0" borderId="0"/>
    <xf numFmtId="0" fontId="54" fillId="0" borderId="0"/>
    <xf numFmtId="0" fontId="57" fillId="0" borderId="0"/>
    <xf numFmtId="0" fontId="57" fillId="0" borderId="0"/>
    <xf numFmtId="0" fontId="57" fillId="0" borderId="0"/>
    <xf numFmtId="0" fontId="55" fillId="0" borderId="0">
      <alignment vertical="center"/>
    </xf>
    <xf numFmtId="0" fontId="44" fillId="0" borderId="0"/>
    <xf numFmtId="0" fontId="57" fillId="0" borderId="0"/>
    <xf numFmtId="9" fontId="55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5" fillId="0" borderId="0" applyFont="0" applyFill="0" applyBorder="0" applyAlignment="0" applyProtection="0">
      <alignment vertical="center"/>
    </xf>
    <xf numFmtId="0" fontId="39" fillId="0" borderId="0"/>
    <xf numFmtId="0" fontId="58" fillId="0" borderId="0">
      <alignment vertical="center"/>
    </xf>
    <xf numFmtId="9" fontId="58" fillId="0" borderId="0" applyFont="0" applyFill="0" applyBorder="0" applyAlignment="0" applyProtection="0">
      <alignment vertical="center"/>
    </xf>
    <xf numFmtId="0" fontId="39" fillId="0" borderId="0"/>
    <xf numFmtId="164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8" fillId="0" borderId="0"/>
    <xf numFmtId="0" fontId="38" fillId="0" borderId="0"/>
    <xf numFmtId="164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164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7" fillId="0" borderId="0"/>
    <xf numFmtId="0" fontId="37" fillId="0" borderId="0"/>
    <xf numFmtId="164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164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6" fillId="0" borderId="0"/>
    <xf numFmtId="0" fontId="36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60" fillId="0" borderId="0" applyNumberFormat="0" applyFill="0" applyBorder="0" applyAlignment="0" applyProtection="0"/>
    <xf numFmtId="0" fontId="61" fillId="0" borderId="41" applyNumberFormat="0" applyFill="0" applyAlignment="0" applyProtection="0"/>
    <xf numFmtId="0" fontId="62" fillId="0" borderId="42" applyNumberFormat="0" applyFill="0" applyAlignment="0" applyProtection="0"/>
    <xf numFmtId="0" fontId="63" fillId="0" borderId="43" applyNumberFormat="0" applyFill="0" applyAlignment="0" applyProtection="0"/>
    <xf numFmtId="0" fontId="63" fillId="0" borderId="0" applyNumberFormat="0" applyFill="0" applyBorder="0" applyAlignment="0" applyProtection="0"/>
    <xf numFmtId="0" fontId="64" fillId="18" borderId="0" applyNumberFormat="0" applyBorder="0" applyAlignment="0" applyProtection="0"/>
    <xf numFmtId="0" fontId="65" fillId="19" borderId="0" applyNumberFormat="0" applyBorder="0" applyAlignment="0" applyProtection="0"/>
    <xf numFmtId="0" fontId="66" fillId="20" borderId="0" applyNumberFormat="0" applyBorder="0" applyAlignment="0" applyProtection="0"/>
    <xf numFmtId="0" fontId="67" fillId="21" borderId="44" applyNumberFormat="0" applyAlignment="0" applyProtection="0"/>
    <xf numFmtId="0" fontId="68" fillId="22" borderId="45" applyNumberFormat="0" applyAlignment="0" applyProtection="0"/>
    <xf numFmtId="0" fontId="69" fillId="22" borderId="44" applyNumberFormat="0" applyAlignment="0" applyProtection="0"/>
    <xf numFmtId="0" fontId="70" fillId="0" borderId="46" applyNumberFormat="0" applyFill="0" applyAlignment="0" applyProtection="0"/>
    <xf numFmtId="0" fontId="48" fillId="23" borderId="47" applyNumberFormat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49" applyNumberFormat="0" applyFill="0" applyAlignment="0" applyProtection="0"/>
    <xf numFmtId="0" fontId="46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46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46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46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46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46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164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164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164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164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164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164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164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164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16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16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16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16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0" borderId="0"/>
    <xf numFmtId="0" fontId="22" fillId="24" borderId="48" applyNumberFormat="0" applyFont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0" borderId="0"/>
    <xf numFmtId="0" fontId="20" fillId="24" borderId="48" applyNumberFormat="0" applyFont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4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0" fontId="19" fillId="0" borderId="0"/>
    <xf numFmtId="0" fontId="19" fillId="24" borderId="48" applyNumberFormat="0" applyFont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6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0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4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0" fontId="18" fillId="0" borderId="0"/>
    <xf numFmtId="0" fontId="18" fillId="24" borderId="48" applyNumberFormat="0" applyFont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0" borderId="0"/>
    <xf numFmtId="0" fontId="17" fillId="24" borderId="48" applyNumberFormat="0" applyFont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7" fillId="38" borderId="0" applyNumberFormat="0" applyBorder="0" applyAlignment="0" applyProtection="0"/>
    <xf numFmtId="0" fontId="17" fillId="39" borderId="0" applyNumberFormat="0" applyBorder="0" applyAlignment="0" applyProtection="0"/>
    <xf numFmtId="0" fontId="17" fillId="40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17" fillId="44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0" fontId="16" fillId="0" borderId="0"/>
    <xf numFmtId="0" fontId="16" fillId="24" borderId="48" applyNumberFormat="0" applyFont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0" borderId="0"/>
    <xf numFmtId="0" fontId="15" fillId="24" borderId="48" applyNumberFormat="0" applyFont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2" borderId="0" applyNumberFormat="0" applyBorder="0" applyAlignment="0" applyProtection="0"/>
    <xf numFmtId="0" fontId="15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0" borderId="0"/>
    <xf numFmtId="0" fontId="14" fillId="24" borderId="48" applyNumberFormat="0" applyFont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0" borderId="0"/>
    <xf numFmtId="0" fontId="13" fillId="24" borderId="48" applyNumberFormat="0" applyFont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0" borderId="0"/>
    <xf numFmtId="0" fontId="12" fillId="24" borderId="48" applyNumberFormat="0" applyFont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0" borderId="0"/>
    <xf numFmtId="0" fontId="11" fillId="24" borderId="48" applyNumberFormat="0" applyFont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0" borderId="0"/>
    <xf numFmtId="0" fontId="10" fillId="24" borderId="48" applyNumberFormat="0" applyFont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2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6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0" borderId="0"/>
    <xf numFmtId="0" fontId="9" fillId="24" borderId="48" applyNumberFormat="0" applyFont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0" borderId="0"/>
    <xf numFmtId="0" fontId="8" fillId="24" borderId="48" applyNumberFormat="0" applyFont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8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2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6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7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0" borderId="0"/>
    <xf numFmtId="0" fontId="6" fillId="24" borderId="48" applyNumberFormat="0" applyFont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2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6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82" fillId="0" borderId="0"/>
    <xf numFmtId="0" fontId="41" fillId="0" borderId="0"/>
    <xf numFmtId="0" fontId="84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86" fillId="0" borderId="0"/>
  </cellStyleXfs>
  <cellXfs count="32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2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164" fontId="0" fillId="0" borderId="0" xfId="1" applyFont="1"/>
    <xf numFmtId="0" fontId="40" fillId="2" borderId="0" xfId="8" applyFont="1" applyFill="1" applyAlignment="1">
      <alignment horizontal="center" vertical="center" wrapText="1"/>
    </xf>
    <xf numFmtId="168" fontId="40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40" fillId="2" borderId="0" xfId="1" applyFont="1" applyFill="1" applyAlignment="1">
      <alignment horizontal="center" vertical="center" wrapText="1"/>
    </xf>
    <xf numFmtId="0" fontId="40" fillId="2" borderId="3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70" fontId="4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40" fillId="2" borderId="4" xfId="9" applyFont="1" applyFill="1" applyBorder="1" applyAlignment="1">
      <alignment horizontal="center" vertical="center" wrapText="1"/>
    </xf>
    <xf numFmtId="168" fontId="40" fillId="2" borderId="5" xfId="9" applyNumberFormat="1" applyFont="1" applyFill="1" applyBorder="1" applyAlignment="1">
      <alignment horizontal="center" vertical="center" wrapText="1"/>
    </xf>
    <xf numFmtId="0" fontId="40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5" borderId="7" xfId="0" applyFill="1" applyBorder="1"/>
    <xf numFmtId="169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40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40" fillId="2" borderId="11" xfId="8" applyFont="1" applyFill="1" applyBorder="1" applyAlignment="1">
      <alignment horizontal="center" vertical="center" wrapText="1"/>
    </xf>
    <xf numFmtId="0" fontId="40" fillId="2" borderId="12" xfId="8" applyFont="1" applyFill="1" applyBorder="1" applyAlignment="1">
      <alignment horizontal="center" vertical="center" wrapText="1"/>
    </xf>
    <xf numFmtId="168" fontId="40" fillId="2" borderId="12" xfId="8" applyNumberFormat="1" applyFont="1" applyFill="1" applyBorder="1" applyAlignment="1">
      <alignment horizontal="center" vertical="center" wrapText="1"/>
    </xf>
    <xf numFmtId="10" fontId="40" fillId="2" borderId="12" xfId="13" applyNumberFormat="1" applyFont="1" applyFill="1" applyBorder="1" applyAlignment="1">
      <alignment horizontal="center" vertical="center" wrapText="1"/>
    </xf>
    <xf numFmtId="170" fontId="41" fillId="9" borderId="13" xfId="13" applyNumberFormat="1" applyFont="1" applyFill="1" applyBorder="1" applyAlignment="1">
      <alignment horizontal="center"/>
    </xf>
    <xf numFmtId="167" fontId="41" fillId="8" borderId="13" xfId="1" applyNumberFormat="1" applyFont="1" applyFill="1" applyBorder="1" applyAlignment="1">
      <alignment horizontal="center"/>
    </xf>
    <xf numFmtId="0" fontId="4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40" fillId="2" borderId="12" xfId="0" applyNumberFormat="1" applyFont="1" applyFill="1" applyBorder="1" applyAlignment="1">
      <alignment horizontal="center" vertical="center" wrapText="1"/>
    </xf>
    <xf numFmtId="10" fontId="41" fillId="0" borderId="12" xfId="2" applyNumberFormat="1" applyFont="1" applyFill="1" applyBorder="1" applyAlignment="1">
      <alignment horizontal="center"/>
    </xf>
    <xf numFmtId="2" fontId="41" fillId="0" borderId="0" xfId="0" applyNumberFormat="1" applyFont="1" applyAlignment="1">
      <alignment horizontal="center"/>
    </xf>
    <xf numFmtId="0" fontId="40" fillId="2" borderId="12" xfId="0" applyFont="1" applyFill="1" applyBorder="1" applyAlignment="1">
      <alignment horizontal="center" vertical="center" wrapText="1"/>
    </xf>
    <xf numFmtId="171" fontId="41" fillId="8" borderId="14" xfId="0" applyNumberFormat="1" applyFont="1" applyFill="1" applyBorder="1" applyAlignment="1">
      <alignment horizontal="center"/>
    </xf>
    <xf numFmtId="170" fontId="41" fillId="9" borderId="12" xfId="13" applyNumberFormat="1" applyFont="1" applyFill="1" applyBorder="1" applyAlignment="1">
      <alignment horizontal="center"/>
    </xf>
    <xf numFmtId="167" fontId="41" fillId="8" borderId="11" xfId="1" applyNumberFormat="1" applyFont="1" applyFill="1" applyBorder="1" applyAlignment="1">
      <alignment horizontal="center"/>
    </xf>
    <xf numFmtId="0" fontId="41" fillId="8" borderId="14" xfId="0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46" fillId="0" borderId="0" xfId="0" applyFont="1"/>
    <xf numFmtId="0" fontId="48" fillId="15" borderId="1" xfId="0" applyFont="1" applyFill="1" applyBorder="1" applyAlignment="1">
      <alignment vertical="center"/>
    </xf>
    <xf numFmtId="0" fontId="48" fillId="15" borderId="1" xfId="0" applyFont="1" applyFill="1" applyBorder="1" applyAlignment="1">
      <alignment horizontal="center" vertical="center" wrapText="1"/>
    </xf>
    <xf numFmtId="17" fontId="46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48" fillId="15" borderId="1" xfId="0" applyFont="1" applyFill="1" applyBorder="1" applyAlignment="1">
      <alignment horizontal="center" vertical="center"/>
    </xf>
    <xf numFmtId="0" fontId="50" fillId="16" borderId="20" xfId="0" applyFont="1" applyFill="1" applyBorder="1"/>
    <xf numFmtId="171" fontId="51" fillId="8" borderId="21" xfId="6" applyNumberFormat="1" applyFont="1" applyFill="1" applyBorder="1" applyAlignment="1">
      <alignment horizontal="left" vertical="center"/>
    </xf>
    <xf numFmtId="171" fontId="51" fillId="8" borderId="21" xfId="6" applyNumberFormat="1" applyFont="1" applyFill="1" applyBorder="1" applyAlignment="1">
      <alignment vertical="center"/>
    </xf>
    <xf numFmtId="171" fontId="51" fillId="8" borderId="22" xfId="6" applyNumberFormat="1" applyFont="1" applyFill="1" applyBorder="1" applyAlignment="1">
      <alignment vertical="center"/>
    </xf>
    <xf numFmtId="168" fontId="51" fillId="8" borderId="21" xfId="6" applyNumberFormat="1" applyFont="1" applyFill="1" applyBorder="1" applyAlignment="1">
      <alignment horizontal="left" vertical="center"/>
    </xf>
    <xf numFmtId="0" fontId="50" fillId="16" borderId="23" xfId="0" applyFont="1" applyFill="1" applyBorder="1"/>
    <xf numFmtId="168" fontId="51" fillId="8" borderId="24" xfId="6" applyNumberFormat="1" applyFont="1" applyFill="1" applyBorder="1" applyAlignment="1">
      <alignment horizontal="left" vertical="center"/>
    </xf>
    <xf numFmtId="171" fontId="51" fillId="8" borderId="25" xfId="6" applyNumberFormat="1" applyFont="1" applyFill="1" applyBorder="1" applyAlignment="1">
      <alignment vertical="center"/>
    </xf>
    <xf numFmtId="171" fontId="51" fillId="8" borderId="26" xfId="6" applyNumberFormat="1" applyFont="1" applyFill="1" applyBorder="1" applyAlignment="1">
      <alignment vertical="center"/>
    </xf>
    <xf numFmtId="0" fontId="52" fillId="8" borderId="27" xfId="0" applyFont="1" applyFill="1" applyBorder="1"/>
    <xf numFmtId="168" fontId="53" fillId="8" borderId="27" xfId="6" applyNumberFormat="1" applyFont="1" applyFill="1" applyBorder="1" applyAlignment="1">
      <alignment horizontal="left" vertical="center"/>
    </xf>
    <xf numFmtId="0" fontId="50" fillId="16" borderId="28" xfId="0" applyFont="1" applyFill="1" applyBorder="1" applyAlignment="1">
      <alignment horizontal="center" vertical="center" wrapText="1"/>
    </xf>
    <xf numFmtId="0" fontId="50" fillId="16" borderId="29" xfId="0" applyFont="1" applyFill="1" applyBorder="1" applyAlignment="1">
      <alignment horizontal="center" vertical="center" wrapText="1"/>
    </xf>
    <xf numFmtId="0" fontId="50" fillId="16" borderId="30" xfId="0" applyFont="1" applyFill="1" applyBorder="1" applyAlignment="1">
      <alignment horizontal="center" vertical="center" wrapText="1"/>
    </xf>
    <xf numFmtId="0" fontId="52" fillId="8" borderId="32" xfId="0" applyFont="1" applyFill="1" applyBorder="1"/>
    <xf numFmtId="1" fontId="51" fillId="8" borderId="32" xfId="2" applyNumberFormat="1" applyFont="1" applyFill="1" applyBorder="1" applyAlignment="1">
      <alignment horizontal="center" vertical="center"/>
    </xf>
    <xf numFmtId="10" fontId="52" fillId="8" borderId="32" xfId="15" applyNumberFormat="1" applyFont="1" applyFill="1" applyBorder="1" applyAlignment="1">
      <alignment horizontal="center"/>
    </xf>
    <xf numFmtId="0" fontId="52" fillId="8" borderId="35" xfId="0" applyFont="1" applyFill="1" applyBorder="1"/>
    <xf numFmtId="1" fontId="51" fillId="8" borderId="35" xfId="2" applyNumberFormat="1" applyFont="1" applyFill="1" applyBorder="1" applyAlignment="1">
      <alignment horizontal="center" vertical="center"/>
    </xf>
    <xf numFmtId="1" fontId="52" fillId="8" borderId="35" xfId="2" applyNumberFormat="1" applyFont="1" applyFill="1" applyBorder="1" applyAlignment="1">
      <alignment horizontal="center"/>
    </xf>
    <xf numFmtId="10" fontId="52" fillId="8" borderId="35" xfId="15" applyNumberFormat="1" applyFont="1" applyFill="1" applyBorder="1" applyAlignment="1">
      <alignment horizontal="center"/>
    </xf>
    <xf numFmtId="0" fontId="52" fillId="8" borderId="36" xfId="0" applyFont="1" applyFill="1" applyBorder="1"/>
    <xf numFmtId="0" fontId="52" fillId="8" borderId="38" xfId="0" applyFont="1" applyFill="1" applyBorder="1"/>
    <xf numFmtId="1" fontId="51" fillId="8" borderId="38" xfId="2" applyNumberFormat="1" applyFont="1" applyFill="1" applyBorder="1" applyAlignment="1">
      <alignment horizontal="center" vertical="center"/>
    </xf>
    <xf numFmtId="1" fontId="52" fillId="8" borderId="38" xfId="2" applyNumberFormat="1" applyFont="1" applyFill="1" applyBorder="1" applyAlignment="1">
      <alignment horizontal="center"/>
    </xf>
    <xf numFmtId="10" fontId="52" fillId="8" borderId="38" xfId="15" applyNumberFormat="1" applyFont="1" applyFill="1" applyBorder="1" applyAlignment="1">
      <alignment horizontal="center"/>
    </xf>
    <xf numFmtId="166" fontId="51" fillId="8" borderId="32" xfId="2" applyNumberFormat="1" applyFont="1" applyFill="1" applyBorder="1" applyAlignment="1">
      <alignment horizontal="center" vertical="center"/>
    </xf>
    <xf numFmtId="166" fontId="52" fillId="8" borderId="32" xfId="2" applyNumberFormat="1" applyFont="1" applyFill="1" applyBorder="1" applyAlignment="1">
      <alignment horizontal="center"/>
    </xf>
    <xf numFmtId="166" fontId="51" fillId="8" borderId="35" xfId="2" applyNumberFormat="1" applyFont="1" applyFill="1" applyBorder="1" applyAlignment="1">
      <alignment horizontal="center" vertical="center"/>
    </xf>
    <xf numFmtId="166" fontId="52" fillId="8" borderId="35" xfId="2" applyNumberFormat="1" applyFont="1" applyFill="1" applyBorder="1" applyAlignment="1">
      <alignment horizontal="center"/>
    </xf>
    <xf numFmtId="166" fontId="51" fillId="8" borderId="38" xfId="2" applyNumberFormat="1" applyFont="1" applyFill="1" applyBorder="1" applyAlignment="1">
      <alignment horizontal="center" vertical="center"/>
    </xf>
    <xf numFmtId="166" fontId="52" fillId="8" borderId="38" xfId="2" applyNumberFormat="1" applyFont="1" applyFill="1" applyBorder="1" applyAlignment="1">
      <alignment horizontal="center"/>
    </xf>
    <xf numFmtId="0" fontId="74" fillId="2" borderId="7" xfId="8" applyFont="1" applyFill="1" applyBorder="1" applyAlignment="1">
      <alignment horizontal="center" vertical="center" wrapText="1"/>
    </xf>
    <xf numFmtId="168" fontId="74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8" fontId="75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left" vertical="center"/>
    </xf>
    <xf numFmtId="0" fontId="0" fillId="17" borderId="53" xfId="0" applyFill="1" applyBorder="1" applyAlignment="1">
      <alignment horizontal="left"/>
    </xf>
    <xf numFmtId="1" fontId="41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40" fillId="2" borderId="0" xfId="8" applyFont="1" applyFill="1" applyAlignment="1">
      <alignment vertical="center" wrapText="1"/>
    </xf>
    <xf numFmtId="1" fontId="51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46" fillId="15" borderId="1" xfId="0" applyNumberFormat="1" applyFont="1" applyFill="1" applyBorder="1" applyAlignment="1">
      <alignment horizontal="center" vertical="center"/>
    </xf>
    <xf numFmtId="0" fontId="57" fillId="8" borderId="0" xfId="5" applyFill="1" applyAlignment="1">
      <alignment horizontal="center"/>
    </xf>
    <xf numFmtId="0" fontId="57" fillId="8" borderId="0" xfId="5" applyFill="1"/>
    <xf numFmtId="0" fontId="57" fillId="8" borderId="0" xfId="5" applyFill="1" applyAlignment="1">
      <alignment horizontal="right"/>
    </xf>
    <xf numFmtId="172" fontId="45" fillId="11" borderId="15" xfId="10" applyNumberFormat="1" applyFont="1" applyFill="1" applyBorder="1" applyAlignment="1">
      <alignment horizontal="center" vertical="center"/>
    </xf>
    <xf numFmtId="170" fontId="41" fillId="11" borderId="15" xfId="0" applyNumberFormat="1" applyFont="1" applyFill="1" applyBorder="1" applyAlignment="1">
      <alignment horizontal="center"/>
    </xf>
    <xf numFmtId="0" fontId="0" fillId="49" borderId="54" xfId="0" applyFill="1" applyBorder="1" applyAlignment="1">
      <alignment horizontal="center" vertical="center"/>
    </xf>
    <xf numFmtId="167" fontId="43" fillId="0" borderId="0" xfId="0" applyNumberFormat="1" applyFont="1" applyAlignment="1">
      <alignment horizontal="center"/>
    </xf>
    <xf numFmtId="170" fontId="0" fillId="0" borderId="0" xfId="0" applyNumberFormat="1" applyAlignment="1">
      <alignment horizontal="center"/>
    </xf>
    <xf numFmtId="0" fontId="41" fillId="8" borderId="15" xfId="0" applyFont="1" applyFill="1" applyBorder="1" applyAlignment="1">
      <alignment horizontal="center"/>
    </xf>
    <xf numFmtId="171" fontId="41" fillId="8" borderId="15" xfId="0" applyNumberFormat="1" applyFont="1" applyFill="1" applyBorder="1" applyAlignment="1">
      <alignment horizontal="center"/>
    </xf>
    <xf numFmtId="2" fontId="41" fillId="11" borderId="15" xfId="0" applyNumberFormat="1" applyFont="1" applyFill="1" applyBorder="1" applyAlignment="1">
      <alignment horizontal="center"/>
    </xf>
    <xf numFmtId="0" fontId="40" fillId="2" borderId="0" xfId="9" applyFont="1" applyFill="1" applyAlignment="1">
      <alignment horizontal="center" vertical="center" wrapText="1"/>
    </xf>
    <xf numFmtId="1" fontId="41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7" fontId="41" fillId="0" borderId="15" xfId="1" applyNumberFormat="1" applyFont="1" applyFill="1" applyBorder="1" applyAlignment="1">
      <alignment horizontal="center"/>
    </xf>
    <xf numFmtId="167" fontId="41" fillId="0" borderId="55" xfId="1" applyNumberFormat="1" applyFont="1" applyFill="1" applyBorder="1" applyAlignment="1">
      <alignment horizontal="center"/>
    </xf>
    <xf numFmtId="167" fontId="41" fillId="0" borderId="14" xfId="1" applyNumberFormat="1" applyFont="1" applyFill="1" applyBorder="1" applyAlignment="1">
      <alignment horizontal="center"/>
    </xf>
    <xf numFmtId="0" fontId="80" fillId="2" borderId="0" xfId="9" applyFont="1" applyFill="1" applyAlignment="1">
      <alignment horizontal="center" vertical="center" wrapText="1"/>
    </xf>
    <xf numFmtId="10" fontId="80" fillId="2" borderId="12" xfId="13" applyNumberFormat="1" applyFont="1" applyFill="1" applyBorder="1" applyAlignment="1">
      <alignment horizontal="center" vertical="center" wrapText="1"/>
    </xf>
    <xf numFmtId="10" fontId="80" fillId="2" borderId="13" xfId="13" applyNumberFormat="1" applyFont="1" applyFill="1" applyBorder="1" applyAlignment="1">
      <alignment horizontal="center" vertical="center" wrapText="1"/>
    </xf>
    <xf numFmtId="173" fontId="41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164" fontId="41" fillId="0" borderId="15" xfId="1" applyFont="1" applyFill="1" applyBorder="1" applyAlignment="1">
      <alignment horizontal="center"/>
    </xf>
    <xf numFmtId="164" fontId="0" fillId="0" borderId="0" xfId="0" applyNumberFormat="1"/>
    <xf numFmtId="164" fontId="40" fillId="2" borderId="12" xfId="13" applyNumberFormat="1" applyFont="1" applyFill="1" applyBorder="1" applyAlignment="1">
      <alignment horizontal="center" vertical="center" wrapText="1"/>
    </xf>
    <xf numFmtId="164" fontId="0" fillId="8" borderId="0" xfId="0" applyNumberFormat="1" applyFill="1"/>
    <xf numFmtId="174" fontId="83" fillId="50" borderId="40" xfId="41613" applyNumberFormat="1" applyFont="1" applyFill="1" applyBorder="1" applyAlignment="1">
      <alignment horizontal="center"/>
    </xf>
    <xf numFmtId="0" fontId="57" fillId="8" borderId="0" xfId="5" applyFill="1" applyAlignment="1">
      <alignment wrapText="1"/>
    </xf>
    <xf numFmtId="165" fontId="83" fillId="11" borderId="15" xfId="0" applyNumberFormat="1" applyFont="1" applyFill="1" applyBorder="1" applyAlignment="1">
      <alignment horizontal="center"/>
    </xf>
    <xf numFmtId="0" fontId="52" fillId="8" borderId="34" xfId="0" applyFont="1" applyFill="1" applyBorder="1" applyAlignment="1">
      <alignment horizontal="center" vertical="center"/>
    </xf>
    <xf numFmtId="168" fontId="51" fillId="8" borderId="56" xfId="6" applyNumberFormat="1" applyFont="1" applyFill="1" applyBorder="1" applyAlignment="1">
      <alignment horizontal="left" vertical="center"/>
    </xf>
    <xf numFmtId="1" fontId="41" fillId="0" borderId="0" xfId="0" applyNumberFormat="1" applyFont="1" applyAlignment="1">
      <alignment horizontal="center"/>
    </xf>
    <xf numFmtId="165" fontId="41" fillId="11" borderId="15" xfId="0" applyNumberFormat="1" applyFont="1" applyFill="1" applyBorder="1" applyAlignment="1">
      <alignment horizontal="center"/>
    </xf>
    <xf numFmtId="1" fontId="41" fillId="11" borderId="15" xfId="0" applyNumberFormat="1" applyFont="1" applyFill="1" applyBorder="1" applyAlignment="1">
      <alignment horizontal="center"/>
    </xf>
    <xf numFmtId="10" fontId="40" fillId="2" borderId="0" xfId="13" applyNumberFormat="1" applyFont="1" applyFill="1" applyBorder="1" applyAlignment="1">
      <alignment horizontal="center" vertical="center" wrapText="1"/>
    </xf>
    <xf numFmtId="2" fontId="41" fillId="11" borderId="14" xfId="0" applyNumberFormat="1" applyFont="1" applyFill="1" applyBorder="1" applyAlignment="1">
      <alignment horizontal="center"/>
    </xf>
    <xf numFmtId="165" fontId="41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8" fontId="40" fillId="2" borderId="4" xfId="8" applyNumberFormat="1" applyFont="1" applyFill="1" applyBorder="1" applyAlignment="1">
      <alignment horizontal="center" vertical="center" wrapText="1"/>
    </xf>
    <xf numFmtId="0" fontId="40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7" xfId="0" applyNumberFormat="1" applyBorder="1"/>
    <xf numFmtId="2" fontId="0" fillId="0" borderId="8" xfId="0" applyNumberFormat="1" applyBorder="1" applyAlignment="1">
      <alignment horizontal="center"/>
    </xf>
    <xf numFmtId="15" fontId="0" fillId="0" borderId="0" xfId="0" applyNumberFormat="1"/>
    <xf numFmtId="166" fontId="0" fillId="0" borderId="7" xfId="2" applyNumberFormat="1" applyFont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51" fillId="8" borderId="32" xfId="2" applyNumberFormat="1" applyFont="1" applyFill="1" applyBorder="1" applyAlignment="1">
      <alignment horizontal="center" vertical="center"/>
    </xf>
    <xf numFmtId="2" fontId="52" fillId="8" borderId="32" xfId="2" applyNumberFormat="1" applyFont="1" applyFill="1" applyBorder="1" applyAlignment="1">
      <alignment horizontal="center"/>
    </xf>
    <xf numFmtId="2" fontId="51" fillId="8" borderId="35" xfId="2" applyNumberFormat="1" applyFont="1" applyFill="1" applyBorder="1" applyAlignment="1">
      <alignment horizontal="center" vertical="center"/>
    </xf>
    <xf numFmtId="2" fontId="52" fillId="8" borderId="35" xfId="2" applyNumberFormat="1" applyFont="1" applyFill="1" applyBorder="1" applyAlignment="1">
      <alignment horizontal="center"/>
    </xf>
    <xf numFmtId="2" fontId="51" fillId="8" borderId="38" xfId="2" applyNumberFormat="1" applyFont="1" applyFill="1" applyBorder="1" applyAlignment="1">
      <alignment horizontal="center" vertical="center"/>
    </xf>
    <xf numFmtId="2" fontId="52" fillId="8" borderId="38" xfId="2" applyNumberFormat="1" applyFont="1" applyFill="1" applyBorder="1" applyAlignment="1">
      <alignment horizontal="center"/>
    </xf>
    <xf numFmtId="168" fontId="75" fillId="17" borderId="58" xfId="0" applyNumberFormat="1" applyFont="1" applyFill="1" applyBorder="1" applyAlignment="1">
      <alignment horizontal="center"/>
    </xf>
    <xf numFmtId="1" fontId="0" fillId="0" borderId="59" xfId="0" applyNumberFormat="1" applyBorder="1" applyAlignment="1">
      <alignment horizontal="center"/>
    </xf>
    <xf numFmtId="0" fontId="0" fillId="17" borderId="52" xfId="0" applyFill="1" applyBorder="1" applyAlignment="1">
      <alignment horizontal="center"/>
    </xf>
    <xf numFmtId="0" fontId="0" fillId="17" borderId="0" xfId="0" applyFill="1" applyAlignment="1">
      <alignment horizontal="center"/>
    </xf>
    <xf numFmtId="1" fontId="57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83" fillId="7" borderId="15" xfId="13" applyNumberFormat="1" applyFont="1" applyFill="1" applyBorder="1" applyAlignment="1">
      <alignment horizontal="center"/>
    </xf>
    <xf numFmtId="167" fontId="83" fillId="8" borderId="11" xfId="1" applyNumberFormat="1" applyFont="1" applyFill="1" applyBorder="1" applyAlignment="1">
      <alignment horizontal="center"/>
    </xf>
    <xf numFmtId="167" fontId="83" fillId="8" borderId="13" xfId="1" applyNumberFormat="1" applyFont="1" applyFill="1" applyBorder="1" applyAlignment="1">
      <alignment horizontal="center"/>
    </xf>
    <xf numFmtId="170" fontId="83" fillId="9" borderId="12" xfId="13" applyNumberFormat="1" applyFont="1" applyFill="1" applyBorder="1" applyAlignment="1">
      <alignment horizontal="center"/>
    </xf>
    <xf numFmtId="0" fontId="48" fillId="0" borderId="6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/>
    </xf>
    <xf numFmtId="17" fontId="0" fillId="0" borderId="63" xfId="1" applyNumberFormat="1" applyFont="1" applyFill="1" applyBorder="1" applyAlignment="1">
      <alignment horizontal="center" vertical="center"/>
    </xf>
    <xf numFmtId="0" fontId="0" fillId="0" borderId="63" xfId="1" applyNumberFormat="1" applyFont="1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2" fontId="0" fillId="0" borderId="63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" fontId="0" fillId="0" borderId="63" xfId="0" applyNumberFormat="1" applyBorder="1" applyAlignment="1">
      <alignment horizontal="center" vertical="center"/>
    </xf>
    <xf numFmtId="10" fontId="0" fillId="0" borderId="63" xfId="2" applyNumberFormat="1" applyFont="1" applyFill="1" applyBorder="1" applyAlignment="1">
      <alignment horizontal="center" vertical="center"/>
    </xf>
    <xf numFmtId="17" fontId="0" fillId="0" borderId="65" xfId="1" applyNumberFormat="1" applyFont="1" applyFill="1" applyBorder="1" applyAlignment="1">
      <alignment horizontal="center" vertical="center"/>
    </xf>
    <xf numFmtId="0" fontId="0" fillId="0" borderId="65" xfId="1" applyNumberFormat="1" applyFont="1" applyFill="1" applyBorder="1" applyAlignment="1">
      <alignment horizontal="center" vertical="center"/>
    </xf>
    <xf numFmtId="2" fontId="0" fillId="0" borderId="65" xfId="0" applyNumberFormat="1" applyBorder="1" applyAlignment="1">
      <alignment horizontal="center" vertical="center"/>
    </xf>
    <xf numFmtId="165" fontId="0" fillId="0" borderId="65" xfId="0" applyNumberFormat="1" applyBorder="1" applyAlignment="1">
      <alignment horizontal="center" vertical="center"/>
    </xf>
    <xf numFmtId="1" fontId="0" fillId="0" borderId="65" xfId="0" applyNumberFormat="1" applyBorder="1" applyAlignment="1">
      <alignment horizontal="center" vertical="center"/>
    </xf>
    <xf numFmtId="10" fontId="0" fillId="0" borderId="65" xfId="2" applyNumberFormat="1" applyFont="1" applyFill="1" applyBorder="1" applyAlignment="1">
      <alignment horizontal="center" vertical="center"/>
    </xf>
    <xf numFmtId="17" fontId="0" fillId="0" borderId="65" xfId="0" applyNumberFormat="1" applyBorder="1" applyAlignment="1">
      <alignment horizontal="center" vertical="center"/>
    </xf>
    <xf numFmtId="10" fontId="0" fillId="0" borderId="65" xfId="0" applyNumberFormat="1" applyBorder="1" applyAlignment="1">
      <alignment horizontal="center" vertical="center"/>
    </xf>
    <xf numFmtId="0" fontId="48" fillId="0" borderId="62" xfId="41618" applyFont="1" applyBorder="1" applyAlignment="1">
      <alignment horizontal="center" vertical="center" wrapText="1"/>
    </xf>
    <xf numFmtId="168" fontId="40" fillId="0" borderId="62" xfId="41617" applyNumberFormat="1" applyFont="1" applyBorder="1" applyAlignment="1">
      <alignment horizontal="center" vertical="center" wrapText="1"/>
    </xf>
    <xf numFmtId="0" fontId="40" fillId="0" borderId="62" xfId="41617" applyFont="1" applyBorder="1" applyAlignment="1">
      <alignment horizontal="center" vertical="center" wrapText="1"/>
    </xf>
    <xf numFmtId="0" fontId="48" fillId="0" borderId="62" xfId="0" applyFont="1" applyBorder="1" applyAlignment="1">
      <alignment horizontal="center" vertical="center" wrapText="1"/>
    </xf>
    <xf numFmtId="9" fontId="48" fillId="0" borderId="62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77" fillId="0" borderId="0" xfId="2" applyNumberFormat="1" applyFont="1" applyFill="1" applyAlignment="1">
      <alignment horizontal="center" vertical="center"/>
    </xf>
    <xf numFmtId="166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86" fillId="0" borderId="0" xfId="41618" applyNumberFormat="1" applyAlignment="1">
      <alignment horizontal="center" vertical="center"/>
    </xf>
    <xf numFmtId="0" fontId="86" fillId="0" borderId="0" xfId="41618"/>
    <xf numFmtId="0" fontId="41" fillId="0" borderId="64" xfId="2" applyNumberFormat="1" applyFont="1" applyFill="1" applyBorder="1" applyAlignment="1">
      <alignment horizontal="center" vertical="center"/>
    </xf>
    <xf numFmtId="1" fontId="41" fillId="0" borderId="64" xfId="2" applyNumberFormat="1" applyFont="1" applyFill="1" applyBorder="1" applyAlignment="1">
      <alignment horizontal="center" vertical="center"/>
    </xf>
    <xf numFmtId="165" fontId="41" fillId="0" borderId="64" xfId="2" applyNumberFormat="1" applyFont="1" applyFill="1" applyBorder="1" applyAlignment="1">
      <alignment horizontal="center" vertical="center"/>
    </xf>
    <xf numFmtId="0" fontId="86" fillId="0" borderId="0" xfId="41618" applyAlignment="1">
      <alignment horizontal="center" vertical="center"/>
    </xf>
    <xf numFmtId="170" fontId="83" fillId="11" borderId="15" xfId="0" applyNumberFormat="1" applyFont="1" applyFill="1" applyBorder="1" applyAlignment="1">
      <alignment horizontal="center"/>
    </xf>
    <xf numFmtId="1" fontId="83" fillId="11" borderId="15" xfId="0" applyNumberFormat="1" applyFont="1" applyFill="1" applyBorder="1" applyAlignment="1">
      <alignment horizontal="center"/>
    </xf>
    <xf numFmtId="167" fontId="83" fillId="0" borderId="15" xfId="1" applyNumberFormat="1" applyFont="1" applyFill="1" applyBorder="1" applyAlignment="1">
      <alignment horizontal="center"/>
    </xf>
    <xf numFmtId="2" fontId="83" fillId="0" borderId="0" xfId="0" applyNumberFormat="1" applyFont="1" applyAlignment="1">
      <alignment horizontal="center"/>
    </xf>
    <xf numFmtId="0" fontId="83" fillId="0" borderId="0" xfId="0" applyFont="1" applyAlignment="1">
      <alignment horizontal="center"/>
    </xf>
    <xf numFmtId="165" fontId="83" fillId="11" borderId="14" xfId="0" applyNumberFormat="1" applyFont="1" applyFill="1" applyBorder="1" applyAlignment="1">
      <alignment horizontal="center"/>
    </xf>
    <xf numFmtId="0" fontId="83" fillId="11" borderId="15" xfId="0" applyFont="1" applyFill="1" applyBorder="1" applyAlignment="1">
      <alignment horizontal="center"/>
    </xf>
    <xf numFmtId="0" fontId="48" fillId="51" borderId="60" xfId="0" applyFont="1" applyFill="1" applyBorder="1" applyAlignment="1">
      <alignment horizontal="center" vertical="center" wrapText="1"/>
    </xf>
    <xf numFmtId="0" fontId="48" fillId="51" borderId="61" xfId="0" applyFont="1" applyFill="1" applyBorder="1" applyAlignment="1">
      <alignment horizontal="center" vertical="center" wrapText="1"/>
    </xf>
    <xf numFmtId="167" fontId="83" fillId="0" borderId="14" xfId="1" applyNumberFormat="1" applyFont="1" applyFill="1" applyBorder="1" applyAlignment="1">
      <alignment horizontal="center"/>
    </xf>
    <xf numFmtId="171" fontId="51" fillId="8" borderId="21" xfId="6" applyNumberFormat="1" applyFont="1" applyFill="1" applyBorder="1" applyAlignment="1" applyProtection="1">
      <alignment horizontal="left" vertical="center"/>
      <protection locked="0"/>
    </xf>
    <xf numFmtId="168" fontId="51" fillId="8" borderId="21" xfId="6" applyNumberFormat="1" applyFont="1" applyFill="1" applyBorder="1" applyAlignment="1" applyProtection="1">
      <alignment horizontal="left" vertical="center"/>
      <protection locked="0"/>
    </xf>
    <xf numFmtId="1" fontId="52" fillId="8" borderId="33" xfId="0" applyNumberFormat="1" applyFont="1" applyFill="1" applyBorder="1" applyProtection="1">
      <protection locked="0"/>
    </xf>
    <xf numFmtId="0" fontId="52" fillId="8" borderId="36" xfId="0" applyFont="1" applyFill="1" applyBorder="1" applyProtection="1">
      <protection locked="0"/>
    </xf>
    <xf numFmtId="0" fontId="52" fillId="8" borderId="39" xfId="0" applyFont="1" applyFill="1" applyBorder="1" applyProtection="1">
      <protection locked="0"/>
    </xf>
    <xf numFmtId="0" fontId="48" fillId="0" borderId="62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70" fontId="83" fillId="9" borderId="11" xfId="13" applyNumberFormat="1" applyFont="1" applyFill="1" applyBorder="1" applyAlignment="1">
      <alignment horizontal="center"/>
    </xf>
    <xf numFmtId="165" fontId="41" fillId="0" borderId="64" xfId="0" applyNumberFormat="1" applyFont="1" applyBorder="1" applyAlignment="1">
      <alignment horizontal="center" vertical="center"/>
    </xf>
    <xf numFmtId="0" fontId="88" fillId="0" borderId="63" xfId="1" applyNumberFormat="1" applyFont="1" applyFill="1" applyBorder="1" applyAlignment="1">
      <alignment horizontal="center" vertical="center"/>
    </xf>
    <xf numFmtId="170" fontId="83" fillId="53" borderId="15" xfId="13" applyNumberFormat="1" applyFont="1" applyFill="1" applyBorder="1" applyAlignment="1">
      <alignment horizontal="center"/>
    </xf>
    <xf numFmtId="1" fontId="83" fillId="52" borderId="15" xfId="13" applyNumberFormat="1" applyFont="1" applyFill="1" applyBorder="1" applyAlignment="1">
      <alignment horizontal="center" vertical="top"/>
    </xf>
    <xf numFmtId="1" fontId="83" fillId="7" borderId="66" xfId="13" applyNumberFormat="1" applyFont="1" applyFill="1" applyBorder="1" applyAlignment="1">
      <alignment horizontal="center"/>
    </xf>
    <xf numFmtId="0" fontId="0" fillId="52" borderId="13" xfId="0" applyFill="1" applyBorder="1" applyAlignment="1">
      <alignment horizontal="center" vertical="center"/>
    </xf>
    <xf numFmtId="0" fontId="0" fillId="52" borderId="67" xfId="0" applyFill="1" applyBorder="1" applyAlignment="1">
      <alignment horizontal="center" vertical="center"/>
    </xf>
    <xf numFmtId="1" fontId="0" fillId="52" borderId="67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/>
    </xf>
    <xf numFmtId="1" fontId="0" fillId="52" borderId="13" xfId="0" applyNumberFormat="1" applyFill="1" applyBorder="1" applyAlignment="1">
      <alignment horizontal="center" vertical="center"/>
    </xf>
    <xf numFmtId="1" fontId="83" fillId="7" borderId="68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9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9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5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9" xfId="0" applyNumberFormat="1" applyBorder="1" applyAlignment="1">
      <alignment horizontal="center" vertical="center"/>
    </xf>
    <xf numFmtId="167" fontId="41" fillId="8" borderId="67" xfId="1" applyNumberFormat="1" applyFont="1" applyFill="1" applyBorder="1" applyAlignment="1">
      <alignment horizontal="center"/>
    </xf>
    <xf numFmtId="166" fontId="0" fillId="0" borderId="0" xfId="2" applyNumberFormat="1" applyFont="1" applyFill="1" applyBorder="1" applyAlignment="1">
      <alignment horizontal="center" vertical="center"/>
    </xf>
    <xf numFmtId="20" fontId="43" fillId="0" borderId="0" xfId="0" applyNumberFormat="1" applyFont="1" applyAlignment="1">
      <alignment horizontal="center" vertical="center"/>
    </xf>
    <xf numFmtId="2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left" vertical="center" wrapText="1"/>
    </xf>
    <xf numFmtId="164" fontId="0" fillId="0" borderId="0" xfId="1" applyFont="1" applyAlignment="1">
      <alignment horizontal="center" vertical="center"/>
    </xf>
    <xf numFmtId="167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83" fillId="7" borderId="15" xfId="0" applyNumberFormat="1" applyFont="1" applyFill="1" applyBorder="1" applyAlignment="1">
      <alignment horizontal="center" vertical="center"/>
    </xf>
    <xf numFmtId="1" fontId="83" fillId="9" borderId="12" xfId="13" applyNumberFormat="1" applyFont="1" applyFill="1" applyBorder="1" applyAlignment="1">
      <alignment horizontal="center"/>
    </xf>
    <xf numFmtId="1" fontId="41" fillId="9" borderId="12" xfId="13" applyNumberFormat="1" applyFont="1" applyFill="1" applyBorder="1" applyAlignment="1">
      <alignment horizontal="center"/>
    </xf>
    <xf numFmtId="10" fontId="83" fillId="0" borderId="15" xfId="2" applyNumberFormat="1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10" fontId="77" fillId="0" borderId="7" xfId="2" applyNumberFormat="1" applyFont="1" applyBorder="1" applyAlignment="1">
      <alignment horizontal="center"/>
    </xf>
    <xf numFmtId="175" fontId="91" fillId="52" borderId="15" xfId="13" applyNumberFormat="1" applyFont="1" applyFill="1" applyBorder="1" applyAlignment="1">
      <alignment horizontal="center" vertical="center"/>
    </xf>
    <xf numFmtId="175" fontId="91" fillId="54" borderId="15" xfId="41613" applyNumberFormat="1" applyFont="1" applyFill="1" applyBorder="1" applyAlignment="1">
      <alignment horizontal="center" vertical="center"/>
    </xf>
    <xf numFmtId="175" fontId="91" fillId="52" borderId="15" xfId="0" applyNumberFormat="1" applyFont="1" applyFill="1" applyBorder="1" applyAlignment="1">
      <alignment horizontal="center" vertical="center"/>
    </xf>
    <xf numFmtId="0" fontId="1" fillId="0" borderId="0" xfId="0" applyFont="1"/>
    <xf numFmtId="0" fontId="49" fillId="16" borderId="17" xfId="0" applyFont="1" applyFill="1" applyBorder="1" applyAlignment="1">
      <alignment horizontal="center" vertical="center"/>
    </xf>
    <xf numFmtId="0" fontId="49" fillId="16" borderId="18" xfId="0" applyFont="1" applyFill="1" applyBorder="1" applyAlignment="1">
      <alignment horizontal="center" vertical="center"/>
    </xf>
    <xf numFmtId="0" fontId="49" fillId="16" borderId="19" xfId="0" applyFont="1" applyFill="1" applyBorder="1" applyAlignment="1">
      <alignment horizontal="center" vertical="center"/>
    </xf>
    <xf numFmtId="0" fontId="52" fillId="8" borderId="31" xfId="0" applyFont="1" applyFill="1" applyBorder="1" applyAlignment="1">
      <alignment horizontal="center" vertical="center"/>
    </xf>
    <xf numFmtId="0" fontId="52" fillId="8" borderId="34" xfId="0" applyFont="1" applyFill="1" applyBorder="1" applyAlignment="1">
      <alignment horizontal="center" vertical="center"/>
    </xf>
    <xf numFmtId="0" fontId="52" fillId="8" borderId="37" xfId="0" applyFont="1" applyFill="1" applyBorder="1" applyAlignment="1">
      <alignment horizontal="center" vertical="center"/>
    </xf>
    <xf numFmtId="0" fontId="47" fillId="14" borderId="2" xfId="0" applyFont="1" applyFill="1" applyBorder="1" applyAlignment="1">
      <alignment horizontal="center" vertical="center"/>
    </xf>
    <xf numFmtId="0" fontId="47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  <xf numFmtId="0" fontId="1" fillId="8" borderId="0" xfId="5" applyFont="1" applyFill="1"/>
    <xf numFmtId="0" fontId="1" fillId="0" borderId="0" xfId="0" applyFont="1" applyAlignment="1">
      <alignment horizontal="center"/>
    </xf>
    <xf numFmtId="10" fontId="83" fillId="11" borderId="15" xfId="0" applyNumberFormat="1" applyFont="1" applyFill="1" applyBorder="1" applyAlignment="1">
      <alignment horizontal="center"/>
    </xf>
    <xf numFmtId="164" fontId="83" fillId="0" borderId="15" xfId="1" applyFont="1" applyFill="1" applyBorder="1" applyAlignment="1">
      <alignment horizontal="center"/>
    </xf>
    <xf numFmtId="0" fontId="1" fillId="4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5" borderId="7" xfId="0" applyFont="1" applyFill="1" applyBorder="1" applyAlignment="1">
      <alignment vertical="center"/>
    </xf>
    <xf numFmtId="0" fontId="1" fillId="5" borderId="7" xfId="0" applyFont="1" applyFill="1" applyBorder="1" applyAlignment="1">
      <alignment horizontal="left"/>
    </xf>
    <xf numFmtId="0" fontId="1" fillId="5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left" vertical="center"/>
    </xf>
    <xf numFmtId="0" fontId="1" fillId="5" borderId="7" xfId="0" applyFont="1" applyFill="1" applyBorder="1"/>
    <xf numFmtId="0" fontId="1" fillId="5" borderId="7" xfId="0" applyFont="1" applyFill="1" applyBorder="1" applyAlignment="1">
      <alignment horizontal="center" vertical="center"/>
    </xf>
    <xf numFmtId="0" fontId="1" fillId="17" borderId="53" xfId="0" applyFont="1" applyFill="1" applyBorder="1" applyAlignment="1">
      <alignment horizontal="center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6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76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6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76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7" formatCode="hh:mm"/>
    </dxf>
    <dxf>
      <numFmt numFmtId="177" formatCode="hh:mm"/>
    </dxf>
    <dxf>
      <numFmt numFmtId="177" formatCode="h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8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7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7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7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6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0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8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8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>
        <bottom style="hair">
          <color auto="1"/>
        </bottom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ill>
        <patternFill>
          <bgColor rgb="FFDE787A"/>
        </patternFill>
      </fill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8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>
        <bottom style="hair">
          <color auto="1"/>
        </bottom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7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5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6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6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8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34" dataDxfId="733" totalsRowDxfId="732" headerRowBorderDxfId="730" tableBorderDxfId="731" totalsRowBorderDxfId="729">
  <autoFilter ref="A1:AS369" xr:uid="{3B203726-2095-49D8-A694-A659B4A14C0A}"/>
  <tableColumns count="45">
    <tableColumn id="1" xr3:uid="{6061667D-9250-46A5-BD49-1802B68309E8}" name="Date" dataDxfId="727" totalsRowDxfId="728" dataCellStyle="Normal 26"/>
    <tableColumn id="2" xr3:uid="{CBEB7FBF-4D1A-4902-8D4D-564C2A61AB7A}" name="Financial Year" dataDxfId="725" totalsRowDxfId="726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23" totalsRowDxfId="724" dataCellStyle="Normal 26">
      <calculatedColumnFormula>YEAR(Table13[[#This Row],[Date]])</calculatedColumnFormula>
    </tableColumn>
    <tableColumn id="4" xr3:uid="{F5B50366-973D-4705-A9DF-BE8C8CCB9861}" name="Month Year" dataDxfId="721" totalsRowDxfId="722" dataCellStyle="Normal 26">
      <calculatedColumnFormula>Table13[[#This Row],[Date]]-DAY(Table13[[#This Row],[Date]])+1</calculatedColumnFormula>
    </tableColumn>
    <tableColumn id="5" xr3:uid="{F33A9A57-683D-4191-BFC7-889CA1E9894D}" name="Days" dataDxfId="719" totalsRowDxfId="720" dataCellStyle="Normal 26">
      <calculatedColumnFormula>DAY(EOMONTH(A2,0))</calculatedColumnFormula>
    </tableColumn>
    <tableColumn id="6" xr3:uid="{8D6C8107-AEEA-4487-833A-5D6A91BC3889}" name="Operating Hours" dataDxfId="718">
      <calculatedColumnFormula>IFERROR(_xlfn.XLOOKUP($A2,Input_Raw!$A:$A,Input_Raw!$FC:$FC),"")</calculatedColumnFormula>
    </tableColumn>
    <tableColumn id="7" xr3:uid="{173C7A5B-AF7D-4DEB-8029-4D53E88421FA}" name="GHI-UP (KWh/m2)" dataDxfId="716" totalsRowDxfId="717">
      <calculatedColumnFormula>IFERROR(_xlfn.XLOOKUP($A2,Input_Raw!$A:$A,Input_Raw!$CY:$CY),"")</calculatedColumnFormula>
    </tableColumn>
    <tableColumn id="8" xr3:uid="{90C19EDA-C5BF-4871-BC97-4EE3867665A3}" name="GHI-Down(KWh/m2)" dataDxfId="714" totalsRowDxfId="715">
      <calculatedColumnFormula>IFERROR(_xlfn.XLOOKUP($A2,Input_Raw!$A:$A,Input_Raw!$DA:$DA),"")</calculatedColumnFormula>
    </tableColumn>
    <tableColumn id="9" xr3:uid="{2F4A9CF6-4099-472C-9788-72B39A13508C}" name="POA-UP(KWh/m2)" dataDxfId="712" totalsRowDxfId="713">
      <calculatedColumnFormula>IFERROR(_xlfn.XLOOKUP($A2,Input_Raw!$A:$A,Input_Raw!$CX:$CX),"")</calculatedColumnFormula>
    </tableColumn>
    <tableColumn id="10" xr3:uid="{139297C1-22D2-4B34-A7DF-CB5A9034987A}" name="POA-Down(KWh/m2)" dataDxfId="710" totalsRowDxfId="711">
      <calculatedColumnFormula>IFERROR(_xlfn.XLOOKUP($A2,Input_Raw!$A:$A,Input_Raw!$CZ:$CZ),"")</calculatedColumnFormula>
    </tableColumn>
    <tableColumn id="11" xr3:uid="{533045FB-6B90-40AD-A98E-30060B311850}" name="Amb_Temp(°C)" dataDxfId="708" totalsRowDxfId="709">
      <calculatedColumnFormula>IFERROR(_xlfn.XLOOKUP($A2,Input_Raw!$A:$A,Input_Raw!$DB:$DB),"")</calculatedColumnFormula>
    </tableColumn>
    <tableColumn id="12" xr3:uid="{AD6A647E-0F14-44BE-89CD-35B71A895195}" name="Mod_Temp(°C)" dataDxfId="706" totalsRowDxfId="707">
      <calculatedColumnFormula>IFERROR(_xlfn.XLOOKUP($A2,Input_Raw!$A:$A,Input_Raw!$DC:$DC),"")</calculatedColumnFormula>
    </tableColumn>
    <tableColumn id="13" xr3:uid="{E3BD3240-5E3E-41C7-8420-1E3A2FC784E6}" name="WS_Avg(m/s)" dataDxfId="704" totalsRowDxfId="705">
      <calculatedColumnFormula>IFERROR(_xlfn.XLOOKUP($A2,Input_Raw!$A:$A,Input_Raw!$DF:$DF),"")</calculatedColumnFormula>
    </tableColumn>
    <tableColumn id="14" xr3:uid="{CC407D8B-FCE6-43D6-A3C5-D33819365812}" name="WS_Max(m/s)" dataDxfId="702" totalsRowDxfId="703">
      <calculatedColumnFormula>IFERROR(_xlfn.XLOOKUP($A2,Input_Raw!$A:$A,Input_Raw!$DG:$DG),"")</calculatedColumnFormula>
    </tableColumn>
    <tableColumn id="15" xr3:uid="{8A00ECC7-82B1-446E-8A09-0FC64ACA3AB2}" name="PA(%)" dataDxfId="700" totalsRowDxfId="701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698" totalsRowDxfId="699"/>
    <tableColumn id="17" xr3:uid="{EB1D4093-6C74-4026-8D54-CFBE375E733A}" name="IGA (%)" dataDxfId="696" totalsRowDxfId="697">
      <calculatedColumnFormula>IFERROR(1-(SUMIF(Grid_BD!$B:$B,$A2,Grid_BD!$V:$V)/($AA2+SUMIF(Grid_BD!$B:$B,$A2,Grid_BD!$V:$V))),"")</calculatedColumnFormula>
    </tableColumn>
    <tableColumn id="18" xr3:uid="{A77270B7-D662-47B4-8CC9-32A0F57FE4D0}" name="EGA(%)" dataDxfId="694" totalsRowDxfId="695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2" totalsRowDxfId="693"/>
    <tableColumn id="20" xr3:uid="{A53667A0-617F-414C-8552-5BB0B3DB58CE}" name="TA (%)" dataDxfId="690" totalsRowDxfId="691"/>
    <tableColumn id="21" xr3:uid="{22888606-CC7E-4A2C-A0F2-1D02BA7945F3}" name="PR(%)" dataDxfId="688" totalsRowDxfId="689">
      <calculatedColumnFormula>IFERROR(AA2/I2/AB2/1000,"")</calculatedColumnFormula>
    </tableColumn>
    <tableColumn id="22" xr3:uid="{3212A9C0-5471-4813-B374-CD2DEBCF2268}" name="WPR(%)" dataDxfId="686" totalsRowDxfId="687">
      <calculatedColumnFormula>IFERROR(_xlfn.XLOOKUP($A2,Input_Raw!$A:$A,Input_Raw!$FG:$FG),"")</calculatedColumnFormula>
    </tableColumn>
    <tableColumn id="23" xr3:uid="{3EF00EC9-F4CC-4859-BA4F-641BC60B9081}" name="CUF(%)" dataDxfId="684" totalsRowDxfId="685">
      <calculatedColumnFormula>IFERROR(AA2/(24*AR2*1000),"")</calculatedColumnFormula>
    </tableColumn>
    <tableColumn id="24" xr3:uid="{5471BFDE-15D6-4FB8-A9B2-76E7A84093E6}" name="Gen_Exp (kWh)" dataDxfId="682" totalsRowDxfId="683">
      <calculatedColumnFormula>IFERROR(_xlfn.XLOOKUP($A2,Input_Raw!$A:$A,Input_Raw!$DP:$DP),"")</calculatedColumnFormula>
    </tableColumn>
    <tableColumn id="25" xr3:uid="{D8B318D0-3F87-4C66-BCAA-0F9C927259AD}" name="Mtr_Export (kWh)" dataDxfId="680" totalsRowDxfId="681">
      <calculatedColumnFormula>IFERROR(_xlfn.XLOOKUP($A2,Input_Raw!$A:$A,Input_Raw!EW:EW),"")</calculatedColumnFormula>
    </tableColumn>
    <tableColumn id="26" xr3:uid="{4320A314-3E92-47D3-912F-CAA9D23B0EFD}" name="Mtr_Import (kWh)" dataDxfId="678" totalsRowDxfId="679">
      <calculatedColumnFormula>IFERROR(_xlfn.XLOOKUP($A2,Input_Raw!$A:$A,Input_Raw!EX:EX),"")</calculatedColumnFormula>
    </tableColumn>
    <tableColumn id="27" xr3:uid="{6577E2E2-C6B1-46A5-A8B0-92DE8C366EBF}" name="Mtr_Net_Exp (KWh)" dataDxfId="676" totalsRowDxfId="677">
      <calculatedColumnFormula>IFERROR(_xlfn.XLOOKUP($A2,Input_Raw!$A:$A,Input_Raw!FA:FA),"")</calculatedColumnFormula>
    </tableColumn>
    <tableColumn id="28" xr3:uid="{4B82756E-4093-4989-AF77-51CC966AFF96}" name="Operational Capacity (MW)" dataDxfId="674" totalsRowDxfId="675">
      <calculatedColumnFormula>IFERROR(_xlfn.XLOOKUP($A2,Input_Raw!$A:$A,Input_Raw!FD:FD),"")</calculatedColumnFormula>
    </tableColumn>
    <tableColumn id="29" xr3:uid="{F8BD7E28-87DE-4866-B757-533FD77C9C7C}" name="Bugt_Resource" dataDxfId="672" totalsRowDxfId="673">
      <calculatedColumnFormula>IFERROR(_xlfn.XLOOKUP($D2,'Modelling New'!$D:$D,'Modelling New'!P:P),"")</calculatedColumnFormula>
    </tableColumn>
    <tableColumn id="30" xr3:uid="{152A3BF9-558F-4701-A73A-1F5EE88F9004}" name="Bugt_Energy" dataDxfId="670" totalsRowDxfId="671">
      <calculatedColumnFormula>IFERROR(_xlfn.XLOOKUP($D2,'Modelling New'!$D:$D,'Modelling New'!T:T)*1000,"")</calculatedColumnFormula>
    </tableColumn>
    <tableColumn id="43" xr3:uid="{F06F9241-CF2A-485F-A434-B162AAF20F79}" name="Bugt PR" dataDxfId="668" totalsRowDxfId="669">
      <calculatedColumnFormula>IFERROR(_xlfn.XLOOKUP($D2,'Modelling New'!$D:$D,'Modelling New'!O:O),"")</calculatedColumnFormula>
    </tableColumn>
    <tableColumn id="42" xr3:uid="{CCEAF39D-9746-4869-BB7B-0C68B0CF228C}" name="Bugt CUF" dataDxfId="666" totalsRowDxfId="667">
      <calculatedColumnFormula>IFERROR(_xlfn.XLOOKUP($D2,'Modelling New'!$D:$D,'Modelling New'!W:W),"")</calculatedColumnFormula>
    </tableColumn>
    <tableColumn id="31" xr3:uid="{E64B733D-AD26-4AEE-BFBA-8E5857241697}" name="Bugt_PA" dataDxfId="664" totalsRowDxfId="665">
      <calculatedColumnFormula>IFERROR(_xlfn.XLOOKUP($D2,'Modelling New'!$D:$D,'Modelling New'!AE:AE),"")</calculatedColumnFormula>
    </tableColumn>
    <tableColumn id="32" xr3:uid="{B5277B8F-EC95-4F59-B2A1-CF96BE54DDFC}" name="Bugt_EGA" dataDxfId="662" totalsRowDxfId="663">
      <calculatedColumnFormula>IFERROR(_xlfn.XLOOKUP($D2,'Modelling New'!$D:$D,'Modelling New'!AF:AF),"")</calculatedColumnFormula>
    </tableColumn>
    <tableColumn id="33" xr3:uid="{A24BAD5C-1952-4BE6-B764-30E4C983494D}" name="Expected Energy" dataDxfId="660" totalsRowDxfId="661"/>
    <tableColumn id="34" xr3:uid="{B7011453-987E-420B-9AAC-F7C62AB62879}" name="Actual Energy WPR" dataDxfId="658" totalsRowDxfId="659"/>
    <tableColumn id="35" xr3:uid="{4D398EB9-235B-4701-BAFF-69980B5B0C1F}" name="RA (%)" dataDxfId="656" totalsRowDxfId="657"/>
    <tableColumn id="36" xr3:uid="{42FBA6C1-68A8-4499-A770-16723AD20253}" name="Mod Clean Dry (Num)" dataDxfId="654" totalsRowDxfId="655"/>
    <tableColumn id="37" xr3:uid="{B434E686-A621-4232-95E3-6A4428946438}" name="Mod Clean Wet (Num)" dataDxfId="652" totalsRowDxfId="653"/>
    <tableColumn id="38" xr3:uid="{067DE875-F5CA-4763-AABB-C97D92B0A0BB}" name="Line Loss(%)" dataDxfId="650" totalsRowDxfId="651"/>
    <tableColumn id="39" xr3:uid="{D324F659-9FF0-4872-AD1C-BFCC6CAC68F4}" name="Reactive Power (%)" dataDxfId="649"/>
    <tableColumn id="40" xr3:uid="{19420BC8-176B-4D54-8347-88783AB917A8}" name="Bugt Line loss (%) (Wind)" dataDxfId="647" totalsRowDxfId="648"/>
    <tableColumn id="41" xr3:uid="{544B330B-521A-4D05-9FC7-FF99309E7D58}" name="Bugt Reactive Power (%) (Wind)" dataDxfId="645" totalsRowDxfId="646"/>
    <tableColumn id="44" xr3:uid="{60DC0A69-4E36-402D-BC06-70D5A6822C25}" name="Bugt Capacity" dataDxfId="643" totalsRowDxfId="644" dataCellStyle="Normal 53">
      <calculatedColumnFormula>_xlfn.XLOOKUP(D2,'Modelling New'!$D:$D,'Modelling New'!$N:$N)</calculatedColumnFormula>
    </tableColumn>
    <tableColumn id="45" xr3:uid="{9368DBF9-6842-4B86-B8C7-7B0DF221A912}" name="CC*Bugt" dataDxfId="641" totalsRowDxfId="642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0">
  <tableColumns count="163">
    <tableColumn id="5" xr3:uid="{00000000-0010-0000-0100-000005000000}" name="Date" dataDxfId="639" dataCellStyle="Normal 27">
      <calculatedColumnFormula>A4+1</calculatedColumnFormula>
    </tableColumn>
    <tableColumn id="1" xr3:uid="{00000000-0010-0000-0100-000001000000}" name="Finacial Year" dataDxfId="638">
      <calculatedColumnFormula>YEAR(RD[[#This Row],[Date]])+IF(MONTH(RD[[#This Row],[Date]])&gt;=4,1,0)</calculatedColumnFormula>
    </tableColumn>
    <tableColumn id="2" xr3:uid="{00000000-0010-0000-0100-000002000000}" name="Calendor Year" dataDxfId="637">
      <calculatedColumnFormula>YEAR(RD[[#This Row],[Date]])</calculatedColumnFormula>
    </tableColumn>
    <tableColumn id="3" xr3:uid="{00000000-0010-0000-0100-000003000000}" name="Month Year" dataDxfId="636">
      <calculatedColumnFormula>A5-DAY(A5)+1</calculatedColumnFormula>
    </tableColumn>
    <tableColumn id="4" xr3:uid="{00000000-0010-0000-0100-000004000000}" name="Days" dataDxfId="635">
      <calculatedColumnFormula>DAY(EOMONTH(RD[[#This Row],[Date]],0))</calculatedColumnFormula>
    </tableColumn>
    <tableColumn id="149" xr3:uid="{00000000-0010-0000-0100-000095000000}" name="Sunrise Time (POA&gt;20 W/m2)" dataDxfId="634"/>
    <tableColumn id="148" xr3:uid="{00000000-0010-0000-0100-000094000000}" name="Sunset Time (POA&lt;20 W/m2)" dataDxfId="633"/>
    <tableColumn id="11" xr3:uid="{775489D4-51E5-48F0-8C70-E5E8C43B9876}" name="IS1Inv1M1" dataDxfId="632"/>
    <tableColumn id="12" xr3:uid="{84B7B479-49D0-4BDB-AA65-D7BCB9273070}" name="IS1Inv1M2" dataDxfId="631"/>
    <tableColumn id="13" xr3:uid="{038F787D-DAAA-4712-A82B-C7D4AADC1553}" name="IS1Inv1M3" dataDxfId="630"/>
    <tableColumn id="14" xr3:uid="{5FEBFC36-2123-4147-B734-AE2A42DD29A9}" name="IS1Inv1M4" dataDxfId="629"/>
    <tableColumn id="15" xr3:uid="{5AF56C06-ED74-4D9D-8236-6E42998E0A31}" name="IS1Inv2M1" dataDxfId="628"/>
    <tableColumn id="16" xr3:uid="{DC4ED453-2517-41EE-85C2-5C5BE3CDF88A}" name="IS1Inv2M2" dataDxfId="627"/>
    <tableColumn id="17" xr3:uid="{D0807946-EAA4-41CB-922B-343595F0D662}" name="IS1Inv2M3" dataDxfId="626"/>
    <tableColumn id="18" xr3:uid="{D3D0E893-6E5C-48F4-B8C1-9B7DEDB3EDE1}" name="IS1Inv2M4" dataDxfId="625"/>
    <tableColumn id="19" xr3:uid="{FCB2CC18-9FF3-4B78-B3F7-19BA8210B428}" name="IS2Inv1M1" dataDxfId="624"/>
    <tableColumn id="20" xr3:uid="{841B8E06-63EF-400E-ABCA-2199960817D7}" name="IS2Inv1M2" dataDxfId="623"/>
    <tableColumn id="21" xr3:uid="{4ADEF8CF-A3AF-46E7-AB19-C8F85E3ECB4A}" name="IS2Inv1M3" dataDxfId="622"/>
    <tableColumn id="22" xr3:uid="{0485F657-FFB6-4117-81A2-C20690116D07}" name="IS2Inv1M4" dataDxfId="621"/>
    <tableColumn id="23" xr3:uid="{459BF5BF-C7F4-4E17-9129-1CD29FBCFDF6}" name="IS2Inv2M1" dataDxfId="620"/>
    <tableColumn id="24" xr3:uid="{E182142C-E424-4011-A308-A26F225167A3}" name="IS2Inv2M2" dataDxfId="619"/>
    <tableColumn id="25" xr3:uid="{44701232-BE62-47D5-ACAF-CC1E8B0F8B89}" name="IS2Inv2M3" dataDxfId="618"/>
    <tableColumn id="26" xr3:uid="{B2DF58AC-9255-42BD-B50B-04C1A7E5F91F}" name="IS2Inv2M4" dataDxfId="617"/>
    <tableColumn id="125" xr3:uid="{00000000-0010-0000-0100-00007D000000}" name="IS3Inv1M1" dataDxfId="616"/>
    <tableColumn id="126" xr3:uid="{00000000-0010-0000-0100-00007E000000}" name="IS3Inv1M2" dataDxfId="615"/>
    <tableColumn id="127" xr3:uid="{00000000-0010-0000-0100-00007F000000}" name="IS3Inv2M1" dataDxfId="614"/>
    <tableColumn id="128" xr3:uid="{00000000-0010-0000-0100-000080000000}" name="IS3Inv2M2" dataDxfId="613"/>
    <tableColumn id="129" xr3:uid="{00000000-0010-0000-0100-000081000000}" name="IS4Inv1M1" dataDxfId="612"/>
    <tableColumn id="130" xr3:uid="{00000000-0010-0000-0100-000082000000}" name="IS4Inv1M2" dataDxfId="611"/>
    <tableColumn id="131" xr3:uid="{00000000-0010-0000-0100-000083000000}" name="IS4Inv2M1" dataDxfId="610"/>
    <tableColumn id="132" xr3:uid="{00000000-0010-0000-0100-000084000000}" name="IS4Inv2M2" dataDxfId="609"/>
    <tableColumn id="133" xr3:uid="{00000000-0010-0000-0100-000085000000}" name="IS4Inv3M1" dataDxfId="608"/>
    <tableColumn id="116" xr3:uid="{00000000-0010-0000-0100-000074000000}" name="IS4Inv3M2" dataDxfId="607"/>
    <tableColumn id="117" xr3:uid="{00000000-0010-0000-0100-000075000000}" name="IS4Inv4M1" dataDxfId="606"/>
    <tableColumn id="118" xr3:uid="{00000000-0010-0000-0100-000076000000}" name="IS4Inv4M2" dataDxfId="605"/>
    <tableColumn id="32" xr3:uid="{2D2DF571-4036-4B49-93B7-ACC5BE709E80}" name="IS5Inv1M1" dataDxfId="604" dataCellStyle="Percent 2"/>
    <tableColumn id="40" xr3:uid="{98DE6F5A-BC18-4A0A-9078-B2C3598ECA88}" name="IS5Inv1M2" dataDxfId="603" dataCellStyle="Percent 2"/>
    <tableColumn id="47" xr3:uid="{0CB925DC-CEC3-4560-A570-7EDD1B35DD23}" name="IS5Inv2M1" dataDxfId="602" dataCellStyle="Percent 2"/>
    <tableColumn id="46" xr3:uid="{B4807D17-C913-4F3A-991E-666D1D6CC4CD}" name="IS5Inv2M2" dataDxfId="601" dataCellStyle="Percent 2"/>
    <tableColumn id="45" xr3:uid="{836BCB00-4DC6-4DE9-8DF8-5D58905F94F7}" name="IS6Inv1M1" dataDxfId="600" dataCellStyle="Percent 2"/>
    <tableColumn id="44" xr3:uid="{D876972F-754A-4585-A2A3-11440B8E095E}" name="IS6Inv1M2" dataDxfId="599" dataCellStyle="Percent 2"/>
    <tableColumn id="69" xr3:uid="{5644955D-06CF-4DF7-9DC5-4AAF1100B0DB}" name="IS6Inv2M1" dataDxfId="598" dataCellStyle="Percent 2"/>
    <tableColumn id="68" xr3:uid="{07360E15-0471-4551-91B5-AE5E478E7677}" name="IS6Inv2M2" dataDxfId="597" dataCellStyle="Percent 2"/>
    <tableColumn id="67" xr3:uid="{B1F37881-0C62-4D31-83A9-CCFE309BB1FA}" name="IS7Inv1M1" dataDxfId="596" dataCellStyle="Percent 2"/>
    <tableColumn id="71" xr3:uid="{4CC77047-7132-4F03-95FE-48933BFBA07C}" name="IS7Inv2M1" dataDxfId="595" dataCellStyle="Percent 2"/>
    <tableColumn id="59" xr3:uid="{527FC671-961D-4151-AD25-543EB4C2248D}" name="IS8Inv1M1" dataDxfId="594" dataCellStyle="Percent 2"/>
    <tableColumn id="58" xr3:uid="{DD3095EE-07C6-480D-8389-D0298646D33F}" name="IS8Inv1M2" dataDxfId="593" dataCellStyle="Percent 2"/>
    <tableColumn id="57" xr3:uid="{180991F8-B9D8-4C83-96D2-2807E50B49E3}" name="IS8Inv1M3" dataDxfId="592" dataCellStyle="Percent 2"/>
    <tableColumn id="56" xr3:uid="{9553B8E1-60E8-4ED7-8022-03D53300B15D}" name="IS8Inv1M4" dataDxfId="591" dataCellStyle="Percent 2"/>
    <tableColumn id="51" xr3:uid="{7F3EDC40-36CA-4FC2-8F9B-F5FFC1F9B936}" name="IS9Inv1M1" dataDxfId="590" dataCellStyle="Percent 2"/>
    <tableColumn id="50" xr3:uid="{C8A63ADA-49C8-4840-B2AC-D9BAF1854525}" name="IS9Inv1M2" dataDxfId="589" dataCellStyle="Percent 2"/>
    <tableColumn id="49" xr3:uid="{AC56F0F5-E707-421F-83DF-EF5F16690F79}" name="IS9Inv2M1" dataDxfId="588" dataCellStyle="Percent 2"/>
    <tableColumn id="48" xr3:uid="{A2399281-9D6C-489C-B539-8B0B4D078D1F}" name="IS9Inv2M2" dataDxfId="587" dataCellStyle="Percent 2"/>
    <tableColumn id="76" xr3:uid="{ABEDC1EF-0539-4677-A9F7-DA613426101A}" name="IS10Inv1M1" dataDxfId="586" dataCellStyle="Percent 2"/>
    <tableColumn id="77" xr3:uid="{7BD4375B-8796-4C00-A0C3-F7FB34942A07}" name="IS10Inv1M2" dataDxfId="585" dataCellStyle="Percent 2"/>
    <tableColumn id="78" xr3:uid="{415A1FC0-2436-478A-8C66-897C5B09B12F}" name="IS10Inv2M1" dataDxfId="584" dataCellStyle="Percent 2"/>
    <tableColumn id="79" xr3:uid="{BFF44164-9651-45A6-A931-5525F3A92FF7}" name="IS10Inv2M2" dataDxfId="583" dataCellStyle="Percent 2"/>
    <tableColumn id="72" xr3:uid="{F78A302C-D01E-48F8-8CEC-56A3FEBEBD8F}" name="IS10Inv3M1" dataDxfId="582" dataCellStyle="Percent 2"/>
    <tableColumn id="73" xr3:uid="{F001288C-68A0-4177-AC25-886D6AAB75DC}" name="IS10Inv3M2" dataDxfId="581" dataCellStyle="Percent 2"/>
    <tableColumn id="74" xr3:uid="{60398DBC-0F28-438A-9787-1B689474A46D}" name="IS10Inv4M1" dataDxfId="580" dataCellStyle="Percent 2"/>
    <tableColumn id="75" xr3:uid="{8A61362E-EBB0-47DD-A3DE-0ADCDA7F6CFE}" name="IS10Inv4M2" dataDxfId="579" dataCellStyle="Percent 2"/>
    <tableColumn id="64" xr3:uid="{517FD682-CBBE-4720-89E8-8E14D76A5AB1}" name="IS11Inv1M1" dataDxfId="578" dataCellStyle="Percent 2"/>
    <tableColumn id="70" xr3:uid="{BC1DB0D5-FBDA-4A73-A912-2A67C93BBB62}" name="IS11Inv1M2" dataDxfId="577" dataCellStyle="Percent 2"/>
    <tableColumn id="41" xr3:uid="{94262321-E6AB-4776-8540-6402D32E340C}" name="IS11Inv1M3" dataDxfId="576" dataCellStyle="Percent 2"/>
    <tableColumn id="6" xr3:uid="{CF75897E-9104-4770-865A-A18AFE7E128B}" name="IS11Inv1M4" dataDxfId="575" dataCellStyle="Percent 2"/>
    <tableColumn id="100" xr3:uid="{17021C98-B6BE-48D8-AED7-2393830B05CE}" name="IS12Inv1M1" dataDxfId="574" dataCellStyle="Percent 2"/>
    <tableColumn id="101" xr3:uid="{46ABB0AE-BC33-46FD-8EEB-ADCDD29FB5EF}" name="IS12Inv1M2" dataDxfId="573" dataCellStyle="Percent 2"/>
    <tableColumn id="102" xr3:uid="{D125A1DF-E528-414D-A726-BBEC365181BD}" name="IS12Inv1M3" dataDxfId="572" dataCellStyle="Percent 2"/>
    <tableColumn id="104" xr3:uid="{C4524BDF-659A-4556-A47A-4061691D56C5}" name="IS12Inv1M4" dataDxfId="571" dataCellStyle="Percent 2"/>
    <tableColumn id="88" xr3:uid="{F61783ED-D048-4637-BA2E-DCC4D9768D4B}" name="IS13Inv1M1" dataDxfId="570" dataCellStyle="Percent 2"/>
    <tableColumn id="89" xr3:uid="{E1FB032F-DBC6-4678-B207-62F51EA7C7BE}" name="IS13Inv1M2" dataDxfId="569" dataCellStyle="Percent 2"/>
    <tableColumn id="92" xr3:uid="{31EF91BC-DA33-4F0F-A3EE-1EC8CE6DD60F}" name="IS13Inv2M1" dataDxfId="568" dataCellStyle="Percent 2"/>
    <tableColumn id="93" xr3:uid="{B327A84D-C8DC-421C-9F53-283190F111AD}" name="IS13Inv2M2" dataDxfId="567" dataCellStyle="Percent 2"/>
    <tableColumn id="109" xr3:uid="{E3B10579-D81B-42CC-8DB9-08FE4F7E9E60}" name="IS14Inv1M1" dataDxfId="566" dataCellStyle="Percent 2"/>
    <tableColumn id="111" xr3:uid="{3DBC9284-0F61-49CB-8853-6432A2A69DCE}" name="IS14Inv1M2" dataDxfId="565" dataCellStyle="Percent 2"/>
    <tableColumn id="162" xr3:uid="{FE85585E-8BB9-4DF7-8BB8-755DE68D87CB}" name="IS14Inv1M3" dataDxfId="564" dataCellStyle="Percent 2"/>
    <tableColumn id="163" xr3:uid="{C57B32CA-C3E4-44D2-A26F-2C762C4F8E2A}" name="IS14Inv1M4" dataDxfId="563" dataCellStyle="Percent 2"/>
    <tableColumn id="86" xr3:uid="{58DAB093-4E2E-454E-929B-A00CCAC986C7}" name="IS14Inv2M1" dataDxfId="562" dataCellStyle="Percent 2"/>
    <tableColumn id="87" xr3:uid="{F04B17F6-9A2A-480D-BFC7-6868B6357A37}" name="IS14Inv2M2" dataDxfId="561" dataCellStyle="Percent 2"/>
    <tableColumn id="85" xr3:uid="{61A32025-5CFB-4445-9FEB-3AD2F7BB20F1}" name="IS14Inv2M3" dataDxfId="560" dataCellStyle="Percent 2"/>
    <tableColumn id="84" xr3:uid="{C774397A-D81F-45CA-BC3D-6201C0694A75}" name="IS14Inv2M4" dataDxfId="559" dataCellStyle="Percent 2"/>
    <tableColumn id="134" xr3:uid="{00000000-0010-0000-0100-000086000000}" name="IS1POA1 (KWh/m2)" dataDxfId="558"/>
    <tableColumn id="119" xr3:uid="{7A08F9CF-DE2D-467A-9BB9-9C227509592B}" name="IS7POA2 (KWh/m2)" dataDxfId="557" dataCellStyle="Percent 2"/>
    <tableColumn id="135" xr3:uid="{00000000-0010-0000-0100-000087000000}" name="IS1GHI1 (KWh/m2)" dataDxfId="556"/>
    <tableColumn id="120" xr3:uid="{728AE779-26A4-4740-A249-8183004BAD48}" name="IS7GHI2 (KWh/m2)" dataDxfId="555" dataCellStyle="Percent 2"/>
    <tableColumn id="136" xr3:uid="{00000000-0010-0000-0100-000088000000}" name="IS1POA_BS1 (KWh/m2)" dataDxfId="554"/>
    <tableColumn id="121" xr3:uid="{F5A5B7EF-E2E7-4CAF-BCB9-C5021D7F0CFB}" name="IS7POA_BS2 (KWh/m2)" dataDxfId="553" dataCellStyle="Percent 2"/>
    <tableColumn id="83" xr3:uid="{7D6A8A68-0399-4A26-8975-AD89D5010EE5}" name="IS1GHI_BS1 (KWh/m2)" dataDxfId="552" dataCellStyle="Percent 2"/>
    <tableColumn id="107" xr3:uid="{841FE6AA-1539-4053-A2BE-C60831D98E4F}" name="IS1GHI_BS1 (KWh/m2)2" dataDxfId="551" dataCellStyle="Percent 2"/>
    <tableColumn id="137" xr3:uid="{00000000-0010-0000-0100-000089000000}" name="IS1AT1 (°C)" dataDxfId="550"/>
    <tableColumn id="122" xr3:uid="{8FE954B6-E671-43C9-A056-3AFAD2770295}" name="IS7AT2 (°C)" dataDxfId="549" dataCellStyle="Percent 2"/>
    <tableColumn id="138" xr3:uid="{00000000-0010-0000-0100-00008A000000}" name="IS1MT1 (°C)" dataDxfId="548"/>
    <tableColumn id="123" xr3:uid="{6463D0EF-44C5-46C4-B532-20940737F2D4}" name="IS7MT2 (°C)" dataDxfId="547" dataCellStyle="Percent 2"/>
    <tableColumn id="139" xr3:uid="{00000000-0010-0000-0100-00008B000000}" name="IS1RH1 (%)" dataDxfId="546"/>
    <tableColumn id="124" xr3:uid="{B997E8DF-33CE-4B99-AB04-0AF6F85A41A3}" name="IS7RH2 (%)" dataDxfId="545" dataCellStyle="Percent 2"/>
    <tableColumn id="140" xr3:uid="{00000000-0010-0000-0100-00008C000000}" name="IS1Rain1 (mm)" dataDxfId="544"/>
    <tableColumn id="150" xr3:uid="{6B963A74-8B11-4756-9AFE-2CE8E0E539F9}" name="IS7Rain2 (mm)" dataDxfId="543" dataCellStyle="Percent 2"/>
    <tableColumn id="141" xr3:uid="{00000000-0010-0000-0100-00008D000000}" name="WS_Solar1_Avg (m/s)" dataDxfId="542"/>
    <tableColumn id="151" xr3:uid="{4C62BE76-64E9-45CE-8C8C-D47196BDE4FB}" name="IS7_WS_Solar1_Avg (m/s)" dataDxfId="541" dataCellStyle="Percent 2"/>
    <tableColumn id="142" xr3:uid="{00000000-0010-0000-0100-00008E000000}" name="WS_Solar1_Max (m/s)" dataDxfId="540"/>
    <tableColumn id="110" xr3:uid="{E9A15F03-DDD3-4B4E-A752-56D87AB03644}" name="IS7_WS_Solar1_Max (m/s)" dataDxfId="539" dataCellStyle="Percent 2"/>
    <tableColumn id="153" xr3:uid="{1A9CEFE4-EE80-4888-A924-1705D23AE202}" name="Avg POA (KWh/m2)" dataDxfId="538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37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36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35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34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3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2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1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0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29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28">
      <calculatedColumnFormula>SUM(RD[[#This Row],[IS1Inv1M1]:[IS4Inv4M2]])</calculatedColumnFormula>
    </tableColumn>
    <tableColumn id="144" xr3:uid="{00000000-0010-0000-0100-000090000000}" name="O2R6" dataDxfId="527" dataCellStyle="Comma">
      <calculatedColumnFormula>SUM(RD[[#This Row],[IS7Inv1M1]]+RD[[#This Row],[IS7Inv2M1]])</calculatedColumnFormula>
    </tableColumn>
    <tableColumn id="145" xr3:uid="{00000000-0010-0000-0100-000091000000}" name="O2R11" dataDxfId="526">
      <calculatedColumnFormula>SUM(RD[[#This Row],[IS5Inv1M1]:[IS5Inv2M2]])</calculatedColumnFormula>
    </tableColumn>
    <tableColumn id="146" xr3:uid="{00000000-0010-0000-0100-000092000000}" name="O2R12" dataDxfId="525">
      <calculatedColumnFormula>SUM(RD[[#This Row],[IS8Inv1M1]:[IS9Inv2M2]])</calculatedColumnFormula>
    </tableColumn>
    <tableColumn id="27" xr3:uid="{E308E821-9388-43E4-BFB4-447597E88ECB}" name="O2R17" dataDxfId="524">
      <calculatedColumnFormula>SUM(RD[[#This Row],[IS6Inv1M1]:[IS6Inv2M2]])</calculatedColumnFormula>
    </tableColumn>
    <tableColumn id="81" xr3:uid="{03D110F2-F556-427D-A1A4-85D27F184449}" name="O2R14" dataDxfId="523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2" dataCellStyle="Comma">
      <calculatedColumnFormula>SUM(RD[[#This Row],[IS12Inv1M1]:[IS12Inv1M4]])</calculatedColumnFormula>
    </tableColumn>
    <tableColumn id="106" xr3:uid="{F11C2A69-22D5-4073-BB8E-49CE0C52DD6E}" name="O2R26" dataDxfId="521" dataCellStyle="Comma">
      <calculatedColumnFormula>SUM(RD[[#This Row],[IS13Inv1M1]:[IS13Inv2M2]])</calculatedColumnFormula>
    </tableColumn>
    <tableColumn id="147" xr3:uid="{00000000-0010-0000-0100-000093000000}" name="Inv Total Gneration (MWh)" dataDxfId="520">
      <calculatedColumnFormula>SUM(RD[[#This Row],[O2R15]:[O2R26]])</calculatedColumnFormula>
    </tableColumn>
    <tableColumn id="52" xr3:uid="{00000000-0010-0000-0100-000034000000}" name="33 kV_F3_Ex_x000a_Incomer1" dataDxfId="519"/>
    <tableColumn id="7" xr3:uid="{B55B57F2-7E08-4DF7-AA0C-3606328C56C2}" name="34 kV_F3_Im_x000a_Incomer1" dataDxfId="518"/>
    <tableColumn id="53" xr3:uid="{00000000-0010-0000-0100-000035000000}" name="33 kV_F4_Ex_x000a_Incomer2" dataDxfId="517"/>
    <tableColumn id="54" xr3:uid="{00000000-0010-0000-0100-000036000000}" name="34 kV_F4_Im_x000a_Incomer2" dataDxfId="516"/>
    <tableColumn id="28" xr3:uid="{AB241F6E-2D2F-4263-8D18-CE757432A50D}" name="33 kV_F5_Ex_x000a_Incomer3" dataDxfId="515"/>
    <tableColumn id="29" xr3:uid="{E42C3AD3-55C8-4E4F-8C04-75608AF0CC94}" name="34 kV_F5_Im_x000a_Incomer3" dataDxfId="514"/>
    <tableColumn id="55" xr3:uid="{00000000-0010-0000-0100-000037000000}" name="33 kV_F6_Ex_x000a_Incomer4" dataDxfId="513"/>
    <tableColumn id="30" xr3:uid="{CBF31314-341D-4BB6-BA0B-86F675EF0091}" name="33 kV_F6_Im_x000a_Incomer4" dataDxfId="512"/>
    <tableColumn id="113" xr3:uid="{DC90B3F2-273C-4841-A7A1-FD68287213D2}" name="33 kV_F7_Ex_x000a_Incomer5" dataDxfId="511"/>
    <tableColumn id="112" xr3:uid="{53BA9390-091F-475E-946D-1CC14B945CE9}" name="33 kV_F7_Im_x000a_Incomer5" dataDxfId="510"/>
    <tableColumn id="31" xr3:uid="{D4A30DB4-BEE4-468D-B08C-CDCBD1E4CCCD}" name="33 kV_Aux Trafo" dataDxfId="509"/>
    <tableColumn id="60" xr3:uid="{00000000-0010-0000-0100-00003C000000}" name="33kV_OG1_Ex_" dataDxfId="508"/>
    <tableColumn id="61" xr3:uid="{00000000-0010-0000-0100-00003D000000}" name="33kV_OG1_Im" dataDxfId="507"/>
    <tableColumn id="62" xr3:uid="{00000000-0010-0000-0100-00003E000000}" name="132kV_TX1_EX" dataDxfId="506"/>
    <tableColumn id="63" xr3:uid="{00000000-0010-0000-0100-00003F000000}" name="132 kV_Tx1_Im" dataDxfId="505"/>
    <tableColumn id="65" xr3:uid="{00000000-0010-0000-0100-000041000000}" name="132kV_L1_Ex" dataDxfId="504"/>
    <tableColumn id="66" xr3:uid="{00000000-0010-0000-0100-000042000000}" name="132kV_L1_Im" dataDxfId="503"/>
    <tableColumn id="90" xr3:uid="{00000000-0010-0000-0100-00005A000000}" name="33 kV_F3_Ex (kWh)" dataDxfId="502" dataCellStyle="Comma">
      <calculatedColumnFormula>IF((#REF!-#REF!)*225000&lt;=0,"",(#REF!-#REF!)*225000)</calculatedColumnFormula>
    </tableColumn>
    <tableColumn id="91" xr3:uid="{00000000-0010-0000-0100-00005B000000}" name="33 kV_F3_Im (kWh)" dataDxfId="501" dataCellStyle="Comma"/>
    <tableColumn id="37" xr3:uid="{C85B304A-00CE-426D-938B-CE57066F95D8}" name="33 kV_F4_Ex (kWh)" dataDxfId="500" dataCellStyle="Comma"/>
    <tableColumn id="38" xr3:uid="{8C800812-ECAE-4A39-BA92-6E86A3974D60}" name="33 kV_F4_Im (kWh)" dataDxfId="499" dataCellStyle="Comma"/>
    <tableColumn id="35" xr3:uid="{7F896591-7DCB-4993-9FD3-AAD256E75BAC}" name="33 kV_F5_Ex (kWh)" dataDxfId="498" dataCellStyle="Comma"/>
    <tableColumn id="36" xr3:uid="{96EE4109-12A9-402B-9AA2-BA1DF4D7AAA4}" name="33 kV_F5_Im (kWh)" dataDxfId="497" dataCellStyle="Comma"/>
    <tableColumn id="33" xr3:uid="{A7A03E52-8807-447B-9D02-751484AD104F}" name="33 kV_F6_Ex (kWh)" dataDxfId="496" dataCellStyle="Comma"/>
    <tableColumn id="39" xr3:uid="{7A2B0238-6F96-498B-8205-86E5C32AAC31}" name="33 kV_F6_Im (kWh)" dataDxfId="495" dataCellStyle="Comma"/>
    <tableColumn id="115" xr3:uid="{8FCF6A1B-0F2A-4907-8B36-03977D005297}" name="33 kV_F7_Ex (kWh)" dataDxfId="494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3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2" dataCellStyle="Comma"/>
    <tableColumn id="94" xr3:uid="{00000000-0010-0000-0100-00005E000000}" name="33kV_OG1_Ex (MWh)" dataDxfId="491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0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89" dataCellStyle="Comma">
      <calculatedColumnFormula>(RD[[#This Row],[132kV_TX1_EX]]-EE2)</calculatedColumnFormula>
    </tableColumn>
    <tableColumn id="97" xr3:uid="{00000000-0010-0000-0100-000061000000}" name="132kV_TX1_Im(MWh)" dataDxfId="488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87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86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85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84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3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2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1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0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79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78" dataDxfId="477" headerRowBorderDxfId="475" tableBorderDxfId="476" totalsRowBorderDxfId="474" headerRowCellStyle="Normal 26">
  <autoFilter ref="B3:CA35" xr:uid="{F3671E75-105D-4733-9625-B190A1C89592}"/>
  <tableColumns count="78">
    <tableColumn id="1" xr3:uid="{F0938746-5CC3-4ADA-9B0F-8FB1D5902066}" name="Date" dataDxfId="473">
      <calculatedColumnFormula>B3+1</calculatedColumnFormula>
    </tableColumn>
    <tableColumn id="2" xr3:uid="{D9175AA9-0797-4833-AA60-7BE306FED544}" name="IS1Inv1M1" dataDxfId="472">
      <calculatedColumnFormula>IFERROR(VLOOKUP($B4,RD[#All],C$2,0)/C$1,"")</calculatedColumnFormula>
    </tableColumn>
    <tableColumn id="3" xr3:uid="{4798FFEF-E249-497D-AF51-9F3AC0753102}" name="IS1Inv1M2" dataDxfId="471">
      <calculatedColumnFormula>IFERROR(VLOOKUP($B4,RD[#All],D$2,0)/D$1,"")</calculatedColumnFormula>
    </tableColumn>
    <tableColumn id="4" xr3:uid="{A5318069-BF43-4240-8685-9CB9402669BA}" name="IS1Inv1M3" dataDxfId="470">
      <calculatedColumnFormula>IFERROR(VLOOKUP($B4,RD[#All],E$2,0)/E$1,"")</calculatedColumnFormula>
    </tableColumn>
    <tableColumn id="5" xr3:uid="{C9E3B02A-199B-411C-8A93-36B22E13B1BD}" name="IS1Inv1M4" dataDxfId="469">
      <calculatedColumnFormula>IFERROR(VLOOKUP($B4,RD[#All],F$2,0)/F$1,"")</calculatedColumnFormula>
    </tableColumn>
    <tableColumn id="6" xr3:uid="{9CCCF42B-3DCE-4432-A289-5DBFD6D8AEED}" name="IS1Inv2M1" dataDxfId="468">
      <calculatedColumnFormula>IFERROR(VLOOKUP($B4,RD[#All],G$2,0)/G$1,"")</calculatedColumnFormula>
    </tableColumn>
    <tableColumn id="7" xr3:uid="{AB612074-AD7F-4C87-B977-DE15C75D4F40}" name="IS1Inv2M2" dataDxfId="467">
      <calculatedColumnFormula>IFERROR(VLOOKUP($B4,RD[#All],H$2,0)/H$1,"")</calculatedColumnFormula>
    </tableColumn>
    <tableColumn id="8" xr3:uid="{B8F72C8F-4099-45F1-B5B1-4FC92E036C3B}" name="IS1Inv2M3" dataDxfId="466">
      <calculatedColumnFormula>IFERROR(VLOOKUP($B4,RD[#All],I$2,0)/I$1,"")</calculatedColumnFormula>
    </tableColumn>
    <tableColumn id="9" xr3:uid="{A36BE26B-5EE1-4D8A-B5ED-0425FE43708A}" name="IS1Inv2M4" dataDxfId="465">
      <calculatedColumnFormula>IFERROR(VLOOKUP($B4,RD[#All],J$2,0)/J$1,"")</calculatedColumnFormula>
    </tableColumn>
    <tableColumn id="10" xr3:uid="{29C5DF81-FFC7-4507-9E64-3E90B2903AB5}" name="IS2Inv1M1" dataDxfId="464">
      <calculatedColumnFormula>IFERROR(VLOOKUP($B4,RD[#All],K$2,0)/K$1,"")</calculatedColumnFormula>
    </tableColumn>
    <tableColumn id="11" xr3:uid="{A31307A6-E453-4F10-843E-B406FCC35E5B}" name="IS2Inv1M2" dataDxfId="463">
      <calculatedColumnFormula>IFERROR(VLOOKUP($B4,RD[#All],L$2,0)/L$1,"")</calculatedColumnFormula>
    </tableColumn>
    <tableColumn id="12" xr3:uid="{1EFF8765-59F6-4F72-AD62-3AA4BB89A400}" name="IS2Inv1M3" dataDxfId="462">
      <calculatedColumnFormula>IFERROR(VLOOKUP($B4,RD[#All],M$2,0)/M$1,"")</calculatedColumnFormula>
    </tableColumn>
    <tableColumn id="13" xr3:uid="{1D1BE027-5594-4CCD-ABB0-5B589EC3D209}" name="IS2Inv1M4" dataDxfId="461">
      <calculatedColumnFormula>IFERROR(VLOOKUP($B4,RD[#All],N$2,0)/N$1,"")</calculatedColumnFormula>
    </tableColumn>
    <tableColumn id="14" xr3:uid="{8A62AA13-9EF9-4D7C-8A62-3C1C1B23E118}" name="IS2Inv2M1" dataDxfId="460">
      <calculatedColumnFormula>IFERROR(VLOOKUP($B4,RD[#All],O$2,0)/O$1,"")</calculatedColumnFormula>
    </tableColumn>
    <tableColumn id="15" xr3:uid="{D26A34BA-B28E-4F99-8972-0BE1E598943F}" name="IS2Inv2M2" dataDxfId="459">
      <calculatedColumnFormula>IFERROR(VLOOKUP($B4,RD[#All],P$2,0)/P$1,"")</calculatedColumnFormula>
    </tableColumn>
    <tableColumn id="16" xr3:uid="{82909D6D-9FC4-49EE-B2FA-B40F633E7A76}" name="IS2Inv2M3" dataDxfId="458">
      <calculatedColumnFormula>IFERROR(VLOOKUP($B4,RD[#All],Q$2,0)/Q$1,"")</calculatedColumnFormula>
    </tableColumn>
    <tableColumn id="17" xr3:uid="{9663A0D2-7B45-4848-A91C-64EA6B586BEE}" name="IS2Inv2M4" dataDxfId="457">
      <calculatedColumnFormula>IFERROR(VLOOKUP($B4,RD[#All],R$2,0)/R$1,"")</calculatedColumnFormula>
    </tableColumn>
    <tableColumn id="18" xr3:uid="{94C80722-528E-4A43-85F9-4960528E2B0E}" name="IS3Inv1M1" dataDxfId="456">
      <calculatedColumnFormula>IFERROR(VLOOKUP($B4,RD[#All],S$2,0)/S$1,"")</calculatedColumnFormula>
    </tableColumn>
    <tableColumn id="19" xr3:uid="{27D94726-787A-4492-9E5A-7CF9403FCF06}" name="IS3Inv1M2" dataDxfId="455">
      <calculatedColumnFormula>IFERROR(VLOOKUP($B4,RD[#All],T$2,0)/T$1,"")</calculatedColumnFormula>
    </tableColumn>
    <tableColumn id="20" xr3:uid="{C003A260-35CC-4CBB-B547-E5267937BA90}" name="IS3Inv2M1" dataDxfId="454">
      <calculatedColumnFormula>IFERROR(VLOOKUP($B4,RD[#All],U$2,0)/U$1,"")</calculatedColumnFormula>
    </tableColumn>
    <tableColumn id="21" xr3:uid="{D37EBD20-A4CA-4B7C-BCE2-D12E3A919494}" name="IS3Inv2M2" dataDxfId="453">
      <calculatedColumnFormula>IFERROR(VLOOKUP($B4,RD[#All],V$2,0)/V$1,"")</calculatedColumnFormula>
    </tableColumn>
    <tableColumn id="22" xr3:uid="{516FC3B3-355B-462C-838A-0641FF8EFAE7}" name="IS4Inv1M1" dataDxfId="452">
      <calculatedColumnFormula>IFERROR(VLOOKUP($B4,RD[#All],W$2,0)/W$1,"")</calculatedColumnFormula>
    </tableColumn>
    <tableColumn id="23" xr3:uid="{AE9F4EF3-65EE-4843-9DB6-F0E622C6D0AB}" name="IS4Inv1M2" dataDxfId="451">
      <calculatedColumnFormula>IFERROR(VLOOKUP($B4,RD[#All],X$2,0)/X$1,"")</calculatedColumnFormula>
    </tableColumn>
    <tableColumn id="24" xr3:uid="{64F25280-64CB-45EE-A1FF-51F95B963EFA}" name="IS4Inv2M1" dataDxfId="450">
      <calculatedColumnFormula>IFERROR(VLOOKUP($B4,RD[#All],Y$2,0)/Y$1,"")</calculatedColumnFormula>
    </tableColumn>
    <tableColumn id="25" xr3:uid="{6B3BCA9E-20E5-4C7C-87EC-C9094AE73DD5}" name="IS4Inv2M2" dataDxfId="449">
      <calculatedColumnFormula>IFERROR(VLOOKUP($B4,RD[#All],Z$2,0)/Z$1,"")</calculatedColumnFormula>
    </tableColumn>
    <tableColumn id="26" xr3:uid="{2821BCB3-FF53-4883-B1B6-0DF2B5F77366}" name="IS4Inv3M1" dataDxfId="448">
      <calculatedColumnFormula>IFERROR(VLOOKUP($B4,RD[#All],AA$2,0)/AA$1,"")</calculatedColumnFormula>
    </tableColumn>
    <tableColumn id="27" xr3:uid="{ABDCF31D-AEA6-48F4-8F74-AA0DFE550DFF}" name="IS4Inv3M2" dataDxfId="447">
      <calculatedColumnFormula>IFERROR(VLOOKUP($B4,RD[#All],AB$2,0)/AB$1,"")</calculatedColumnFormula>
    </tableColumn>
    <tableColumn id="28" xr3:uid="{6CFE99B6-4724-4E38-8560-3D8FE46B4464}" name="IS4Inv4M1" dataDxfId="446">
      <calculatedColumnFormula>IFERROR(VLOOKUP($B4,RD[#All],AC$2,0)/AC$1,"")</calculatedColumnFormula>
    </tableColumn>
    <tableColumn id="29" xr3:uid="{203011A9-F6F4-42D8-AF4B-47E1B472EC56}" name="IS4Inv4M2" dataDxfId="445">
      <calculatedColumnFormula>IFERROR(VLOOKUP($B4,RD[#All],AD$2,0)/AD$1,"")</calculatedColumnFormula>
    </tableColumn>
    <tableColumn id="30" xr3:uid="{301EF393-65C7-4305-A588-0B49D6AE8EE2}" name="IS5Inv1M1" dataDxfId="444">
      <calculatedColumnFormula>IFERROR(VLOOKUP($B4,RD[#All],AE$2,0)/AE$1,"")</calculatedColumnFormula>
    </tableColumn>
    <tableColumn id="31" xr3:uid="{6B93023E-DFC9-4560-9101-77B02A2E259C}" name="IS5Inv1M2" dataDxfId="443">
      <calculatedColumnFormula>IFERROR(VLOOKUP($B4,RD[#All],AF$2,0)/AF$1,"")</calculatedColumnFormula>
    </tableColumn>
    <tableColumn id="32" xr3:uid="{D00ACC6E-40C6-416C-806C-79B77985ACD8}" name="IS5Inv2M1" dataDxfId="442">
      <calculatedColumnFormula>IFERROR(VLOOKUP($B4,RD[#All],AG$2,0)/AG$1,"")</calculatedColumnFormula>
    </tableColumn>
    <tableColumn id="33" xr3:uid="{632CBDB1-640F-42D1-A1F2-D4733C4B0792}" name="IS5Inv2M2" dataDxfId="441">
      <calculatedColumnFormula>IFERROR(VLOOKUP($B4,RD[#All],AH$2,0)/AH$1,"")</calculatedColumnFormula>
    </tableColumn>
    <tableColumn id="34" xr3:uid="{1B3A920F-A9A0-4DC8-BF7C-8BD8E696A622}" name="IS6Inv1M1" dataDxfId="440">
      <calculatedColumnFormula>IFERROR(VLOOKUP($B4,RD[#All],AI$2,0)/AI$1,"")</calculatedColumnFormula>
    </tableColumn>
    <tableColumn id="35" xr3:uid="{EAF0814E-7A86-43AE-B9FE-0591B4A0EB84}" name="IS6Inv1M2" dataDxfId="439">
      <calculatedColumnFormula>IFERROR(VLOOKUP($B4,RD[#All],AJ$2,0)/AJ$1,"")</calculatedColumnFormula>
    </tableColumn>
    <tableColumn id="36" xr3:uid="{8B992B25-D474-4504-B118-BD7EE8553AC5}" name="IS6Inv2M1" dataDxfId="438">
      <calculatedColumnFormula>IFERROR(VLOOKUP($B4,RD[#All],AK$2,0)/AK$1,"")</calculatedColumnFormula>
    </tableColumn>
    <tableColumn id="37" xr3:uid="{30738F85-96DA-4FD3-9C89-8332DF014146}" name="IS6Inv2M2" dataDxfId="437">
      <calculatedColumnFormula>IFERROR(VLOOKUP($B4,RD[#All],AL$2,0)/AL$1,"")</calculatedColumnFormula>
    </tableColumn>
    <tableColumn id="38" xr3:uid="{FD48198C-5277-43DB-B810-3E5D3F07A63D}" name="IS7Inv1M1" dataDxfId="436">
      <calculatedColumnFormula>IFERROR(VLOOKUP($B4,RD[#All],AM$2,0)/AM$1,"")</calculatedColumnFormula>
    </tableColumn>
    <tableColumn id="39" xr3:uid="{B32E1CA8-0322-4914-B9AA-E6699A9B9031}" name="IS7Inv2M1" dataDxfId="435">
      <calculatedColumnFormula>IFERROR(VLOOKUP($B4,RD[#All],AN$2,0)/AN$1,"")</calculatedColumnFormula>
    </tableColumn>
    <tableColumn id="40" xr3:uid="{1F492E61-0D53-4623-98C1-F44757C08B81}" name="IS8Inv1M1" dataDxfId="434">
      <calculatedColumnFormula>IFERROR(VLOOKUP($B4,RD[#All],AO$2,0)/AO$1,"")</calculatedColumnFormula>
    </tableColumn>
    <tableColumn id="41" xr3:uid="{27718040-6048-4612-91EC-246F8AFED2B6}" name="IS8Inv1M2" dataDxfId="433">
      <calculatedColumnFormula>IFERROR(VLOOKUP($B4,RD[#All],AP$2,0)/AP$1,"")</calculatedColumnFormula>
    </tableColumn>
    <tableColumn id="42" xr3:uid="{81C12B84-508B-41C9-8526-142BAF0631BC}" name="IS8Inv1M3" dataDxfId="432">
      <calculatedColumnFormula>IFERROR(VLOOKUP($B4,RD[#All],AQ$2,0)/AQ$1,"")</calculatedColumnFormula>
    </tableColumn>
    <tableColumn id="43" xr3:uid="{530F1D3F-8E08-4B7B-9AD5-7C40D918B534}" name="IS8Inv1M4" dataDxfId="431">
      <calculatedColumnFormula>IFERROR(VLOOKUP($B4,RD[#All],AR$2,0)/AR$1,"")</calculatedColumnFormula>
    </tableColumn>
    <tableColumn id="44" xr3:uid="{B65156E3-FF52-4C46-A0D5-C5B848A6E468}" name="IS9Inv1M1" dataDxfId="430">
      <calculatedColumnFormula>IFERROR(VLOOKUP($B4,RD[#All],AS$2,0)/AS$1,"")</calculatedColumnFormula>
    </tableColumn>
    <tableColumn id="45" xr3:uid="{88C0951A-5BF4-4C1B-A8A7-CC626FB86F1F}" name="IS9Inv1M2" dataDxfId="429">
      <calculatedColumnFormula>IFERROR(VLOOKUP($B4,RD[#All],AT$2,0)/AT$1,"")</calculatedColumnFormula>
    </tableColumn>
    <tableColumn id="46" xr3:uid="{782BD676-A24F-4442-B79F-0AFEA82879BC}" name="IS9Inv2M1" dataDxfId="428">
      <calculatedColumnFormula>IFERROR(VLOOKUP($B4,RD[#All],AU$2,0)/AU$1,"")</calculatedColumnFormula>
    </tableColumn>
    <tableColumn id="47" xr3:uid="{1795B565-CD8F-4AA6-BCB0-FA10767E234B}" name="IS9Inv2M2" dataDxfId="427">
      <calculatedColumnFormula>IFERROR(VLOOKUP($B4,RD[#All],AV$2,0)/AV$1,"")</calculatedColumnFormula>
    </tableColumn>
    <tableColumn id="58" xr3:uid="{AE4E4B85-2D6F-4076-B333-92B80E3CE5A3}" name="IS10Inv1M1" dataDxfId="426">
      <calculatedColumnFormula>IFERROR(VLOOKUP($B4,RD[#All],AW$2,0)/AW$1,"")</calculatedColumnFormula>
    </tableColumn>
    <tableColumn id="59" xr3:uid="{0170AB5B-E031-4009-B302-50030B242BA7}" name="IS10Inv1M2" dataDxfId="425">
      <calculatedColumnFormula>IFERROR(VLOOKUP($B4,RD[#All],AX$2,0)/AX$1,"")</calculatedColumnFormula>
    </tableColumn>
    <tableColumn id="60" xr3:uid="{36D33D48-1E2E-47EE-9A99-D54F9C3B88F3}" name="IS10Inv2M1" dataDxfId="424">
      <calculatedColumnFormula>IFERROR(VLOOKUP($B4,RD[#All],AY$2,0)/AY$1,"")</calculatedColumnFormula>
    </tableColumn>
    <tableColumn id="61" xr3:uid="{EBA55433-4465-47CF-9B85-F1558BE679E8}" name="IS10Inv2M2" dataDxfId="423">
      <calculatedColumnFormula>IFERROR(VLOOKUP($B4,RD[#All],AZ$2,0)/AZ$1,"")</calculatedColumnFormula>
    </tableColumn>
    <tableColumn id="62" xr3:uid="{FD2A2CF7-0005-4CAB-A6F8-2AC7901CD479}" name="IS10Inv3M1" dataDxfId="422">
      <calculatedColumnFormula>IFERROR(VLOOKUP($B4,RD[#All],BA$2,0)/BA$1,"")</calculatedColumnFormula>
    </tableColumn>
    <tableColumn id="63" xr3:uid="{5C2F75F8-9DAA-40CF-9C3A-97DF14B1C587}" name="IS10Inv3M2" dataDxfId="421">
      <calculatedColumnFormula>IFERROR(VLOOKUP($B4,RD[#All],BB$2,0)/BB$1,"")</calculatedColumnFormula>
    </tableColumn>
    <tableColumn id="64" xr3:uid="{14A130F3-3897-4211-8734-9B2E039E3E27}" name="IS10Inv4M1" dataDxfId="420">
      <calculatedColumnFormula>IFERROR(VLOOKUP($B4,RD[#All],BC$2,0)/BC$1,"")</calculatedColumnFormula>
    </tableColumn>
    <tableColumn id="65" xr3:uid="{62CA1C75-25D6-4D68-BFB8-16A89E90146E}" name="IS10Inv4M2" dataDxfId="419">
      <calculatedColumnFormula>IFERROR(VLOOKUP($B4,RD[#All],BD$2,0)/BD$1,"")</calculatedColumnFormula>
    </tableColumn>
    <tableColumn id="66" xr3:uid="{1D69A5A4-9263-434F-97DC-9BC86134B51C}" name="IS11Inv1M1" dataDxfId="418">
      <calculatedColumnFormula>IFERROR(VLOOKUP($B4,RD[#All],BE$2,0)/BE$1,"")</calculatedColumnFormula>
    </tableColumn>
    <tableColumn id="67" xr3:uid="{17F4AE38-E931-47DB-9BF7-127941476CE8}" name="IS11Inv1M2" dataDxfId="417">
      <calculatedColumnFormula>IFERROR(VLOOKUP($B4,RD[#All],BF$2,0)/BF$1,"")</calculatedColumnFormula>
    </tableColumn>
    <tableColumn id="54" xr3:uid="{F7940FA0-6802-4303-A6BD-C53A9C78ECDD}" name="IS11Inv1M3" dataDxfId="416">
      <calculatedColumnFormula>IFERROR(VLOOKUP($B4,RD[#All],BG$2,0)/BG$1,"")</calculatedColumnFormula>
    </tableColumn>
    <tableColumn id="55" xr3:uid="{BDF39087-242F-4787-B0BD-544068B3C914}" name="IS11Inv1M4" dataDxfId="415">
      <calculatedColumnFormula>IFERROR(VLOOKUP($B4,RD[#All],BH$2,0)/BH$1,"")</calculatedColumnFormula>
    </tableColumn>
    <tableColumn id="56" xr3:uid="{76621558-C2F1-46C7-A58A-107BE0DA8883}" name="IS12Inv1M1" dataDxfId="414">
      <calculatedColumnFormula>IFERROR(VLOOKUP($B4,RD[#All],BI$2,0)/BI$1,"")</calculatedColumnFormula>
    </tableColumn>
    <tableColumn id="57" xr3:uid="{ABE71B18-5643-4890-973F-1F5B2BD9A0FD}" name="IS12Inv1M2" dataDxfId="413">
      <calculatedColumnFormula>IFERROR(VLOOKUP($B4,RD[#All],BJ$2,0)/BJ$1,"")</calculatedColumnFormula>
    </tableColumn>
    <tableColumn id="51" xr3:uid="{65B220C2-CB24-44D8-884C-AACA6305FDC1}" name="IS12Inv1M3" dataDxfId="412">
      <calculatedColumnFormula>IFERROR(VLOOKUP($B4,RD[#All],BK$2,0)/BK$1,"")</calculatedColumnFormula>
    </tableColumn>
    <tableColumn id="52" xr3:uid="{7D7BB364-0811-464D-AEA4-74D214C09725}" name="IS12Inv1M4" dataDxfId="411">
      <calculatedColumnFormula>IFERROR(VLOOKUP($B4,RD[#All],BL$2,0)/BL$1,"")</calculatedColumnFormula>
    </tableColumn>
    <tableColumn id="68" xr3:uid="{19C9B0EA-4951-4284-98E2-197FD0F860D9}" name="IS13Inv1M1" dataDxfId="410">
      <calculatedColumnFormula>IFERROR(VLOOKUP($B4,RD[#All],BM$2,0)/BM$1,"")</calculatedColumnFormula>
    </tableColumn>
    <tableColumn id="69" xr3:uid="{4E354BD1-2EDB-490B-AC95-CA86A04774B0}" name="IS13Inv1M2" dataDxfId="409">
      <calculatedColumnFormula>IFERROR(VLOOKUP($B4,RD[#All],BN$2,0)/BN$1,"")</calculatedColumnFormula>
    </tableColumn>
    <tableColumn id="70" xr3:uid="{A490DF48-A294-4382-8807-31A2FE762941}" name="IS13Inv2M1" dataDxfId="408">
      <calculatedColumnFormula>IFERROR(VLOOKUP($B4,RD[#All],BO$2,0)/BO$1,"")</calculatedColumnFormula>
    </tableColumn>
    <tableColumn id="71" xr3:uid="{05A78684-A88E-4B78-AB03-02E0DF0B4824}" name="IS13Inv2M2" dataDxfId="407">
      <calculatedColumnFormula>IFERROR(VLOOKUP($B4,RD[#All],BP$2,0)/BP$1,"")</calculatedColumnFormula>
    </tableColumn>
    <tableColumn id="53" xr3:uid="{312052EF-8F36-42F6-A706-C07F135FE938}" name="IS14Inv1M1" dataDxfId="406">
      <calculatedColumnFormula>IFERROR(VLOOKUP($B4,RD[#All],BQ$2,0)/BQ$1,"")</calculatedColumnFormula>
    </tableColumn>
    <tableColumn id="50" xr3:uid="{73CBC365-EFEB-4CD1-8376-493E1EE94438}" name="IS14Inv1M2" dataDxfId="405">
      <calculatedColumnFormula>IFERROR(VLOOKUP($B4,RD[#All],BR$2,0)/BR$1,"")</calculatedColumnFormula>
    </tableColumn>
    <tableColumn id="49" xr3:uid="{EE120387-D7DE-4BD6-AFA4-8FB1798FC0F4}" name="IS14Inv1M3" dataDxfId="404">
      <calculatedColumnFormula>IFERROR(VLOOKUP($B4,RD[#All],BS$2,0)/BS$1,"")</calculatedColumnFormula>
    </tableColumn>
    <tableColumn id="48" xr3:uid="{4D7DCA65-9134-4F4E-8D78-CDF059CFDE21}" name="IS14Inv1M4" dataDxfId="403">
      <calculatedColumnFormula>IFERROR(VLOOKUP($B4,RD[#All],BT$2,0)/BT$1,"")</calculatedColumnFormula>
    </tableColumn>
    <tableColumn id="75" xr3:uid="{BD604789-92FF-4BD3-B34C-34F5A77275DA}" name="IS14Inv2M1" dataDxfId="402">
      <calculatedColumnFormula>IFERROR(VLOOKUP($B4,RD[#All],BU$2,0)/BU$1,"")</calculatedColumnFormula>
    </tableColumn>
    <tableColumn id="74" xr3:uid="{F0482577-9776-4B48-BE34-B3974FDEC9DF}" name="IS14Inv2M2" dataDxfId="401">
      <calculatedColumnFormula>IFERROR(VLOOKUP($B4,RD[#All],BV$2,0)/BV$1,"")</calculatedColumnFormula>
    </tableColumn>
    <tableColumn id="73" xr3:uid="{112A92D8-254F-4097-9243-CA3653FCDCE8}" name="IS14Inv2M3" dataDxfId="400">
      <calculatedColumnFormula>IFERROR(VLOOKUP($B4,RD[#All],BW$2,0)/BW$1,"")</calculatedColumnFormula>
    </tableColumn>
    <tableColumn id="72" xr3:uid="{1DE71B35-AC18-4D75-9DE8-C248461577BE}" name="IS14Inv2M4" dataDxfId="399">
      <calculatedColumnFormula>IFERROR(VLOOKUP($B4,RD[#All],BX$2,0)/BX$1,"")</calculatedColumnFormula>
    </tableColumn>
    <tableColumn id="378" xr3:uid="{101B5DC8-8574-450A-99B2-6929DFA0B945}" name="Avg_SY Ph1" dataDxfId="398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397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396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394" dataDxfId="393" headerRowBorderDxfId="391" tableBorderDxfId="392" totalsRowBorderDxfId="390" headerRowCellStyle="Normal 26">
  <autoFilter ref="B3:BX56" xr:uid="{19C9D473-560B-484A-BE3A-067DAA289E8E}"/>
  <tableColumns count="75">
    <tableColumn id="1" xr3:uid="{1AD703A3-3A76-47DC-8F57-4350CA87DFFC}" name="Date" dataDxfId="389">
      <calculatedColumnFormula>B3+1</calculatedColumnFormula>
    </tableColumn>
    <tableColumn id="2" xr3:uid="{D098E9AA-3299-4595-AA48-ADD6117AFDFC}" name="IS1Inv1M1" dataDxfId="388">
      <calculatedColumnFormula>IFERROR(Inv_SY_B!C4/Inv_SY_B!$BY4-1,"")</calculatedColumnFormula>
    </tableColumn>
    <tableColumn id="3" xr3:uid="{D73DAFDD-EE72-4F0F-A787-02D06458A314}" name="IS1Inv1M2" dataDxfId="387">
      <calculatedColumnFormula>IFERROR(Inv_SY_B!D4/Inv_SY_B!$BY4-1,"")</calculatedColumnFormula>
    </tableColumn>
    <tableColumn id="4" xr3:uid="{63CBEC85-7C07-44EA-AB4E-766BE8C2BD9B}" name="IS1Inv1M3" dataDxfId="386">
      <calculatedColumnFormula>IFERROR(Inv_SY_B!E4/Inv_SY_B!$BY4-1,"")</calculatedColumnFormula>
    </tableColumn>
    <tableColumn id="5" xr3:uid="{7CAB2E19-8A18-4191-9B0A-876F389B165A}" name="IS1Inv1M4" dataDxfId="385">
      <calculatedColumnFormula>IFERROR(Inv_SY_B!F4/Inv_SY_B!$BY4-1,"")</calculatedColumnFormula>
    </tableColumn>
    <tableColumn id="6" xr3:uid="{2F23F59F-2089-486C-BAC8-8CDF73F8FDEE}" name="IS1Inv2M1" dataDxfId="384">
      <calculatedColumnFormula>IFERROR(Inv_SY_B!G4/Inv_SY_B!$BY4-1,"")</calculatedColumnFormula>
    </tableColumn>
    <tableColumn id="7" xr3:uid="{99170839-35CF-4B4B-8FF4-B80C50995BD8}" name="IS1Inv2M2" dataDxfId="383">
      <calculatedColumnFormula>IFERROR(Inv_SY_B!H4/Inv_SY_B!$BY4-1,"")</calculatedColumnFormula>
    </tableColumn>
    <tableColumn id="8" xr3:uid="{A532CC37-1AD7-4531-8A56-CC0A96A25FEC}" name="IS1Inv2M3" dataDxfId="382">
      <calculatedColumnFormula>IFERROR(Inv_SY_B!I4/Inv_SY_B!$BY4-1,"")</calculatedColumnFormula>
    </tableColumn>
    <tableColumn id="9" xr3:uid="{9E667E50-8C23-4DC6-BD96-22B64454CE99}" name="IS1Inv2M4" dataDxfId="381">
      <calculatedColumnFormula>IFERROR(Inv_SY_B!J4/Inv_SY_B!$BY4-1,"")</calculatedColumnFormula>
    </tableColumn>
    <tableColumn id="10" xr3:uid="{0F277A13-56A0-40B4-9782-7B2E618B479D}" name="IS2Inv1M1" dataDxfId="380">
      <calculatedColumnFormula>IFERROR(Inv_SY_B!K4/Inv_SY_B!$BY4-1,"")</calculatedColumnFormula>
    </tableColumn>
    <tableColumn id="11" xr3:uid="{E31532B5-AB8A-4D4D-A28C-846B408D80B0}" name="IS2Inv1M2" dataDxfId="379">
      <calculatedColumnFormula>IFERROR(Inv_SY_B!L4/Inv_SY_B!$BY4-1,"")</calculatedColumnFormula>
    </tableColumn>
    <tableColumn id="12" xr3:uid="{5659CB92-D76A-4348-B344-307FBA828E52}" name="IS2Inv1M3" dataDxfId="378">
      <calculatedColumnFormula>IFERROR(Inv_SY_B!M4/Inv_SY_B!$BY4-1,"")</calculatedColumnFormula>
    </tableColumn>
    <tableColumn id="13" xr3:uid="{3F53DE41-0104-415E-8B82-B2258BF6BE18}" name="IS2Inv1M4" dataDxfId="377">
      <calculatedColumnFormula>IFERROR(Inv_SY_B!N4/Inv_SY_B!$BY4-1,"")</calculatedColumnFormula>
    </tableColumn>
    <tableColumn id="14" xr3:uid="{0AA32A30-BF40-4F65-AEE6-9288D31914EC}" name="IS2Inv2M1" dataDxfId="376">
      <calculatedColumnFormula>IFERROR(Inv_SY_B!O4/Inv_SY_B!$BY4-1,"")</calculatedColumnFormula>
    </tableColumn>
    <tableColumn id="15" xr3:uid="{141CF6DA-7466-4835-B91A-959D97F56B81}" name="IS2Inv2M2" dataDxfId="375">
      <calculatedColumnFormula>IFERROR(Inv_SY_B!P4/Inv_SY_B!$BY4-1,"")</calculatedColumnFormula>
    </tableColumn>
    <tableColumn id="16" xr3:uid="{9C2E5DB7-3C15-4220-B3FD-289ED21BF0D3}" name="IS2Inv2M3" dataDxfId="374">
      <calculatedColumnFormula>IFERROR(Inv_SY_B!Q4/Inv_SY_B!$BY4-1,"")</calculatedColumnFormula>
    </tableColumn>
    <tableColumn id="17" xr3:uid="{3C03BB2B-3A0C-4AAD-8060-A6121EAC2332}" name="IS2Inv2M4" dataDxfId="373">
      <calculatedColumnFormula>IFERROR(Inv_SY_B!R4/Inv_SY_B!$BY4-1,"")</calculatedColumnFormula>
    </tableColumn>
    <tableColumn id="18" xr3:uid="{81E5E2D9-C52F-408D-AA73-FD2F0EE64BB4}" name="IS3Inv1M1" dataDxfId="372">
      <calculatedColumnFormula>IFERROR(Inv_SY_B!S4/Inv_SY_B!$BY4-1,"")</calculatedColumnFormula>
    </tableColumn>
    <tableColumn id="19" xr3:uid="{360246A5-CBE9-446A-BB1E-B8BF6617CF5C}" name="IS3Inv1M2" dataDxfId="371">
      <calculatedColumnFormula>IFERROR(Inv_SY_B!T4/Inv_SY_B!$BY4-1,"")</calculatedColumnFormula>
    </tableColumn>
    <tableColumn id="20" xr3:uid="{DFFC86AF-4185-43C2-9586-7D4667513E1E}" name="IS3Inv2M1" dataDxfId="370">
      <calculatedColumnFormula>IFERROR(Inv_SY_B!U4/Inv_SY_B!$BY4-1,"")</calculatedColumnFormula>
    </tableColumn>
    <tableColumn id="21" xr3:uid="{B060D758-6F84-4259-868A-884040A217A0}" name="IS3Inv2M2" dataDxfId="369">
      <calculatedColumnFormula>IFERROR(Inv_SY_B!V4/Inv_SY_B!$BY4-1,"")</calculatedColumnFormula>
    </tableColumn>
    <tableColumn id="22" xr3:uid="{C563554E-BE56-47C7-99FB-5547E39F7377}" name="IS4Inv1M1" dataDxfId="368">
      <calculatedColumnFormula>IFERROR(Inv_SY_B!W4/Inv_SY_B!$BY4-1,"")</calculatedColumnFormula>
    </tableColumn>
    <tableColumn id="23" xr3:uid="{E8E12C1E-E338-415C-916A-BF6CBEB0C4BE}" name="IS4Inv1M2" dataDxfId="367">
      <calculatedColumnFormula>IFERROR(Inv_SY_B!X4/Inv_SY_B!$BY4-1,"")</calculatedColumnFormula>
    </tableColumn>
    <tableColumn id="24" xr3:uid="{22A1DA23-91E5-41CF-87D4-95971F0D25AB}" name="IS4Inv2M1" dataDxfId="366">
      <calculatedColumnFormula>IFERROR(Inv_SY_B!Y4/Inv_SY_B!$BY4-1,"")</calculatedColumnFormula>
    </tableColumn>
    <tableColumn id="25" xr3:uid="{DF2CCE70-197F-45AB-B413-63575495B885}" name="IS4Inv2M2" dataDxfId="365">
      <calculatedColumnFormula>IFERROR(Inv_SY_B!Z4/Inv_SY_B!$BY4-1,"")</calculatedColumnFormula>
    </tableColumn>
    <tableColumn id="26" xr3:uid="{387B813D-0631-419E-9E84-694FB774AD76}" name="IS4Inv3M1" dataDxfId="364">
      <calculatedColumnFormula>IFERROR(Inv_SY_B!AA4/Inv_SY_B!$BY4-1,"")</calculatedColumnFormula>
    </tableColumn>
    <tableColumn id="27" xr3:uid="{743C9DA3-BA82-4F64-A943-26E4608DDAE3}" name="IS4Inv3M2" dataDxfId="363">
      <calculatedColumnFormula>IFERROR(Inv_SY_B!AB4/Inv_SY_B!$BY4-1,"")</calculatedColumnFormula>
    </tableColumn>
    <tableColumn id="28" xr3:uid="{6C1BE3B3-3A38-4E95-BFD8-B8109B7748A5}" name="IS4Inv4M1" dataDxfId="362">
      <calculatedColumnFormula>IFERROR(Inv_SY_B!AC4/Inv_SY_B!$BY4-1,"")</calculatedColumnFormula>
    </tableColumn>
    <tableColumn id="29" xr3:uid="{816FAE09-7613-4948-9A0B-EA559B564447}" name="IS4Inv4M2" dataDxfId="361">
      <calculatedColumnFormula>IFERROR(Inv_SY_B!AD4/Inv_SY_B!$BY4-1,"")</calculatedColumnFormula>
    </tableColumn>
    <tableColumn id="30" xr3:uid="{ABC955C1-2073-408F-A938-7D68DAF7D663}" name="IS5Inv1M1" dataDxfId="360">
      <calculatedColumnFormula>IFERROR(Inv_SY_B!AE4/Inv_SY_B!$BZ4-1,"")</calculatedColumnFormula>
    </tableColumn>
    <tableColumn id="31" xr3:uid="{02928FBC-4104-4858-8D13-FC0A0DE563BD}" name="IS5Inv1M2" dataDxfId="359">
      <calculatedColumnFormula>IFERROR(Inv_SY_B!AF4/Inv_SY_B!$BZ4-1,"")</calculatedColumnFormula>
    </tableColumn>
    <tableColumn id="32" xr3:uid="{B2AC8C7E-1E32-47B9-97E1-9AFE7AFE4461}" name="IS5Inv2M1" dataDxfId="358">
      <calculatedColumnFormula>IFERROR(Inv_SY_B!AG4/Inv_SY_B!$BZ4-1,"")</calculatedColumnFormula>
    </tableColumn>
    <tableColumn id="33" xr3:uid="{D3F6CB59-52A7-4224-AED2-B1692C3C981A}" name="IS5Inv2M2" dataDxfId="357">
      <calculatedColumnFormula>IFERROR(Inv_SY_B!AH4/Inv_SY_B!$BZ4-1,"")</calculatedColumnFormula>
    </tableColumn>
    <tableColumn id="34" xr3:uid="{972C7D21-8B89-4335-BF76-FC09D3831BDE}" name="IS6Inv1M1" dataDxfId="356">
      <calculatedColumnFormula>IFERROR(Inv_SY_B!AI4/Inv_SY_B!$BZ4-1,"")</calculatedColumnFormula>
    </tableColumn>
    <tableColumn id="35" xr3:uid="{8B475FE1-6680-4347-AF34-14E2AEA9CF2B}" name="IS6Inv1M2" dataDxfId="355">
      <calculatedColumnFormula>IFERROR(Inv_SY_B!AJ4/Inv_SY_B!$BZ4-1,"")</calculatedColumnFormula>
    </tableColumn>
    <tableColumn id="36" xr3:uid="{2C09058A-33B3-4A2E-BD29-CAEC441D2D90}" name="IS6Inv2M1" dataDxfId="354">
      <calculatedColumnFormula>IFERROR(Inv_SY_B!AK4/Inv_SY_B!$BZ4-1,"")</calculatedColumnFormula>
    </tableColumn>
    <tableColumn id="37" xr3:uid="{C90703E6-C1BE-4C12-93E3-3BFB03635532}" name="IS6Inv2M2" dataDxfId="353">
      <calculatedColumnFormula>IFERROR(Inv_SY_B!AL4/Inv_SY_B!$BZ4-1,"")</calculatedColumnFormula>
    </tableColumn>
    <tableColumn id="38" xr3:uid="{E914ACAF-BDD4-466A-984B-E951F8E84113}" name="IS7Inv1M1" dataDxfId="352">
      <calculatedColumnFormula>IFERROR(Inv_SY_B!AM4/Inv_SY_B!$BZ4-1,"")</calculatedColumnFormula>
    </tableColumn>
    <tableColumn id="39" xr3:uid="{267C3EE7-E2C3-485C-A1E3-CFBF125E3343}" name="IS7Inv2M1" dataDxfId="351">
      <calculatedColumnFormula>IFERROR(Inv_SY_B!AN4/Inv_SY_B!$BZ4-1,"")</calculatedColumnFormula>
    </tableColumn>
    <tableColumn id="40" xr3:uid="{5807A74F-B3BE-4B8E-9214-2B285A560AD5}" name="IS8Inv1M1" dataDxfId="350">
      <calculatedColumnFormula>IFERROR(Inv_SY_B!AO4/Inv_SY_B!$BZ4-1,"")</calculatedColumnFormula>
    </tableColumn>
    <tableColumn id="41" xr3:uid="{9832A705-7671-4951-AAEF-959E659D0CD9}" name="IS8Inv1M2" dataDxfId="349">
      <calculatedColumnFormula>IFERROR(Inv_SY_B!AP4/Inv_SY_B!$BZ4-1,"")</calculatedColumnFormula>
    </tableColumn>
    <tableColumn id="42" xr3:uid="{07A2610B-14F7-473B-AE48-CC48BBBE99FA}" name="IS8Inv1M3" dataDxfId="348">
      <calculatedColumnFormula>IFERROR(Inv_SY_B!AQ4/Inv_SY_B!$BZ4-1,"")</calculatedColumnFormula>
    </tableColumn>
    <tableColumn id="43" xr3:uid="{73208168-26BE-4F60-BEAB-6C93CB87E955}" name="IS8Inv1M4" dataDxfId="347">
      <calculatedColumnFormula>IFERROR(Inv_SY_B!AR4/Inv_SY_B!$BZ4-1,"")</calculatedColumnFormula>
    </tableColumn>
    <tableColumn id="44" xr3:uid="{16007618-F3C3-484C-8F1C-16CA74AC67B4}" name="IS9Inv1M1" dataDxfId="346">
      <calculatedColumnFormula>IFERROR(Inv_SY_B!AS4/Inv_SY_B!$BZ4-1,"")</calculatedColumnFormula>
    </tableColumn>
    <tableColumn id="45" xr3:uid="{F2775A83-4B25-48F8-B002-95771AABDD3E}" name="IS9Inv1M2" dataDxfId="345">
      <calculatedColumnFormula>IFERROR(Inv_SY_B!AT4/Inv_SY_B!$BZ4-1,"")</calculatedColumnFormula>
    </tableColumn>
    <tableColumn id="46" xr3:uid="{D2BC807C-0EAD-4E61-BAAC-95BC5A829D37}" name="IS9Inv2M1" dataDxfId="344">
      <calculatedColumnFormula>IFERROR(Inv_SY_B!AU4/Inv_SY_B!$BZ4-1,"")</calculatedColumnFormula>
    </tableColumn>
    <tableColumn id="47" xr3:uid="{E67EBEB9-1CA4-448A-9D19-FCB866B49DA6}" name="IS9Inv2M2" dataDxfId="343">
      <calculatedColumnFormula>IFERROR(Inv_SY_B!AV4/Inv_SY_B!$BZ4-1,"")</calculatedColumnFormula>
    </tableColumn>
    <tableColumn id="48" xr3:uid="{D0C28037-AFCF-469C-B4E3-F1B80C851082}" name="IS10Inv1M1" dataDxfId="342">
      <calculatedColumnFormula>IFERROR(Inv_SY_B!AW4/Inv_SY_B!$CA4-1,"")</calculatedColumnFormula>
    </tableColumn>
    <tableColumn id="49" xr3:uid="{16C1917D-BB7B-4D55-8D3C-9CE79AA3E38F}" name="IS10Inv1M2" dataDxfId="341">
      <calculatedColumnFormula>IFERROR(Inv_SY_B!AX4/Inv_SY_B!$CA4-1,"")</calculatedColumnFormula>
    </tableColumn>
    <tableColumn id="50" xr3:uid="{38376737-786D-4553-AA57-DA2B1B88468D}" name="IS10Inv2M1" dataDxfId="340">
      <calculatedColumnFormula>IFERROR(Inv_SY_B!AY4/Inv_SY_B!$CA4-1,"")</calculatedColumnFormula>
    </tableColumn>
    <tableColumn id="51" xr3:uid="{71BC8A31-D6A7-4B5F-B899-35BAC4604E86}" name="IS10Inv2M2" dataDxfId="339">
      <calculatedColumnFormula>IFERROR(Inv_SY_B!AZ4/Inv_SY_B!$CA4-1,"")</calculatedColumnFormula>
    </tableColumn>
    <tableColumn id="52" xr3:uid="{F0E87509-165F-4A5C-A214-0EA7A3EAB517}" name="IS10Inv3M1" dataDxfId="338">
      <calculatedColumnFormula>IFERROR(Inv_SY_B!BA4/Inv_SY_B!$CA4-1,"")</calculatedColumnFormula>
    </tableColumn>
    <tableColumn id="53" xr3:uid="{2160F0FC-FFB1-49C6-A8F3-55716E918C9F}" name="IS10Inv3M2" dataDxfId="337">
      <calculatedColumnFormula>IFERROR(Inv_SY_B!BB4/Inv_SY_B!$CA4-1,"")</calculatedColumnFormula>
    </tableColumn>
    <tableColumn id="54" xr3:uid="{53ED9EC0-1B77-46E1-8951-2AEB63154E9A}" name="IS10Inv4M1" dataDxfId="336">
      <calculatedColumnFormula>IFERROR(Inv_SY_B!BC4/Inv_SY_B!$CA4-1,"")</calculatedColumnFormula>
    </tableColumn>
    <tableColumn id="55" xr3:uid="{E5BAA708-DC2B-4ADA-A37C-4B0C1C7831D1}" name="IS10Inv4M2" dataDxfId="335">
      <calculatedColumnFormula>IFERROR(Inv_SY_B!BD4/Inv_SY_B!$CA4-1,"")</calculatedColumnFormula>
    </tableColumn>
    <tableColumn id="56" xr3:uid="{28A63718-9F6A-4005-AAFF-53E7F59B7523}" name="IS11Inv1M1" dataDxfId="334">
      <calculatedColumnFormula>IFERROR(Inv_SY_B!BE4/Inv_SY_B!$CA4-1,"")</calculatedColumnFormula>
    </tableColumn>
    <tableColumn id="57" xr3:uid="{9CCCDE24-6C3E-49F3-9F1F-D28A8B3E1677}" name="IS11Inv1M2" dataDxfId="333">
      <calculatedColumnFormula>IFERROR(Inv_SY_B!BF4/Inv_SY_B!$CA4-1,"")</calculatedColumnFormula>
    </tableColumn>
    <tableColumn id="58" xr3:uid="{7E97E1FB-5AE8-4293-8467-09983AC2693D}" name="IS11Inv1M3" dataDxfId="332">
      <calculatedColumnFormula>IFERROR(Inv_SY_B!BG4/Inv_SY_B!$CA4-1,"")</calculatedColumnFormula>
    </tableColumn>
    <tableColumn id="59" xr3:uid="{94CA90CB-7806-4363-8F61-01AA6F25D3D5}" name="IS11Inv1M4" dataDxfId="331">
      <calculatedColumnFormula>IFERROR(Inv_SY_B!BH4/Inv_SY_B!$CA4-1,"")</calculatedColumnFormula>
    </tableColumn>
    <tableColumn id="60" xr3:uid="{C92AC8BB-1226-4067-A5CD-0EF091464275}" name="IS12Inv1M1" dataDxfId="330">
      <calculatedColumnFormula>IFERROR(Inv_SY_B!BI4/Inv_SY_B!$CA4-1,"")</calculatedColumnFormula>
    </tableColumn>
    <tableColumn id="61" xr3:uid="{7A532400-1A6F-4FEE-9985-65E593213808}" name="IS12Inv1M2" dataDxfId="329">
      <calculatedColumnFormula>IFERROR(Inv_SY_B!BJ4/Inv_SY_B!$CA4-1,"")</calculatedColumnFormula>
    </tableColumn>
    <tableColumn id="62" xr3:uid="{1EB1CA87-D9E0-43D4-A648-14E4F2A291DD}" name="IS12Inv1M3" dataDxfId="328">
      <calculatedColumnFormula>IFERROR(Inv_SY_B!BK4/Inv_SY_B!$CA4-1,"")</calculatedColumnFormula>
    </tableColumn>
    <tableColumn id="63" xr3:uid="{0B97BF25-FFEC-4552-A32A-851CA22D5BCD}" name="IS12Inv1M4" dataDxfId="327">
      <calculatedColumnFormula>IFERROR(Inv_SY_B!BL4/Inv_SY_B!$CA4-1,"")</calculatedColumnFormula>
    </tableColumn>
    <tableColumn id="64" xr3:uid="{FA3627CF-9E50-4F02-9A71-0785D9C1EFCE}" name="IS13Inv1M1" dataDxfId="326">
      <calculatedColumnFormula>IFERROR(Inv_SY_B!BM4/Inv_SY_B!$CA4-1,"")</calculatedColumnFormula>
    </tableColumn>
    <tableColumn id="65" xr3:uid="{7F433C69-403A-42CF-BB8E-070EEA392991}" name="IS13Inv1M2" dataDxfId="325">
      <calculatedColumnFormula>IFERROR(Inv_SY_B!BN4/Inv_SY_B!$CA4-1,"")</calculatedColumnFormula>
    </tableColumn>
    <tableColumn id="66" xr3:uid="{903D184B-5757-461D-A6B2-A13EC4711488}" name="IS13Inv2M1" dataDxfId="324">
      <calculatedColumnFormula>IFERROR(Inv_SY_B!BO4/Inv_SY_B!$CA4-1,"")</calculatedColumnFormula>
    </tableColumn>
    <tableColumn id="67" xr3:uid="{ED822A70-557D-400C-8322-604D42B75E5B}" name="IS13Inv2M2" dataDxfId="323">
      <calculatedColumnFormula>IFERROR(Inv_SY_B!BP4/Inv_SY_B!$CA4-1,"")</calculatedColumnFormula>
    </tableColumn>
    <tableColumn id="68" xr3:uid="{C00676EF-3832-432F-A3A3-55DB4CD7995C}" name="IS14Inv1M1" dataDxfId="322">
      <calculatedColumnFormula>IFERROR(Inv_SY_B!BQ4/Inv_SY_B!$CA4-1,"")</calculatedColumnFormula>
    </tableColumn>
    <tableColumn id="69" xr3:uid="{9AD3339E-2E1A-4A8D-A2DF-D53EC96EBBA5}" name="IS14Inv1M2" dataDxfId="321">
      <calculatedColumnFormula>IFERROR(Inv_SY_B!BR4/Inv_SY_B!$CA4-1,"")</calculatedColumnFormula>
    </tableColumn>
    <tableColumn id="70" xr3:uid="{E728C577-0C10-4254-9F56-07504F9237B8}" name="IS14Inv1M3" dataDxfId="320">
      <calculatedColumnFormula>IFERROR(Inv_SY_B!BS4/Inv_SY_B!$CA4-1,"")</calculatedColumnFormula>
    </tableColumn>
    <tableColumn id="71" xr3:uid="{5F891D41-9FA2-441D-BBFA-AC5834A7DE41}" name="IS14Inv1M4" dataDxfId="319">
      <calculatedColumnFormula>IFERROR(Inv_SY_B!BT4/Inv_SY_B!$CA4-1,"")</calculatedColumnFormula>
    </tableColumn>
    <tableColumn id="72" xr3:uid="{7DF76AAA-6219-4E58-B14A-5B1B88B99EED}" name="IS14Inv2M1" dataDxfId="318">
      <calculatedColumnFormula>IFERROR(Inv_SY_B!BU4/Inv_SY_B!$CA4-1,"")</calculatedColumnFormula>
    </tableColumn>
    <tableColumn id="73" xr3:uid="{0EEF1E92-33CC-4540-A068-5AA9E5CA0425}" name="IS14Inv2M2" dataDxfId="317">
      <calculatedColumnFormula>IFERROR(Inv_SY_B!BV4/Inv_SY_B!$CA4-1,"")</calculatedColumnFormula>
    </tableColumn>
    <tableColumn id="74" xr3:uid="{3234D0F2-9852-4190-8C31-686BF6E330C2}" name="IS14Inv2M3" dataDxfId="316">
      <calculatedColumnFormula>IFERROR(Inv_SY_B!BW4/Inv_SY_B!$CA4-1,"")</calculatedColumnFormula>
    </tableColumn>
    <tableColumn id="75" xr3:uid="{02DE8546-BC16-4B53-9EEE-C7854A615545}" name="IS14Inv2M4" dataDxfId="315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20" totalsRowShown="0">
  <autoFilter ref="A1:U20" xr:uid="{00000000-0009-0000-0100-00000C000000}"/>
  <tableColumns count="21">
    <tableColumn id="1" xr3:uid="{00000000-0010-0000-0400-000001000000}" name="Sr. No." dataDxfId="314"/>
    <tableColumn id="6" xr3:uid="{00000000-0010-0000-0400-000006000000}" name="Date" dataDxfId="313"/>
    <tableColumn id="2" xr3:uid="{00000000-0010-0000-0400-000002000000}" name="Finacial Year" dataDxfId="312">
      <calculatedColumnFormula>YEAR(IGA_BD[[#This Row],[Date]])+IF(MONTH(IGA_BD[[#This Row],[Date]])&gt;=4,1,0)</calculatedColumnFormula>
    </tableColumn>
    <tableColumn id="3" xr3:uid="{00000000-0010-0000-0400-000003000000}" name="Calendor Year" dataDxfId="311">
      <calculatedColumnFormula>YEAR(IGA_BD[[#This Row],[Date]])</calculatedColumnFormula>
    </tableColumn>
    <tableColumn id="5" xr3:uid="{00000000-0010-0000-0400-000005000000}" name="Operating Year" dataDxfId="310"/>
    <tableColumn id="7" xr3:uid="{00000000-0010-0000-0400-000007000000}" name="Affected Feeder "/>
    <tableColumn id="21" xr3:uid="{00000000-0010-0000-0400-000015000000}" name="SPV" dataDxfId="309"/>
    <tableColumn id="10" xr3:uid="{00000000-0010-0000-0400-00000A000000}" name="Consumer" dataDxfId="308"/>
    <tableColumn id="4" xr3:uid="{00000000-0010-0000-0400-000004000000}" name="Plant Equivalent Weightage" dataDxfId="307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06"/>
    <tableColumn id="16" xr3:uid="{00000000-0010-0000-0400-000010000000}" name="Resolution Time" dataDxfId="305"/>
    <tableColumn id="17" xr3:uid="{00000000-0010-0000-0400-000011000000}" name="Breakdown Time" dataDxfId="304"/>
    <tableColumn id="18" xr3:uid="{00000000-0010-0000-0400-000012000000}" name="Action taken"/>
    <tableColumn id="19" xr3:uid="{00000000-0010-0000-0400-000013000000}" name="Status" dataDxfId="303"/>
    <tableColumn id="22" xr3:uid="{00000000-0010-0000-0400-000016000000}" name="Plant Equivalent breakdown" dataDxfId="302"/>
    <tableColumn id="9" xr3:uid="{E6C7D4D7-4E52-4CA9-A0A8-A700C0330A10}" name="Lost POA(kWh/m2)" dataDxfId="301"/>
    <tableColumn id="8" xr3:uid="{00000000-0010-0000-0400-000008000000}" name="Estimated Energy Loss (kWh)" dataDxfId="300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0" totalsRowShown="0">
  <autoFilter ref="A1:AM120" xr:uid="{627404CF-C1A9-423F-BD0F-C93EBDE2E825}"/>
  <tableColumns count="39">
    <tableColumn id="1" xr3:uid="{7DA4F25D-AFCE-45F9-AE66-482D29A38F31}" name="Sr. No." dataDxfId="299"/>
    <tableColumn id="2" xr3:uid="{3A024411-5BCF-4357-9FD4-94DC66CCB5F2}" name="Date" dataDxfId="298"/>
    <tableColumn id="3" xr3:uid="{245D0615-4FF6-4AF7-9918-AF671A09D742}" name="Financial Year" dataDxfId="297">
      <calculatedColumnFormula>YEAR(PA_8[[#This Row],[Date]])+IF(MONTH(PA_8[[#This Row],[Date]])&gt;=4,1,0)</calculatedColumnFormula>
    </tableColumn>
    <tableColumn id="4" xr3:uid="{EAF7A59D-A192-4DBD-B380-6F3404E13CB8}" name="Calendar Year" dataDxfId="296">
      <calculatedColumnFormula>YEAR(PA_8[[#This Row],[Date]])</calculatedColumnFormula>
    </tableColumn>
    <tableColumn id="5" xr3:uid="{8FBC0662-5B03-4DCC-A465-6CB954E908D2}" name="Contractual Year" dataDxfId="295"/>
    <tableColumn id="6" xr3:uid="{B9732224-C276-4746-83C6-FECC4F5A0F27}" name="Operating Year" dataDxfId="294"/>
    <tableColumn id="7" xr3:uid="{5B234209-4E3F-463C-80EB-4B17F5587BB4}" name="Month Year" dataDxfId="293">
      <calculatedColumnFormula>PA_8[[#This Row],[Date]]-DAY(PA_8[[#This Row],[Date]])+1</calculatedColumnFormula>
    </tableColumn>
    <tableColumn id="8" xr3:uid="{484B8939-58B8-4B73-803E-2B001DAE906A}" name="Days" dataDxfId="292">
      <calculatedColumnFormula>DAY(EOMONTH(PA_8[[#This Row],[Month Year]],0))</calculatedColumnFormula>
    </tableColumn>
    <tableColumn id="9" xr3:uid="{45F9CDB3-9421-48D1-ACE9-3FF5794963F9}" name="Sunrise Time (POA&gt;20 W/m2)" dataDxfId="291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0">
      <calculatedColumnFormula>IFERROR(_xlfn.XLOOKUP(PA_8[[#This Row],[Date]],Input_Raw!$A:$A,Input_Raw!G:G),"")</calculatedColumnFormula>
    </tableColumn>
    <tableColumn id="11" xr3:uid="{1CD20AE9-0E1B-4571-9612-59BAB9F8840A}" name="Total Generation Time" dataDxfId="289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88"/>
    <tableColumn id="13" xr3:uid="{1DBE1829-D2CE-4847-B6F3-7C6FDEADB277}" name="Inverter number (If Inv, SCb or Str BD)" dataDxfId="287"/>
    <tableColumn id="14" xr3:uid="{11D58F6A-DF36-4417-A181-9209C511149F}" name="Inverter Module Number (If Inv, SCb or Str BD)" dataDxfId="286"/>
    <tableColumn id="15" xr3:uid="{07F33C22-9246-47FE-8A55-B6A8BB5CEB71}" name="SCB Number (If SCB or Str BD)" dataDxfId="285"/>
    <tableColumn id="16" xr3:uid="{BB0B78F4-E4FA-47C3-A5D7-23A592F7DA48}" name="String Type(If String BD)" dataDxfId="284"/>
    <tableColumn id="17" xr3:uid="{5C967DBE-57C3-418A-81AB-C00E24C672B6}" name="Equipment (If any BD other than PV  array and inv)" dataDxfId="283"/>
    <tableColumn id="18" xr3:uid="{15A8D593-C57A-4A9C-BF36-6277C266B6DE}" name="C1" dataDxfId="282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1">
      <calculatedColumnFormula>IF(PA_8[[#This Row],[String Type(If String BD)]]="",1,0)</calculatedColumnFormula>
    </tableColumn>
    <tableColumn id="20" xr3:uid="{8A1DF201-A090-43D0-949F-45B33CC76DF8}" name="Affected Equipment " dataDxfId="280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79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78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77"/>
    <tableColumn id="24" xr3:uid="{F940ACE9-832A-4222-831E-E3744CC63666}" name="Fault Code (As per HMI)" dataDxfId="276"/>
    <tableColumn id="25" xr3:uid="{717978EE-2851-4B85-9E81-95072DF13623}" name="Breakdown Description" dataDxfId="275"/>
    <tableColumn id="26" xr3:uid="{B6F6CBE5-2788-487C-BCB9-25DC0B3DAF8D}" name="Fault Time" dataDxfId="274"/>
    <tableColumn id="27" xr3:uid="{0463688B-26A8-40C4-BA25-85F845F0A543}" name="Acknowledgement Time " dataDxfId="273"/>
    <tableColumn id="28" xr3:uid="{B1630ACB-351F-4DEB-8F19-8643F91DF098}" name="Work Start time on Fault" dataDxfId="272"/>
    <tableColumn id="29" xr3:uid="{C6F71190-0427-4292-AF65-527735079613}" name="Work Completion time on fault" dataDxfId="271"/>
    <tableColumn id="30" xr3:uid="{0A73DC50-66B3-4743-8904-AAFDC1E9D025}" name="Acknow. time " dataDxfId="270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69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68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67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66"/>
    <tableColumn id="35" xr3:uid="{AD74A9F1-0185-45C9-8DE3-AEA96E06165A}" name="Status" dataDxfId="265"/>
    <tableColumn id="36" xr3:uid="{D055E888-1B8E-4440-8608-EFC7270368AE}" name="Plant Equivalent breakdown" dataDxfId="264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63"/>
    <tableColumn id="38" xr3:uid="{7F1B4436-E022-42CB-B2BC-644C4C7A2476}" name="Approximate Energy Loss (KWh)" dataDxfId="262"/>
    <tableColumn id="39" xr3:uid="{35957DDE-C4D4-4CBB-A893-A5F6AB9A8CE0}" name="Job Card Number" dataDxfId="26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5" totalsRowShown="0">
  <autoFilter ref="A1:X15" xr:uid="{00000000-000C-0000-FFFF-FFFF06000000}"/>
  <tableColumns count="24">
    <tableColumn id="1" xr3:uid="{00000000-0010-0000-0600-000001000000}" name="Sr. No." dataDxfId="260">
      <calculatedColumnFormula>A1+1</calculatedColumnFormula>
    </tableColumn>
    <tableColumn id="6" xr3:uid="{00000000-0010-0000-0600-000006000000}" name="Date" dataDxfId="259"/>
    <tableColumn id="2" xr3:uid="{00000000-0010-0000-0600-000002000000}" name="Finacial Year" dataDxfId="258">
      <calculatedColumnFormula>YEAR(Grid_BD[[#This Row],[Date]])+IF(MONTH(Grid_BD[[#This Row],[Date]])&gt;=4,1,0)</calculatedColumnFormula>
    </tableColumn>
    <tableColumn id="3" xr3:uid="{00000000-0010-0000-0600-000003000000}" name="Calendor Year" dataDxfId="257">
      <calculatedColumnFormula>YEAR(Grid_BD[[#This Row],[Date]])</calculatedColumnFormula>
    </tableColumn>
    <tableColumn id="5" xr3:uid="{00000000-0010-0000-0600-000005000000}" name="Operating Year" dataDxfId="256"/>
    <tableColumn id="7" xr3:uid="{00000000-0010-0000-0600-000007000000}" name="Affected Feeder " dataDxfId="255"/>
    <tableColumn id="21" xr3:uid="{00000000-0010-0000-0600-000015000000}" name="Op. Hours" dataDxfId="254">
      <calculatedColumnFormula>IFERROR(_xlfn.XLOOKUP(Grid_BD[[#This Row],[Date]],RD[Date],RD[Solar Operating Hours]),"")</calculatedColumnFormula>
    </tableColumn>
    <tableColumn id="10" xr3:uid="{00000000-0010-0000-0600-00000A000000}" name="Concumaer" dataDxfId="253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2">
      <calculatedColumnFormula>IFERROR(VLOOKUP(Grid_BD[[#This Row],[Affected Feeder ]],'Basic Data'!#REF!,5,0),"")</calculatedColumnFormula>
    </tableColumn>
    <tableColumn id="11" xr3:uid="{00000000-0010-0000-0600-00000B000000}" name="Breakdown Description" dataDxfId="251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0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49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48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47"/>
    <tableColumn id="22" xr3:uid="{00000000-0010-0000-0600-000016000000}" name="Plant Equivalent breakdown" dataDxfId="246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45" dataCellStyle="Comma"/>
    <tableColumn id="9" xr3:uid="{00000000-0010-0000-0600-000009000000}" name="Estimated Energy Loss (kWh)" dataDxfId="244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43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185" totalsRowShown="0" headerRowDxfId="242" headerRowBorderDxfId="241" headerRowCellStyle="Normal 26">
  <tableColumns count="46">
    <tableColumn id="1" xr3:uid="{A7B9FF01-E149-4A33-841E-BFFE574FE7DE}" name="Sr. No." dataDxfId="240"/>
    <tableColumn id="8" xr3:uid="{D9ABFABF-DB1D-40F9-91FA-80B4ADBADDD1}" name="Date" dataDxfId="239"/>
    <tableColumn id="2" xr3:uid="{4D10477A-B488-4271-8D73-AF88089A4570}" name="Finacial Year" dataDxfId="238">
      <calculatedColumnFormula>YEAR(MC[[#This Row],[Date]])+IF(MONTH(MC[[#This Row],[Date]])&gt;=4,1,0)</calculatedColumnFormula>
    </tableColumn>
    <tableColumn id="3" xr3:uid="{6B58CA4A-ED29-438C-A43F-528BD44FDAFC}" name="Calendor Year" dataDxfId="237">
      <calculatedColumnFormula>YEAR(MC[[#This Row],[Date]])</calculatedColumnFormula>
    </tableColumn>
    <tableColumn id="4" xr3:uid="{5D13B529-5536-4D43-A052-FD00CB24E33D}" name="Contrcatual Year" dataDxfId="236"/>
    <tableColumn id="5" xr3:uid="{02DCB2A0-D387-41CE-A75A-71D8847B1AE0}" name="Operating Year" dataDxfId="235"/>
    <tableColumn id="6" xr3:uid="{CBD2CD1C-556F-41B6-8832-A67407032146}" name="Month Year" dataDxfId="234">
      <calculatedColumnFormula>TEXT(MC[[#This Row],[Date]],"mmm-yy")</calculatedColumnFormula>
    </tableColumn>
    <tableColumn id="7" xr3:uid="{2BD29667-6A66-4249-A3CE-F30B68DE5D89}" name="Days" dataDxfId="233">
      <calculatedColumnFormula>DAY(EOMONTH(MC[[#This Row],[Month Year]],0))</calculatedColumnFormula>
    </tableColumn>
    <tableColumn id="9" xr3:uid="{C873C50E-CED9-465C-ABF6-4B721351A449}" name="Cycle Number" dataDxfId="232"/>
    <tableColumn id="10" xr3:uid="{473375F3-0178-4C16-BE50-A48A67975B67}" name="Resources" dataDxfId="231"/>
    <tableColumn id="39" xr3:uid="{A320C8C3-D0B2-4E69-8064-05C254964583}" name="IS1Inv1M1" dataDxfId="230"/>
    <tableColumn id="40" xr3:uid="{0D59ACE8-24AC-4E91-9105-13C72A1C3C50}" name="IS1Inv1M2" dataDxfId="229"/>
    <tableColumn id="41" xr3:uid="{8F648909-19FD-432C-8F68-62502F587878}" name="IS1Inv1M3" dataDxfId="228"/>
    <tableColumn id="42" xr3:uid="{F791CDFD-054B-4EC1-ADC8-95597C22AEAF}" name="IS1Inv1M4" dataDxfId="227"/>
    <tableColumn id="43" xr3:uid="{6A2FAD99-4EAD-412C-88EF-5BCFF2E08C59}" name="IS1Inv2M1" dataDxfId="226"/>
    <tableColumn id="44" xr3:uid="{9E3AB44F-D2B2-46E1-9685-707D8E1293C7}" name="IS1Inv2M2" dataDxfId="225"/>
    <tableColumn id="45" xr3:uid="{B2C0C430-7A8D-40F1-8A1A-3E2E9CA21ED1}" name="IS1Inv2M3" dataDxfId="224"/>
    <tableColumn id="46" xr3:uid="{6654D80A-2B28-49A6-9822-AE0AAC8CBFEB}" name="IS1Inv2M4" dataDxfId="223"/>
    <tableColumn id="47" xr3:uid="{2402B6B0-4F6D-4CD6-891D-8ABF315765C5}" name="IS2Inv3M1" dataDxfId="222"/>
    <tableColumn id="48" xr3:uid="{B1C5C4D5-6F79-4F8D-A437-FE767B894C95}" name="IS2Inv3M2" dataDxfId="221"/>
    <tableColumn id="29" xr3:uid="{BBE44CF4-C4F3-42D4-9F61-143F76747E5F}" name="IS2Inv3M3" dataDxfId="220"/>
    <tableColumn id="30" xr3:uid="{EE0EE4B6-E6DA-4BB3-8618-9B21EFDE3B8D}" name="IS2Inv3M4" dataDxfId="219"/>
    <tableColumn id="31" xr3:uid="{22917AEF-41C2-4A4B-968B-40E55A35F3CD}" name="IS2Inv4M1" dataDxfId="218"/>
    <tableColumn id="32" xr3:uid="{E25075F0-D420-445B-B50A-C6E6A55A1936}" name="IS2Inv4M2" dataDxfId="217"/>
    <tableColumn id="33" xr3:uid="{D89B22A9-736F-472B-9D9D-AC60355F2CDB}" name="IS2Inv4M3" dataDxfId="216"/>
    <tableColumn id="34" xr3:uid="{19848AC9-C17C-4747-B1EA-B42413E6F182}" name="IS2Inv4M4" dataDxfId="215"/>
    <tableColumn id="35" xr3:uid="{7153768C-7B1D-4C74-B21B-8D07E885ED48}" name="IS3Inv5M1" dataDxfId="214"/>
    <tableColumn id="36" xr3:uid="{54F15931-9129-48CB-BBF3-6CE3800FE9C8}" name="IS3Inv5M2" dataDxfId="213"/>
    <tableColumn id="37" xr3:uid="{D49609C6-F140-4FF7-9D5B-E3E6EA98B19D}" name="IS3Inv6M1" dataDxfId="212"/>
    <tableColumn id="38" xr3:uid="{6DB90B5D-D588-45A8-A0AF-7E2E802D2AAF}" name="IS3Inv6M2" dataDxfId="211"/>
    <tableColumn id="16" xr3:uid="{941737F2-FB81-4FEA-8BC2-67EBAFB618D3}" name="IS4Inv7M1" dataDxfId="210"/>
    <tableColumn id="25" xr3:uid="{6C3AD66A-F5A0-435B-8369-5C51CD2CAC9A}" name="IS4Inv7M2" dataDxfId="209"/>
    <tableColumn id="26" xr3:uid="{AB6E505F-75C9-494A-B560-6160B0518894}" name="IS4Inv8M1" dataDxfId="208"/>
    <tableColumn id="27" xr3:uid="{D3CA416F-5F0B-47B0-84A1-5124A4E013E7}" name="IS4Inv8M2" dataDxfId="207"/>
    <tableColumn id="28" xr3:uid="{930B4D74-3C8C-4AD1-86D8-41442F736315}" name="IS4Inv9M1" dataDxfId="206"/>
    <tableColumn id="11" xr3:uid="{93F70AF8-DE57-49C6-BC69-D71891DF9644}" name="IS4Inv9M2" dataDxfId="205"/>
    <tableColumn id="12" xr3:uid="{F2B28FCC-C41C-4A8E-9783-7D1C8BD2155D}" name="IS4Inv10M1" dataDxfId="204"/>
    <tableColumn id="13" xr3:uid="{0FDB8A74-9F30-4A65-BC18-2F2924CE8CC1}" name="IS4Inv10M2" dataDxfId="203"/>
    <tableColumn id="17" xr3:uid="{A7F4E110-C50C-4A96-B753-4C89D747A8EF}" name="Total NO. Module cleaned" dataDxfId="202">
      <calculatedColumnFormula>SUM(MC[[#This Row],[IS1Inv1M1]:[IS4Inv10M2]])</calculatedColumnFormula>
    </tableColumn>
    <tableColumn id="18" xr3:uid="{0E310FC1-C5A1-43E6-B32E-2961DFE3B58A}" name="Morning Start Time" dataDxfId="201"/>
    <tableColumn id="19" xr3:uid="{E2926AAB-7639-4B31-937E-F82BF8FAC020}" name="Morning End Time" dataDxfId="200"/>
    <tableColumn id="20" xr3:uid="{F388D91F-2605-4960-9CC7-EEAC5534DF7A}" name="Evening Start Time" dataDxfId="199"/>
    <tableColumn id="21" xr3:uid="{E8D2D803-D3C0-4AA2-B240-860586B266AB}" name="Evening End time" dataDxfId="198"/>
    <tableColumn id="22" xr3:uid="{98371C30-53BB-4690-9910-5595805AAF43}" name="Brush/MOP Replcemnet" dataDxfId="197"/>
    <tableColumn id="24" xr3:uid="{D5D5A0D2-25E0-421C-8E1C-24C3CBD58857}" name="Water Test Report" dataDxfId="196"/>
    <tableColumn id="23" xr3:uid="{5E59D7C6-67AC-4404-8D96-271220D830A0}" name="Remarks for the day" dataDxfId="195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502" totalsRowShown="0" headerRowDxfId="194" headerRowBorderDxfId="193" headerRowCellStyle="Normal 26">
  <tableColumns count="64">
    <tableColumn id="1" xr3:uid="{3CC24C2C-754A-4A10-9B77-508F0351CC05}" name="Sr. No." dataDxfId="192"/>
    <tableColumn id="8" xr3:uid="{18E1B81E-3A17-4033-897F-EC2CED2EC501}" name="Date" dataDxfId="191"/>
    <tableColumn id="2" xr3:uid="{CC993072-495C-4FCE-8EC5-7E01DEF4D149}" name="Finacial Year" dataDxfId="190">
      <calculatedColumnFormula>YEAR(MC_2[[#This Row],[Date]])+IF(MONTH(MC_2[[#This Row],[Date]])&gt;=4,1,0)</calculatedColumnFormula>
    </tableColumn>
    <tableColumn id="3" xr3:uid="{E043BABD-80E4-4A87-AE92-EBB97AF2E316}" name="Calendor Year" dataDxfId="189">
      <calculatedColumnFormula>YEAR(MC_2[[#This Row],[Date]])</calculatedColumnFormula>
    </tableColumn>
    <tableColumn id="4" xr3:uid="{97EB0142-8BC4-4120-80BA-FA419E192411}" name="Contrcatual Year" dataDxfId="188"/>
    <tableColumn id="5" xr3:uid="{C4AB85BB-E58F-48A1-98F5-89E2A9991296}" name="Operating Year" dataDxfId="187"/>
    <tableColumn id="6" xr3:uid="{3C064F29-6EBF-49B7-B967-9F06D07DF658}" name="Month Year" dataDxfId="186">
      <calculatedColumnFormula>TEXT(MC_2[[#This Row],[Date]],"mmm-yy")</calculatedColumnFormula>
    </tableColumn>
    <tableColumn id="7" xr3:uid="{E825FA79-A68F-4EC4-A82F-AFCDC07D6347}" name="Days" dataDxfId="185">
      <calculatedColumnFormula>DAY(EOMONTH(MC_2[[#This Row],[Month Year]],0))</calculatedColumnFormula>
    </tableColumn>
    <tableColumn id="9" xr3:uid="{1848EDA1-9281-4D47-9500-C4EAE9178C3C}" name="Cycle Number" dataDxfId="184"/>
    <tableColumn id="10" xr3:uid="{59A8578A-1E66-4F68-9A38-398E64B12C17}" name="Resources" dataDxfId="183"/>
    <tableColumn id="39" xr3:uid="{39CA228E-833E-460A-8B4C-CD5E0599589F}" name="IS1Inv1M1" dataDxfId="182"/>
    <tableColumn id="40" xr3:uid="{D33D61DA-AA9E-44EA-B980-109091E7A29D}" name="IS1Inv1M2" dataDxfId="181"/>
    <tableColumn id="41" xr3:uid="{BEA744F5-DBDD-4F2C-9015-8FC5E314BBA4}" name="IS1Inv1M3" dataDxfId="180"/>
    <tableColumn id="42" xr3:uid="{508B7372-0FE5-427B-AEC7-49CF14E18C5C}" name="IS1Inv1M4" dataDxfId="179"/>
    <tableColumn id="43" xr3:uid="{8E95BF84-25F3-4745-940C-70D593A95485}" name="IS1Inv2M1" dataDxfId="178"/>
    <tableColumn id="44" xr3:uid="{147A86C2-C406-4A30-BD54-C8897EEA8141}" name="IS1Inv2M2" dataDxfId="177"/>
    <tableColumn id="45" xr3:uid="{0B92FFC1-D97E-4F0A-A124-D391A49AE430}" name="IS1Inv2M3" dataDxfId="176"/>
    <tableColumn id="46" xr3:uid="{396A35C6-7C37-4F08-9C9E-C2734DBAED1E}" name="IS1Inv2M4" dataDxfId="175"/>
    <tableColumn id="47" xr3:uid="{5668C48C-F806-45A1-B44F-AB27E85AC13B}" name="IS2Inv3M1" dataDxfId="174"/>
    <tableColumn id="48" xr3:uid="{7D91FB20-4A4D-43BB-8F5B-E292A27CA4C9}" name="IS2Inv3M2" dataDxfId="173"/>
    <tableColumn id="29" xr3:uid="{69E5BA17-832B-4AAD-80F9-351C9E94E93F}" name="IS2Inv3M3" dataDxfId="172"/>
    <tableColumn id="30" xr3:uid="{69FAA5F7-090B-4BC2-B174-A9C0C0B24B4C}" name="IS2Inv3M4" dataDxfId="171"/>
    <tableColumn id="31" xr3:uid="{3FC21A01-5B86-4462-A2B3-759FE12C4E1E}" name="IS2Inv4M1" dataDxfId="170"/>
    <tableColumn id="32" xr3:uid="{879EC464-8BE0-4A3F-8FCF-96586E84A68A}" name="IS2Inv4M2" dataDxfId="169"/>
    <tableColumn id="33" xr3:uid="{3CBB1CD0-ACE8-495D-BD41-5EE170E1227C}" name="IS2Inv4M3" dataDxfId="168"/>
    <tableColumn id="34" xr3:uid="{96CDA1CC-571A-4CEE-864B-D7D43068A963}" name="IS2Inv4M4" dataDxfId="167"/>
    <tableColumn id="35" xr3:uid="{5B1788AC-B838-47C1-B737-20E7BF0F677E}" name="IS3Inv5M1" dataDxfId="166"/>
    <tableColumn id="36" xr3:uid="{12739100-7AF1-4F31-8312-D3D753226616}" name="IS3Inv5M2" dataDxfId="165"/>
    <tableColumn id="37" xr3:uid="{6A19A5E6-AC3F-491D-807F-4A9DA9C3FEC6}" name="IS3Inv6M1" dataDxfId="164"/>
    <tableColumn id="38" xr3:uid="{BE18DF5C-137B-42FA-9DF8-5D90EDF95375}" name="IS3Inv6M2" dataDxfId="163"/>
    <tableColumn id="16" xr3:uid="{78715B53-427E-4D01-ABBC-BCD65484F99D}" name="IS4Inv7M1" dataDxfId="162"/>
    <tableColumn id="25" xr3:uid="{F10CBCEA-FD21-42FA-BB03-347B0B4C2780}" name="IS4Inv7M2" dataDxfId="161"/>
    <tableColumn id="26" xr3:uid="{64B3E773-6BE1-4DA0-BBB4-ABD6C0C4AAB1}" name="IS4Inv8M1" dataDxfId="160"/>
    <tableColumn id="27" xr3:uid="{920CFD2B-7EA5-44D6-85A0-43515D22E99E}" name="IS4Inv8M2" dataDxfId="159"/>
    <tableColumn id="28" xr3:uid="{1C19A323-D8D3-442F-AC74-383744406FDA}" name="IS4Inv9M1" dataDxfId="158"/>
    <tableColumn id="11" xr3:uid="{B293ADA0-D9AA-488B-A02E-BBAFC3C2107F}" name="IS4Inv9M2" dataDxfId="157"/>
    <tableColumn id="12" xr3:uid="{698DB3C5-9EFB-42F8-8105-8FA5842BD40E}" name="IS4Inv10M1" dataDxfId="156"/>
    <tableColumn id="13" xr3:uid="{D43B688D-A107-4E8A-93BD-F201CC348A54}" name="IS4Inv10M2" dataDxfId="155"/>
    <tableColumn id="49" xr3:uid="{384052DB-56F3-4D84-AD19-7F0F88B8B41D}" name="IS5Inv11M1" dataDxfId="154"/>
    <tableColumn id="50" xr3:uid="{31FFA1C7-43D2-40F9-9784-487F0EC93C35}" name="IS5Inv11M2" dataDxfId="153"/>
    <tableColumn id="51" xr3:uid="{D2BFF062-EEDB-4F96-AF2C-3F5169D08BC3}" name="IS5Inv12M1" dataDxfId="152"/>
    <tableColumn id="53" xr3:uid="{97FAA663-BF9A-495B-B661-E72E2B37B345}" name="IS5Inv12M2" dataDxfId="151"/>
    <tableColumn id="52" xr3:uid="{82D1622B-2420-41DC-B1D2-B6534A51773B}" name="IS6Inv13M1" dataDxfId="150"/>
    <tableColumn id="55" xr3:uid="{DEC46C7A-678D-4304-AFFB-B74437DE7CF5}" name="IS6Inv13M2" dataDxfId="149"/>
    <tableColumn id="54" xr3:uid="{1722B717-3B7B-4AC4-9C29-E22BFFCA92E1}" name="IS6Inv14M1" dataDxfId="148"/>
    <tableColumn id="56" xr3:uid="{07B9EFBD-6C0F-46A4-BF35-0C56A6D82D93}" name="IS6Inv14M2" dataDxfId="147"/>
    <tableColumn id="58" xr3:uid="{285E9542-B83E-47A8-891A-5442E30D400A}" name="IS7Inv15M1" dataDxfId="146"/>
    <tableColumn id="59" xr3:uid="{2683FC2A-8BC2-4194-8198-DF26F395AE39}" name="IS7Inv16M1" dataDxfId="145"/>
    <tableColumn id="60" xr3:uid="{1A513FF6-ECA5-44D0-A840-56331AAF7B1E}" name="IS8Inv17M1" dataDxfId="144"/>
    <tableColumn id="65" xr3:uid="{2EB561C2-EEFE-4BD6-8EAF-FEAEC894871B}" name="IS8Inv17M2" dataDxfId="143"/>
    <tableColumn id="67" xr3:uid="{283203EB-B778-480D-AD45-4527E027E860}" name="IS8Inv17M3" dataDxfId="142"/>
    <tableColumn id="66" xr3:uid="{48B012E2-1C7D-43C7-8858-EB9739B197E6}" name="IS8Inv17M4" dataDxfId="141"/>
    <tableColumn id="64" xr3:uid="{6168D8CA-C149-45B6-9723-DCA55D696530}" name="IS9Inv18M1" dataDxfId="140"/>
    <tableColumn id="63" xr3:uid="{746FE1E3-E6BB-4B66-B653-1A85F7A160B7}" name="IS9Inv18M2" dataDxfId="139"/>
    <tableColumn id="62" xr3:uid="{7F7F1911-633A-4B5C-92C0-54C3734BBA13}" name="IS9Inv19M1" dataDxfId="138"/>
    <tableColumn id="61" xr3:uid="{FC8B95B2-F807-4AD4-95F2-A15AE6ECE6DB}" name="IS9Inv19M2" dataDxfId="137"/>
    <tableColumn id="17" xr3:uid="{B3993204-F1CA-4750-B6ED-9EEFF7DCDE86}" name="Total NO. Module cleaned" dataDxfId="136">
      <calculatedColumnFormula>SUM(MC_2[[#This Row],[IS1Inv1M1]:[IS9Inv19M2]])</calculatedColumnFormula>
    </tableColumn>
    <tableColumn id="18" xr3:uid="{7B88BAE1-C463-4FFE-9ED6-AC091B1C9B8C}" name="Morning Start Time" dataDxfId="135"/>
    <tableColumn id="19" xr3:uid="{A0CBA0F0-4490-4552-B1C7-EA78EDEAAF32}" name="Morning End Time" dataDxfId="134"/>
    <tableColumn id="20" xr3:uid="{D25E2EF4-46E1-4363-8052-CA3B6446B346}" name="Evening Start Time" dataDxfId="133"/>
    <tableColumn id="21" xr3:uid="{F8B4811C-D3DB-4F65-BD37-7330FC48609F}" name="Evening End time" dataDxfId="132"/>
    <tableColumn id="22" xr3:uid="{EBE06529-886E-4D94-9837-233252B9168E}" name="Brush/MOP Replcemnet" dataDxfId="131"/>
    <tableColumn id="24" xr3:uid="{F488E365-C838-41BB-A612-234313F6A300}" name="Water Test Report" dataDxfId="130"/>
    <tableColumn id="23" xr3:uid="{78E90398-3A77-427B-A5B6-64F89E15CADD}" name="Remarks for the day" dataDxfId="12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270" totalsRowShown="0" headerRowDxfId="128" headerRowBorderDxfId="127" headerRowCellStyle="Normal 26">
  <tableColumns count="41">
    <tableColumn id="1" xr3:uid="{60DE39AC-2A4B-49DC-B368-B3E0FFDD9055}" name="Sr. No." dataDxfId="126"/>
    <tableColumn id="8" xr3:uid="{CBA33D32-248B-4487-B387-BB1F1FEDAD86}" name="Date" dataDxfId="125"/>
    <tableColumn id="2" xr3:uid="{F5946774-8DB2-41DC-ABE8-9A47152BF795}" name="Finacial Year" dataDxfId="124">
      <calculatedColumnFormula>YEAR(GC[[#This Row],[Date]])+IF(MONTH(GC[[#This Row],[Date]])&gt;=4,1,0)</calculatedColumnFormula>
    </tableColumn>
    <tableColumn id="3" xr3:uid="{0C063C4A-5E31-4680-B9F5-EED9858583FC}" name="Calendor Year" dataDxfId="123">
      <calculatedColumnFormula>YEAR(GC[[#This Row],[Date]])</calculatedColumnFormula>
    </tableColumn>
    <tableColumn id="4" xr3:uid="{2A5FCD91-94BB-4C41-A047-0DEA19432059}" name="Contrcatual Year" dataDxfId="122"/>
    <tableColumn id="5" xr3:uid="{AF178D31-BC24-4F57-A7C6-C82D4CEC251E}" name="Operating Year" dataDxfId="121"/>
    <tableColumn id="6" xr3:uid="{8CDE70CE-087C-49D4-AE3D-32D94FD16FAE}" name="Month Year" dataDxfId="120">
      <calculatedColumnFormula>TEXT(GC[[#This Row],[Date]],"mmm-yy")</calculatedColumnFormula>
    </tableColumn>
    <tableColumn id="7" xr3:uid="{F883407B-0A1D-4CF4-82BE-6E93F5FFA227}" name="Days" dataDxfId="119">
      <calculatedColumnFormula>DAY(EOMONTH(GC[[#This Row],[Month Year]],0))</calculatedColumnFormula>
    </tableColumn>
    <tableColumn id="9" xr3:uid="{64BFE0CB-ACBB-4A0A-B600-5EC6DBB6FE65}" name="Cycle Number" dataDxfId="118"/>
    <tableColumn id="10" xr3:uid="{7FD5ACD6-F5E0-4AB3-AB0B-DAF925A009FC}" name="Resources" dataDxfId="117"/>
    <tableColumn id="34" xr3:uid="{55CB8AB8-A58B-4934-9353-7B52A28E8385}" name="IS1Inv1M1" dataDxfId="116"/>
    <tableColumn id="35" xr3:uid="{036B587C-3710-424B-BEA6-A5CD903F3005}" name="IS1Inv1M2" dataDxfId="115"/>
    <tableColumn id="36" xr3:uid="{98330D6C-CEA4-4B02-9004-A978F1C5E439}" name="IS1Inv1M3" dataDxfId="114"/>
    <tableColumn id="37" xr3:uid="{5107929B-427C-466A-AD95-A1CFC6152522}" name="IS1Inv1M4" dataDxfId="113"/>
    <tableColumn id="38" xr3:uid="{350A27E9-9FF9-45EE-B081-DA8CBEFD6F60}" name="IS1Inv2M1" dataDxfId="112"/>
    <tableColumn id="39" xr3:uid="{A35B349E-BE82-4E5F-90E4-346ED4659056}" name="IS1Inv2M2" dataDxfId="111"/>
    <tableColumn id="40" xr3:uid="{687F9220-513E-4005-896A-3146F69FD48F}" name="IS1Inv2M3" dataDxfId="110"/>
    <tableColumn id="41" xr3:uid="{504B5CD8-56A2-4F49-A95D-AAF2F75AF840}" name="IS1Inv2M4" dataDxfId="109"/>
    <tableColumn id="22" xr3:uid="{2EF6E3FE-B592-46D9-851E-44F0F446DEBE}" name="IS2Inv3M1" dataDxfId="108"/>
    <tableColumn id="25" xr3:uid="{184B4B1A-2E9A-48DB-9532-4397F6FF4200}" name="IS2Inv3M2" dataDxfId="107"/>
    <tableColumn id="26" xr3:uid="{BA3704B1-39EA-41C9-AA2D-C35AF1D91AD8}" name="IS2Inv3M3" dataDxfId="106"/>
    <tableColumn id="27" xr3:uid="{63DCC496-93B9-4257-BAB2-AD5E2FAF7962}" name="IS2Inv3M4" dataDxfId="105"/>
    <tableColumn id="28" xr3:uid="{4DDF5B1E-36D4-4591-B846-D39C713D22E9}" name="IS2Inv4M1" dataDxfId="104"/>
    <tableColumn id="29" xr3:uid="{B142C470-C662-4C9C-AC37-FFDF340B1F06}" name="IS2Inv4M2" dataDxfId="103"/>
    <tableColumn id="30" xr3:uid="{31C2EE83-A2BF-495E-BAF7-27E96CB38CD3}" name="IS2Inv4M3" dataDxfId="102"/>
    <tableColumn id="31" xr3:uid="{A0474BBE-C20E-4EBC-8D0C-F4C471327578}" name="IS2Inv4M4" dataDxfId="101"/>
    <tableColumn id="32" xr3:uid="{C0999558-E6FD-4A8D-A97B-8E09FC318C36}" name="IS3Inv5M1" dataDxfId="100"/>
    <tableColumn id="33" xr3:uid="{45BDD4AB-0425-43AF-8EE3-308127F8B30B}" name="IS3Inv5M2" dataDxfId="99"/>
    <tableColumn id="16" xr3:uid="{BBDEA515-1F47-4F2D-B85E-01E6EDE1A139}" name="IS3Inv6M1" dataDxfId="98"/>
    <tableColumn id="18" xr3:uid="{9BE4BC16-B669-408D-96DD-03251D3FDC26}" name="IS3Inv6M2" dataDxfId="97"/>
    <tableColumn id="19" xr3:uid="{DCF335AE-0F2D-4C0C-A8B4-E4A8C8AC2335}" name="IS4Inv7M1" dataDxfId="96"/>
    <tableColumn id="20" xr3:uid="{685F75D0-1B2F-4770-8399-2AE596503900}" name="IS4Inv7M2" dataDxfId="95"/>
    <tableColumn id="21" xr3:uid="{592BE199-F9C7-4B15-8CEF-FA3424948298}" name="IS4Inv8M1" dataDxfId="94"/>
    <tableColumn id="11" xr3:uid="{AD8EEF0E-4392-4657-A4C4-D593B4D64FC8}" name="IS4Inv8M2" dataDxfId="93"/>
    <tableColumn id="12" xr3:uid="{567A881E-9954-4316-99A3-08E200088E12}" name="IS4Inv9M1" dataDxfId="92"/>
    <tableColumn id="13" xr3:uid="{948DC166-46BA-42B2-934A-C28E3228E9B6}" name="IS4Inv9M2" dataDxfId="91"/>
    <tableColumn id="14" xr3:uid="{A8607F8D-BC98-4220-A033-7533F23352E5}" name="IS4Inv10M1" dataDxfId="90"/>
    <tableColumn id="15" xr3:uid="{6FCBFE10-6284-44AA-894F-D85060494834}" name="IS4Inv10M2" dataDxfId="89"/>
    <tableColumn id="17" xr3:uid="{0227B304-F94C-4A5E-8A92-DB3C08772F03}" name="Total No.Table GC done" dataDxfId="88">
      <calculatedColumnFormula>SUM(GC[[#This Row],[IS1Inv1M1]:[IS4Inv10M2]])</calculatedColumnFormula>
    </tableColumn>
    <tableColumn id="24" xr3:uid="{D235A722-33FD-44FA-9E60-53511A4C360B}" name="Mrthod of Cutting" dataDxfId="87"/>
    <tableColumn id="23" xr3:uid="{B4B64453-1F89-4BE0-9C93-93512420BA69}" name="Remarks for the day" dataDxfId="86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85" dataDxfId="84" totalsRowDxfId="83" headerRowBorderDxfId="81" tableBorderDxfId="82" totalsRowBorderDxfId="80">
  <tableColumns count="40">
    <tableColumn id="1" xr3:uid="{127CA0E0-906B-4781-9936-92100FABFB50}" name="Sr. No." dataDxfId="78" totalsRowDxfId="79"/>
    <tableColumn id="2" xr3:uid="{7203C6FD-D70A-4A23-B320-CE38D3F39DB0}" name="Month Name" dataDxfId="76" totalsRowDxfId="77"/>
    <tableColumn id="3" xr3:uid="{CC68D9F9-1A56-4DBA-BD14-823D8C355EFC}" name="Month Number" dataDxfId="74" totalsRowDxfId="75"/>
    <tableColumn id="4" xr3:uid="{26152948-0725-49D9-8821-D2C1E621CBA8}" name="Month" dataDxfId="72" totalsRowDxfId="73"/>
    <tableColumn id="5" xr3:uid="{CE6762DE-5A75-4779-ABCD-08C47968D56B}" name="CY" dataDxfId="70" totalsRowDxfId="71">
      <calculatedColumnFormula>YEAR(D2)</calculatedColumnFormula>
    </tableColumn>
    <tableColumn id="6" xr3:uid="{6892BA6A-36F7-4936-990D-B00FF002B6AB}" name="FY" dataDxfId="68" totalsRowDxfId="69"/>
    <tableColumn id="7" xr3:uid="{EB75A830-CC83-4E82-AA77-5FA84259C36C}" name="No. of Days in Month" dataDxfId="66" totalsRowDxfId="67">
      <calculatedColumnFormula>DAY(EOMONTH(D2,0))</calculatedColumnFormula>
    </tableColumn>
    <tableColumn id="8" xr3:uid="{DD26849B-B7BC-497F-940E-673BCFA7E139}" name="GHI" dataDxfId="64" totalsRowDxfId="65"/>
    <tableColumn id="9" xr3:uid="{298037A4-AF69-43D3-9151-2B29DA343E0A}" name="POA" dataDxfId="62" totalsRowDxfId="63"/>
    <tableColumn id="10" xr3:uid="{80F9C29F-90A4-4715-B489-4052082B0CF6}" name="WS" dataDxfId="60" totalsRowDxfId="61"/>
    <tableColumn id="11" xr3:uid="{F887BEED-4147-4CAA-A39A-CBA0CC039480}" name="Tamb" dataDxfId="58" totalsRowDxfId="59"/>
    <tableColumn id="12" xr3:uid="{89562E71-BB65-46E2-8BD2-286876AE1107}" name="Tmod" dataDxfId="56" totalsRowDxfId="57"/>
    <tableColumn id="13" xr3:uid="{B522ADA6-19A1-4055-B5C2-F4B8682AAD68}" name="Egrid (MWh)" dataDxfId="54" totalsRowDxfId="55"/>
    <tableColumn id="14" xr3:uid="{88743640-4B7D-4A05-A9D6-2E59E554985E}" name="Bugt_Capacity" dataDxfId="52" totalsRowDxfId="53"/>
    <tableColumn id="15" xr3:uid="{5F490BF7-2BB3-41E8-9087-1110BB79EC9C}" name="PR" dataDxfId="50" totalsRowDxfId="51">
      <calculatedColumnFormula>IFERROR(M2/I2/N2,"")</calculatedColumnFormula>
    </tableColumn>
    <tableColumn id="16" xr3:uid="{2D9EED6B-B22F-47F4-A50A-7043AA0002D8}" name="Daily POA" dataDxfId="48" totalsRowDxfId="49">
      <calculatedColumnFormula>IFERROR(I2/G2,"")</calculatedColumnFormula>
    </tableColumn>
    <tableColumn id="17" xr3:uid="{3227DA48-F62F-4CCD-A8FD-210281A33BEC}" name="Days Operated" dataDxfId="46" totalsRowDxfId="47">
      <calculatedColumnFormula>COUNTIFS('Daily KPI'!$D:$D,D2,'Daily KPI'!$K:$K,"&gt;0")</calculatedColumnFormula>
    </tableColumn>
    <tableColumn id="18" xr3:uid="{718E4B5C-14C6-4968-9EF8-E05891ED9B6B}" name="MTD POA" dataDxfId="44" totalsRowDxfId="45">
      <calculatedColumnFormula>I2/G2*Q2</calculatedColumnFormula>
    </tableColumn>
    <tableColumn id="27" xr3:uid="{E177B0E0-08DA-4C9F-9ED2-50C1B9402409}" name="YTD POA" dataDxfId="42" totalsRowDxfId="43">
      <calculatedColumnFormula>SUMIF($F$2:F2,F2,$R$2:R2)</calculatedColumnFormula>
    </tableColumn>
    <tableColumn id="19" xr3:uid="{3E8D61EB-B2CD-4499-968D-AFF5A7ECD57E}" name="Daily Energy (MWh)" dataDxfId="40" totalsRowDxfId="41">
      <calculatedColumnFormula>M2/G2</calculatedColumnFormula>
    </tableColumn>
    <tableColumn id="20" xr3:uid="{1098DA65-2D17-4EA5-AB41-2CB76B55E552}" name="MTD Energy (MWh)" dataDxfId="38" totalsRowDxfId="39">
      <calculatedColumnFormula>M2/G2*Q2</calculatedColumnFormula>
    </tableColumn>
    <tableColumn id="28" xr3:uid="{901A87D4-EDEB-49E4-9A66-E5F253F08573}" name="YTD Energy (MWh)" dataDxfId="36" totalsRowDxfId="37">
      <calculatedColumnFormula>SUMIF($F$2:F2,F2,$U$2:U2)</calculatedColumnFormula>
    </tableColumn>
    <tableColumn id="38" xr3:uid="{43EEDB5F-1FB8-4A05-B253-792AACE8C190}" name="Bugt CUF (%)" dataDxfId="34" totalsRowDxfId="35">
      <calculatedColumnFormula>IFERROR(T2/(24*N2),"")</calculatedColumnFormula>
    </tableColumn>
    <tableColumn id="37" xr3:uid="{FB721145-6758-45EE-8A7D-E8D242779369}" name="Bugt CUF (%) MTD" dataDxfId="32" totalsRowDxfId="33">
      <calculatedColumnFormula>IFERROR(U2/(24*N2*Q2),"")</calculatedColumnFormula>
    </tableColumn>
    <tableColumn id="36" xr3:uid="{C784843A-5FC0-4F7D-8AAF-C75592FDEDE2}" name="Bugt CUF (%)YTD" dataDxfId="30" totalsRowDxfId="31">
      <calculatedColumnFormula>IFERROR(V2/(24*N2*SUMIFS($Q:$Q,$F:$F,$F2,$D:$D,"&lt;="&amp;D2)),"")</calculatedColumnFormula>
    </tableColumn>
    <tableColumn id="21" xr3:uid="{8E9FE457-A6C0-48E3-A306-ECB01325DFDB}" name="Ave. Cap MTD" dataDxfId="28" totalsRowDxfId="29">
      <calculatedColumnFormula>IFERROR(AVERAGEIF('Daily KPI'!D:D,Table14[[#This Row],[Month]],'Daily KPI'!AB:AB),0)</calculatedColumnFormula>
    </tableColumn>
    <tableColumn id="29" xr3:uid="{FD3ADF26-4E14-413C-830B-AC5DD5C7F6F1}" name="Ave. Cap YTD" dataDxfId="26" totalsRowDxfId="27">
      <calculatedColumnFormula>IFERROR(AVERAGEIF($F$2:F2,F2,$Z$2:Z2),"")</calculatedColumnFormula>
    </tableColumn>
    <tableColumn id="22" xr3:uid="{5CFD8ACA-3A74-4547-B8BD-E0A4E08B99DF}" name="CC Energy MTD" dataDxfId="24" totalsRowDxfId="25"/>
    <tableColumn id="31" xr3:uid="{F9BD3937-04EA-41E6-AD0E-B2AF0A929CD8}" name="WS MTD" dataDxfId="22" totalsRowDxfId="23"/>
    <tableColumn id="23" xr3:uid="{1D896DDA-6848-4802-B53A-CB5BC00880FE}" name="WS YTD" dataDxfId="20" totalsRowDxfId="21"/>
    <tableColumn id="24" xr3:uid="{96EB1E8B-0CF2-4FAA-8321-B21D2B0DCAB0}" name="Bugt PA" dataDxfId="18" totalsRowDxfId="19">
      <calculatedColumnFormula>IFERROR(AF2*AH2*AI2,"")</calculatedColumnFormula>
    </tableColumn>
    <tableColumn id="25" xr3:uid="{E1054CA5-6777-4DD1-948F-9F5D09EBC1A3}" name="Bugt EGA" dataDxfId="16" totalsRowDxfId="17"/>
    <tableColumn id="35" xr3:uid="{AEBC90D8-A40F-4FB3-8CC1-17A824BCF062}" name="Bugt TA" dataDxfId="14" totalsRowDxfId="15"/>
    <tableColumn id="26" xr3:uid="{96959E93-CC11-4E07-817C-7F0AA706C2DE}" name="Bugt MA" dataDxfId="12" totalsRowDxfId="13"/>
    <tableColumn id="30" xr3:uid="{8112CF74-8801-4D0B-B2E8-08FAFD6DB2F8}" name="Bugt IGA" dataDxfId="10" totalsRowDxfId="11"/>
    <tableColumn id="32" xr3:uid="{2205618B-2842-4806-ABC6-09649B026DC8}" name="Corelation" dataDxfId="8" totalsRowDxfId="9"/>
    <tableColumn id="33" xr3:uid="{92736A64-DAD0-4351-BE43-D25E80BAD5F1}" name="Bugt Line loss" dataDxfId="6" totalsRowDxfId="7"/>
    <tableColumn id="34" xr3:uid="{85777FF7-9842-4BE3-8EF4-2A239EA04550}" name="Bugt Reactive Power" dataDxfId="4" totalsRowDxfId="5"/>
    <tableColumn id="39" xr3:uid="{316E7A69-6464-42A0-977B-0D0C9E52627B}" name="CC*Bugt (MTD)" dataDxfId="2" totalsRowDxfId="3">
      <calculatedColumnFormula>SUMIF('Daily KPI'!$D:$D,$D2,'Daily KPI'!AS:AS)</calculatedColumnFormula>
    </tableColumn>
    <tableColumn id="40" xr3:uid="{D31FE466-F1CA-444F-B44B-D77971ECC009}" name="CC*Bugt (YTD)" dataDxfId="0" totalsRowDxfId="1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31" zoomScaleNormal="100" workbookViewId="0">
      <selection activeCell="B6" sqref="B6"/>
    </sheetView>
  </sheetViews>
  <sheetFormatPr defaultColWidth="9" defaultRowHeight="15"/>
  <cols>
    <col min="1" max="1" width="17" style="130" customWidth="1"/>
    <col min="2" max="2" width="19.125" style="131" bestFit="1" customWidth="1"/>
    <col min="3" max="3" width="13.875" style="131" customWidth="1"/>
    <col min="4" max="4" width="12.125" style="132" customWidth="1"/>
    <col min="5" max="5" width="13" style="130" customWidth="1"/>
    <col min="6" max="6" width="32.875" style="131" customWidth="1"/>
    <col min="7" max="7" width="18" style="131" hidden="1" customWidth="1"/>
    <col min="8" max="8" width="15.875" style="131" hidden="1" customWidth="1"/>
    <col min="9" max="9" width="18" style="131" hidden="1" customWidth="1"/>
    <col min="10" max="16384" width="9" style="131"/>
  </cols>
  <sheetData>
    <row r="1" spans="1:9" ht="3.95" hidden="1" customHeight="1"/>
    <row r="2" spans="1:9" ht="15.75" thickBot="1"/>
    <row r="3" spans="1:9" ht="15.75">
      <c r="A3" s="304" t="s">
        <v>0</v>
      </c>
      <c r="B3" s="305"/>
      <c r="C3" s="305"/>
      <c r="D3" s="305"/>
      <c r="E3" s="305"/>
      <c r="F3" s="306"/>
    </row>
    <row r="4" spans="1:9">
      <c r="A4" s="78" t="s">
        <v>1</v>
      </c>
      <c r="B4" s="250">
        <v>45839</v>
      </c>
      <c r="C4" s="80"/>
      <c r="D4" s="80"/>
      <c r="E4" s="80"/>
      <c r="F4" s="81"/>
    </row>
    <row r="5" spans="1:9">
      <c r="A5" s="78" t="s">
        <v>2</v>
      </c>
      <c r="B5" s="251">
        <v>45859</v>
      </c>
      <c r="C5" s="80"/>
      <c r="D5" s="80"/>
      <c r="E5" s="80"/>
      <c r="F5" s="81"/>
    </row>
    <row r="6" spans="1:9">
      <c r="A6" s="78" t="s">
        <v>3</v>
      </c>
      <c r="B6" s="127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63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47" t="s">
        <v>12</v>
      </c>
      <c r="H10" s="247" t="s">
        <v>13</v>
      </c>
      <c r="I10" s="248" t="s">
        <v>14</v>
      </c>
    </row>
    <row r="11" spans="1:9">
      <c r="A11" s="307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557.71199999999169</v>
      </c>
      <c r="E11" s="94">
        <f>D11/C11-1</f>
        <v>0.32453709922730867</v>
      </c>
      <c r="F11" s="252"/>
      <c r="G11" s="198">
        <f>_xlfn.XLOOKUP($B$5,'Daily KPI'!$A:$A,'Daily KPI'!$AS:$AS)/1000</f>
        <v>414.84305957890365</v>
      </c>
      <c r="H11" s="198">
        <f>_xlfn.XLOOKUP($B$4,'Modelling New'!$D:$D,'Modelling New'!$AM:$AM)/1000</f>
        <v>8711.704251156978</v>
      </c>
      <c r="I11" s="198">
        <f>_xlfn.XLOOKUP($B$4,'Modelling New'!$D:$D,'Modelling New'!$AN:$AN)/1000</f>
        <v>60742.976367084062</v>
      </c>
    </row>
    <row r="12" spans="1:9">
      <c r="A12" s="308"/>
      <c r="B12" s="95" t="s">
        <v>16</v>
      </c>
      <c r="C12" s="96">
        <f>MonthlyKPI!E4</f>
        <v>8842.298193710234</v>
      </c>
      <c r="D12" s="97">
        <f>MonthlyKPI!F4</f>
        <v>9186.6960000000072</v>
      </c>
      <c r="E12" s="98">
        <f>D12/C12-1</f>
        <v>3.8948902055209178E-2</v>
      </c>
      <c r="F12" s="253"/>
    </row>
    <row r="13" spans="1:9" ht="15.75" thickBot="1">
      <c r="A13" s="309"/>
      <c r="B13" s="100" t="s">
        <v>17</v>
      </c>
      <c r="C13" s="101">
        <f>AnnualKPI!E4</f>
        <v>68850.232222754159</v>
      </c>
      <c r="D13" s="102">
        <f>AnnualKPI!F4</f>
        <v>55086.839999999975</v>
      </c>
      <c r="E13" s="103">
        <f>D13/C13-1</f>
        <v>-0.19990335222435973</v>
      </c>
      <c r="F13" s="254"/>
    </row>
    <row r="14" spans="1:9">
      <c r="A14" s="307">
        <v>2</v>
      </c>
      <c r="B14" s="92" t="s">
        <v>18</v>
      </c>
      <c r="C14" s="188">
        <f>_xlfn.XLOOKUP($B$5,'Daily KPI'!$A:$A,'Daily KPI'!$AC:$AC)</f>
        <v>3.7967741935483872</v>
      </c>
      <c r="D14" s="189">
        <f>_xlfn.XLOOKUP($B$5,'Daily KPI'!$A:$A,'Daily KPI'!$I:$I)</f>
        <v>5.3453390666666625</v>
      </c>
      <c r="E14" s="94">
        <f t="shared" ref="E14:E25" si="0">(D14-C14)/(C14)</f>
        <v>0.4078633055791549</v>
      </c>
      <c r="F14" s="252"/>
    </row>
    <row r="15" spans="1:9">
      <c r="A15" s="308"/>
      <c r="B15" s="95" t="s">
        <v>19</v>
      </c>
      <c r="C15" s="190">
        <f>MonthlyKPI!C4</f>
        <v>79.732258064516131</v>
      </c>
      <c r="D15" s="191">
        <f>MonthlyKPI!D4</f>
        <v>85.309541508341979</v>
      </c>
      <c r="E15" s="98">
        <f t="shared" si="0"/>
        <v>6.995015040603686E-2</v>
      </c>
      <c r="F15" s="253"/>
    </row>
    <row r="16" spans="1:9" ht="15.75" thickBot="1">
      <c r="A16" s="309"/>
      <c r="B16" s="100" t="s">
        <v>20</v>
      </c>
      <c r="C16" s="192">
        <f>AnnualKPI!C4</f>
        <v>656.63225806451612</v>
      </c>
      <c r="D16" s="193">
        <f>AnnualKPI!D4</f>
        <v>597.45027203334178</v>
      </c>
      <c r="E16" s="103">
        <f t="shared" si="0"/>
        <v>-9.0129574513470728E-2</v>
      </c>
      <c r="F16" s="254"/>
    </row>
    <row r="17" spans="1:13">
      <c r="A17" s="307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0.81461689211966015</v>
      </c>
      <c r="E17" s="94">
        <f t="shared" si="0"/>
        <v>-4.5082899306420753E-2</v>
      </c>
      <c r="F17" s="252"/>
    </row>
    <row r="18" spans="1:13">
      <c r="A18" s="308"/>
      <c r="B18" s="95" t="s">
        <v>22</v>
      </c>
      <c r="C18" s="106">
        <f>MonthlyKPI!M4</f>
        <v>0.85307603301688106</v>
      </c>
      <c r="D18" s="107">
        <f>MonthlyKPI!N4</f>
        <v>0.84077621724158269</v>
      </c>
      <c r="E18" s="98">
        <f t="shared" si="0"/>
        <v>-1.4418194040454279E-2</v>
      </c>
      <c r="F18" s="253"/>
    </row>
    <row r="19" spans="1:13" ht="15.75" thickBot="1">
      <c r="A19" s="309"/>
      <c r="B19" s="100" t="s">
        <v>23</v>
      </c>
      <c r="C19" s="108">
        <f>AnnualKPI!M4</f>
        <v>0.85307603301688106</v>
      </c>
      <c r="D19" s="109">
        <f>AnnualKPI!N4</f>
        <v>0.71988774117044863</v>
      </c>
      <c r="E19" s="103">
        <f t="shared" si="0"/>
        <v>-0.15612710554698803</v>
      </c>
      <c r="F19" s="254"/>
    </row>
    <row r="20" spans="1:13">
      <c r="A20" s="307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1</v>
      </c>
      <c r="E20" s="94">
        <f t="shared" si="0"/>
        <v>5.0251256281407079E-3</v>
      </c>
      <c r="F20" s="252"/>
    </row>
    <row r="21" spans="1:13" ht="12" customHeight="1">
      <c r="A21" s="308"/>
      <c r="B21" s="95" t="s">
        <v>25</v>
      </c>
      <c r="C21" s="107">
        <f>_xlfn.XLOOKUP($B$4,'Modelling New'!$D:$D,'Modelling New'!$AE:$AE,0)</f>
        <v>0.995</v>
      </c>
      <c r="D21" s="107">
        <f>MonthlyKPI!L4</f>
        <v>0.99510667846526046</v>
      </c>
      <c r="E21" s="98">
        <f t="shared" si="0"/>
        <v>1.0721453795021907E-4</v>
      </c>
      <c r="F21" s="253"/>
    </row>
    <row r="22" spans="1:13" ht="15.75" thickBot="1">
      <c r="A22" s="309"/>
      <c r="B22" s="100" t="s">
        <v>26</v>
      </c>
      <c r="C22" s="109">
        <f>_xlfn.XLOOKUP($B$4,'Modelling New'!$D:$D,'Modelling New'!$AE:$AE,0)</f>
        <v>0.995</v>
      </c>
      <c r="D22" s="109">
        <f>AnnualKPI!L4</f>
        <v>0.98705458917767286</v>
      </c>
      <c r="E22" s="103">
        <f t="shared" si="0"/>
        <v>-7.9853375098765198E-3</v>
      </c>
      <c r="F22" s="254"/>
      <c r="M22" s="313" t="s">
        <v>27</v>
      </c>
    </row>
    <row r="23" spans="1:13">
      <c r="A23" s="307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52"/>
      <c r="I23" s="131">
        <v>0</v>
      </c>
    </row>
    <row r="24" spans="1:13">
      <c r="A24" s="308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53"/>
    </row>
    <row r="25" spans="1:13" ht="15.75" thickBot="1">
      <c r="A25" s="309"/>
      <c r="B25" s="100" t="s">
        <v>30</v>
      </c>
      <c r="C25" s="109">
        <f>_xlfn.XLOOKUP($B$4,'Modelling New'!$D:$D,'Modelling New'!$AF:$AF,0)</f>
        <v>0.995</v>
      </c>
      <c r="D25" s="109">
        <f>AnnualKPI!J4</f>
        <v>0.9892837856837422</v>
      </c>
      <c r="E25" s="103">
        <f t="shared" si="0"/>
        <v>-5.7449390113143671E-3</v>
      </c>
      <c r="F25" s="254"/>
    </row>
    <row r="26" spans="1:13">
      <c r="A26" s="307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0.17875384615384352</v>
      </c>
      <c r="E26" s="94">
        <f t="shared" ref="E26:E28" si="1">(D26-C26)/(C26)</f>
        <v>0.32453709922730872</v>
      </c>
      <c r="F26" s="252"/>
    </row>
    <row r="27" spans="1:13">
      <c r="A27" s="308"/>
      <c r="B27" s="95" t="s">
        <v>32</v>
      </c>
      <c r="C27" s="106">
        <f>MonthlyKPI!G4</f>
        <v>0.13495571113721358</v>
      </c>
      <c r="D27" s="107">
        <f>MonthlyKPI!H4</f>
        <v>0.14021208791208803</v>
      </c>
      <c r="E27" s="98">
        <f t="shared" si="1"/>
        <v>3.8948902055209289E-2</v>
      </c>
      <c r="F27" s="253"/>
    </row>
    <row r="28" spans="1:13" ht="15.75" thickBot="1">
      <c r="A28" s="309"/>
      <c r="B28" s="100" t="s">
        <v>33</v>
      </c>
      <c r="C28" s="108">
        <f>AnnualKPI!G4</f>
        <v>0.19703019752390727</v>
      </c>
      <c r="D28" s="109">
        <f>AnnualKPI!H4</f>
        <v>0.15764320054945047</v>
      </c>
      <c r="E28" s="103">
        <f t="shared" si="1"/>
        <v>-0.1999033522243597</v>
      </c>
      <c r="F28" s="254"/>
    </row>
    <row r="30" spans="1:13" ht="15.75" thickBot="1"/>
    <row r="31" spans="1:13" ht="15.75">
      <c r="A31" s="304" t="s">
        <v>34</v>
      </c>
      <c r="B31" s="305"/>
      <c r="C31" s="305"/>
      <c r="D31" s="305"/>
      <c r="E31" s="305"/>
      <c r="F31" s="306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45859</v>
      </c>
      <c r="C33" s="80"/>
      <c r="D33" s="80"/>
      <c r="E33" s="80"/>
      <c r="F33" s="81"/>
    </row>
    <row r="34" spans="1:6">
      <c r="A34" s="78" t="s">
        <v>3</v>
      </c>
      <c r="B34" s="127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6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65" t="s">
        <v>36</v>
      </c>
      <c r="B39" s="95" t="s">
        <v>16</v>
      </c>
      <c r="C39" s="96">
        <f>$C$12*_xlfn.XLOOKUP(A39,'Basic Data'!AE:AE,'Basic Data'!AH:AH)*1000</f>
        <v>3673252.1818285342</v>
      </c>
      <c r="D39" s="96">
        <f>SUMIFS(RD[O2R15],RD[Month Year],$B$32)</f>
        <v>3690034.8</v>
      </c>
      <c r="E39" s="98">
        <f>D39/C39-1</f>
        <v>4.5688717628722397E-3</v>
      </c>
      <c r="F39" s="99"/>
    </row>
    <row r="40" spans="1:6">
      <c r="A40" s="165" t="s">
        <v>37</v>
      </c>
      <c r="B40" s="95" t="s">
        <v>16</v>
      </c>
      <c r="C40" s="96">
        <f>$C$12*_xlfn.XLOOKUP(A40,'Basic Data'!AE:AE,'Basic Data'!AH:AH)*1000</f>
        <v>547375.15127585945</v>
      </c>
      <c r="D40" s="96">
        <f>SUMIFS(RD[O2R17],RD[Month Year],$B$32)</f>
        <v>540056.79999999993</v>
      </c>
      <c r="E40" s="98">
        <f t="shared" ref="E40:E43" si="2">D40/C40-1</f>
        <v>-1.336990043994768E-2</v>
      </c>
      <c r="F40" s="99"/>
    </row>
    <row r="41" spans="1:6">
      <c r="A41" s="165" t="s">
        <v>38</v>
      </c>
      <c r="B41" s="95" t="s">
        <v>16</v>
      </c>
      <c r="C41" s="96">
        <f>$C$12*_xlfn.XLOOKUP(A41,'Basic Data'!AE:AE,'Basic Data'!AH:AH)*1000</f>
        <v>538982.06562296301</v>
      </c>
      <c r="D41" s="96">
        <f>SUMIFS(RD[O2R11],RD[Month Year],$B$32)</f>
        <v>536467.39999999991</v>
      </c>
      <c r="E41" s="98">
        <f t="shared" si="2"/>
        <v>-4.6655831118548319E-3</v>
      </c>
      <c r="F41" s="99"/>
    </row>
    <row r="42" spans="1:6">
      <c r="A42" s="165" t="s">
        <v>39</v>
      </c>
      <c r="B42" s="95" t="s">
        <v>16</v>
      </c>
      <c r="C42" s="96">
        <f>$C$12*_xlfn.XLOOKUP(A42,'Basic Data'!AE:AE,'Basic Data'!AH:AH)*1000</f>
        <v>216760.55990524037</v>
      </c>
      <c r="D42" s="96">
        <f>SUMIFS(RD[O2R6],RD[Month Year],$B$32)</f>
        <v>218180.9</v>
      </c>
      <c r="E42" s="98">
        <f t="shared" si="2"/>
        <v>6.5525762407172561E-3</v>
      </c>
      <c r="F42" s="99"/>
    </row>
    <row r="43" spans="1:6">
      <c r="A43" s="165" t="s">
        <v>40</v>
      </c>
      <c r="B43" s="95" t="s">
        <v>16</v>
      </c>
      <c r="C43" s="96">
        <f>$C$12*_xlfn.XLOOKUP(A43,'Basic Data'!AE:AE,'Basic Data'!AH:AH)*1000</f>
        <v>1048040.9563095123</v>
      </c>
      <c r="D43" s="96">
        <f>SUMIFS(RD[O2R12],RD[Month Year],$B$32)</f>
        <v>1042672</v>
      </c>
      <c r="E43" s="98">
        <f t="shared" si="2"/>
        <v>-5.1228497103950055E-3</v>
      </c>
      <c r="F43" s="99"/>
    </row>
    <row r="44" spans="1:6">
      <c r="A44" s="165" t="s">
        <v>41</v>
      </c>
      <c r="B44" s="95" t="s">
        <v>16</v>
      </c>
      <c r="C44" s="96">
        <f>$C$12*_xlfn.XLOOKUP(A44,'Basic Data'!AE:AE,'Basic Data'!AH:AH)*1000</f>
        <v>1909244.527650198</v>
      </c>
      <c r="D44" s="96">
        <f>SUMIFS(RD[O2R14],RD[Month Year],$B$32)</f>
        <v>2360766.1999999997</v>
      </c>
      <c r="E44" s="98">
        <f t="shared" ref="E44" si="3">D44/C44-1</f>
        <v>0.23649232238759477</v>
      </c>
      <c r="F44" s="99"/>
    </row>
    <row r="45" spans="1:6">
      <c r="A45" s="165" t="s">
        <v>42</v>
      </c>
      <c r="B45" s="95" t="s">
        <v>16</v>
      </c>
      <c r="C45" s="96">
        <f>$C$12*_xlfn.XLOOKUP(A45,'Basic Data'!AE:AE,'Basic Data'!AH:AH)*1000</f>
        <v>452496.79172137717</v>
      </c>
      <c r="D45" s="96">
        <f>SUMIFS(RD[O2R24],RD[Month Year],$B$32)</f>
        <v>472095.10000000003</v>
      </c>
      <c r="E45" s="98">
        <f t="shared" ref="E45:E46" si="4">D45/C45-1</f>
        <v>4.331148559985909E-2</v>
      </c>
      <c r="F45" s="99"/>
    </row>
    <row r="46" spans="1:6">
      <c r="A46" s="165" t="s">
        <v>43</v>
      </c>
      <c r="B46" s="95" t="s">
        <v>16</v>
      </c>
      <c r="C46" s="96">
        <f>$C$12*_xlfn.XLOOKUP(A46,'Basic Data'!AE:AE,'Basic Data'!AH:AH)*1000</f>
        <v>456145.9593965495</v>
      </c>
      <c r="D46" s="96">
        <f>SUMIFS(RD[O2R26],RD[Month Year],$B$32)</f>
        <v>522280.50000000006</v>
      </c>
      <c r="E46" s="98">
        <f t="shared" si="4"/>
        <v>0.14498547940870088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89" type="noConversion"/>
  <conditionalFormatting sqref="E3:E9 E47:E51">
    <cfRule type="cellIs" dxfId="740" priority="24" operator="greaterThan">
      <formula>0.01</formula>
    </cfRule>
    <cfRule type="cellIs" dxfId="739" priority="25" operator="lessThan">
      <formula>-0.005</formula>
    </cfRule>
    <cfRule type="cellIs" dxfId="738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737" priority="3" operator="greaterThan">
      <formula>0.01</formula>
    </cfRule>
    <cfRule type="cellIs" dxfId="736" priority="4" operator="lessThan">
      <formula>-0.005</formula>
    </cfRule>
    <cfRule type="cellIs" dxfId="735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workbookViewId="0">
      <selection activeCell="H5" sqref="H5"/>
    </sheetView>
  </sheetViews>
  <sheetFormatPr defaultColWidth="8.875" defaultRowHeight="15"/>
  <cols>
    <col min="1" max="1" width="11" customWidth="1"/>
    <col min="2" max="2" width="10.125" customWidth="1"/>
    <col min="3" max="3" width="14.125" customWidth="1"/>
    <col min="4" max="5" width="13.125" customWidth="1"/>
    <col min="6" max="6" width="14" customWidth="1"/>
    <col min="7" max="7" width="9.875" customWidth="1"/>
    <col min="8" max="8" width="10.125" customWidth="1"/>
    <col min="10" max="10" width="9.125" customWidth="1"/>
    <col min="11" max="11" width="9" customWidth="1"/>
    <col min="12" max="12" width="9.125" customWidth="1"/>
    <col min="13" max="13" width="9.875" customWidth="1"/>
    <col min="14" max="14" width="10.125" customWidth="1"/>
  </cols>
  <sheetData>
    <row r="1" spans="1:14">
      <c r="A1" s="63" t="s">
        <v>44</v>
      </c>
      <c r="B1" s="64">
        <f>O2Summary!B5</f>
        <v>45859</v>
      </c>
      <c r="C1" s="79">
        <f>O2Summary!B4</f>
        <v>45839</v>
      </c>
    </row>
    <row r="2" spans="1:14" ht="21">
      <c r="A2" s="310" t="s">
        <v>45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9">
        <f>YEAR(B1)+IF(MONTH(B1)&gt;=4,1,0)</f>
        <v>2026</v>
      </c>
      <c r="B4" s="69">
        <f>B1-(O2Summary!B7)+1</f>
        <v>112</v>
      </c>
      <c r="C4" s="70">
        <f>_xlfn.XLOOKUP($C$1,'Modelling New'!$D:$D,'Modelling New'!$S:$S)</f>
        <v>656.63225806451612</v>
      </c>
      <c r="D4" s="71">
        <f>SUMIFS('Daily KPI'!$I:$I,'Daily KPI'!$A:$A,"&gt;="&amp;O2Summary!$B$7,'Daily KPI'!$A:$A,"&lt;="&amp;AnnualKPI!$B$1)</f>
        <v>597.45027203334178</v>
      </c>
      <c r="E4" s="69">
        <f>_xlfn.XLOOKUP($C$1,'Modelling New'!$D:$D,'Modelling New'!$V:$V,0)</f>
        <v>68850.232222754159</v>
      </c>
      <c r="F4" s="72">
        <f>SUMIFS('Daily KPI'!$AA:$AA,'Daily KPI'!$A:$A,"&gt;="&amp;O2Summary!$B$7,'Daily KPI'!$A:$A,"&lt;="&amp;AnnualKPI!$B$1)/1000</f>
        <v>55086.839999999975</v>
      </c>
      <c r="G4" s="73">
        <f>_xlfn.XLOOKUP($C$1,'Modelling New'!$D:$D,'Modelling New'!$Y:$Y,0)</f>
        <v>0.19703019752390727</v>
      </c>
      <c r="H4" s="74">
        <f>F4/(24*B4)/(_xlfn.XLOOKUP($B$1,'Daily KPI'!$A:$A,'Daily KPI'!$AR:$AR))</f>
        <v>0.15764320054945047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0.9892837856837422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0.98705458917767286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0.71988774117044863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75" defaultRowHeight="29.25" customHeight="1"/>
  <cols>
    <col min="1" max="1" width="18.125" style="5" customWidth="1"/>
    <col min="2" max="2" width="9.875" bestFit="1" customWidth="1"/>
    <col min="3" max="3" width="12.125" customWidth="1"/>
    <col min="4" max="4" width="12" customWidth="1"/>
    <col min="5" max="6" width="14.875" customWidth="1"/>
    <col min="7" max="12" width="12.125" customWidth="1"/>
    <col min="13" max="13" width="11.125" customWidth="1"/>
    <col min="14" max="14" width="13.875" customWidth="1"/>
    <col min="15" max="20" width="11.125" customWidth="1"/>
  </cols>
  <sheetData>
    <row r="1" spans="1:15" ht="29.25" customHeight="1">
      <c r="A1" s="128" t="s">
        <v>44</v>
      </c>
      <c r="B1" s="64">
        <f>O2Summary!B5</f>
        <v>45859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10" t="s">
        <v>0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21</v>
      </c>
      <c r="C4" s="70">
        <f>_xlfn.XLOOKUP($A$4,'Modelling New'!$D:$D,'Modelling New'!$R:$R,0)</f>
        <v>79.732258064516131</v>
      </c>
      <c r="D4" s="71">
        <f>SUMIF('Daily KPI'!$D:$D,$A$4,'Daily KPI'!$I:$I)</f>
        <v>85.309541508341979</v>
      </c>
      <c r="E4" s="69">
        <f>_xlfn.XLOOKUP($A$4,'Modelling New'!$D:$D,'Modelling New'!$U:$U,0)</f>
        <v>8842.298193710234</v>
      </c>
      <c r="F4" s="72">
        <f>SUMIFS('Daily KPI'!$AA:$AA,'Daily KPI'!$D:$D,"&gt;="&amp;$A$4,'Daily KPI'!$D:$D,"&lt;="&amp;MonthlyKPI!$B$1)/1000</f>
        <v>9186.6960000000072</v>
      </c>
      <c r="G4" s="73">
        <f>_xlfn.XLOOKUP($A$4,'Modelling New'!$D:$D,'Modelling New'!$X:$X,0)</f>
        <v>0.13495571113721358</v>
      </c>
      <c r="H4" s="75">
        <f>F4/(24*B4)/(_xlfn.XLOOKUP($B$1,'Daily KPI'!$A:$A,'Daily KPI'!$AR:$AR))</f>
        <v>0.14021208791208803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0.99510667846526046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0.84077621724158269</v>
      </c>
      <c r="O4" s="74" t="str">
        <f>IFERROR(AVERAGEIF('Daily KPI'!$D:$D,$A$4,'Daily KPI'!$V:$V),"")</f>
        <v/>
      </c>
    </row>
    <row r="6" spans="1:15" ht="29.25" customHeight="1">
      <c r="A6" s="128" t="s">
        <v>66</v>
      </c>
      <c r="B6" s="64">
        <f>B7-6</f>
        <v>45853</v>
      </c>
      <c r="D6" s="27"/>
      <c r="F6" s="27"/>
    </row>
    <row r="7" spans="1:15" ht="29.25" customHeight="1">
      <c r="A7" s="128" t="s">
        <v>67</v>
      </c>
      <c r="B7" s="64">
        <f>B1</f>
        <v>45859</v>
      </c>
    </row>
    <row r="8" spans="1:15" ht="29.25" customHeight="1">
      <c r="A8" s="310" t="s">
        <v>0</v>
      </c>
      <c r="B8" s="311"/>
      <c r="C8" s="311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37.197485400006947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3970.080000000004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0.18178021978021996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1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0.83330570920525981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R47" activePane="bottomRight" state="frozen"/>
      <selection pane="bottomRight" activeCell="W65" sqref="W65"/>
      <selection pane="bottomLeft" activeCell="AB39" sqref="AB39"/>
      <selection pane="topRight" activeCell="AB39" sqref="AB39"/>
    </sheetView>
  </sheetViews>
  <sheetFormatPr defaultRowHeight="15"/>
  <cols>
    <col min="1" max="1" width="10.125" bestFit="1" customWidth="1"/>
    <col min="2" max="5" width="9" customWidth="1"/>
    <col min="6" max="9" width="10.125" customWidth="1"/>
    <col min="10" max="12" width="11.125" customWidth="1"/>
    <col min="13" max="13" width="15.125" bestFit="1" customWidth="1"/>
    <col min="14" max="36" width="11.125" customWidth="1"/>
    <col min="37" max="39" width="11.125" style="257" customWidth="1"/>
    <col min="40" max="40" width="11.125" style="202" customWidth="1"/>
    <col min="41" max="43" width="11.125" customWidth="1"/>
    <col min="44" max="45" width="11.125" style="235" customWidth="1"/>
  </cols>
  <sheetData>
    <row r="1" spans="1:45" ht="60">
      <c r="A1" s="225" t="s">
        <v>68</v>
      </c>
      <c r="B1" s="226" t="s">
        <v>69</v>
      </c>
      <c r="C1" s="226" t="s">
        <v>70</v>
      </c>
      <c r="D1" s="226" t="s">
        <v>71</v>
      </c>
      <c r="E1" s="226" t="s">
        <v>47</v>
      </c>
      <c r="F1" s="227" t="s">
        <v>72</v>
      </c>
      <c r="G1" s="227" t="s">
        <v>73</v>
      </c>
      <c r="H1" s="227" t="s">
        <v>74</v>
      </c>
      <c r="I1" s="227" t="s">
        <v>75</v>
      </c>
      <c r="J1" s="227" t="s">
        <v>76</v>
      </c>
      <c r="K1" s="227" t="s">
        <v>77</v>
      </c>
      <c r="L1" s="227" t="s">
        <v>78</v>
      </c>
      <c r="M1" s="227" t="s">
        <v>79</v>
      </c>
      <c r="N1" s="227" t="s">
        <v>80</v>
      </c>
      <c r="O1" s="227" t="s">
        <v>81</v>
      </c>
      <c r="P1" s="227" t="s">
        <v>82</v>
      </c>
      <c r="Q1" s="227" t="s">
        <v>83</v>
      </c>
      <c r="R1" s="227" t="s">
        <v>84</v>
      </c>
      <c r="S1" s="227" t="s">
        <v>85</v>
      </c>
      <c r="T1" s="227" t="s">
        <v>86</v>
      </c>
      <c r="U1" s="227" t="s">
        <v>87</v>
      </c>
      <c r="V1" s="227" t="s">
        <v>88</v>
      </c>
      <c r="W1" s="227" t="s">
        <v>89</v>
      </c>
      <c r="X1" s="227" t="s">
        <v>90</v>
      </c>
      <c r="Y1" s="227" t="s">
        <v>91</v>
      </c>
      <c r="Z1" s="227" t="s">
        <v>92</v>
      </c>
      <c r="AA1" s="227" t="s">
        <v>93</v>
      </c>
      <c r="AB1" s="227" t="s">
        <v>94</v>
      </c>
      <c r="AC1" s="227" t="s">
        <v>95</v>
      </c>
      <c r="AD1" s="227" t="s">
        <v>96</v>
      </c>
      <c r="AE1" s="227" t="s">
        <v>97</v>
      </c>
      <c r="AF1" s="227" t="s">
        <v>98</v>
      </c>
      <c r="AG1" s="227" t="s">
        <v>99</v>
      </c>
      <c r="AH1" s="227" t="s">
        <v>100</v>
      </c>
      <c r="AI1" s="227" t="s">
        <v>101</v>
      </c>
      <c r="AJ1" s="227" t="s">
        <v>102</v>
      </c>
      <c r="AK1" s="255" t="s">
        <v>103</v>
      </c>
      <c r="AL1" s="255" t="s">
        <v>104</v>
      </c>
      <c r="AM1" s="255" t="s">
        <v>105</v>
      </c>
      <c r="AN1" s="228" t="s">
        <v>106</v>
      </c>
      <c r="AO1" s="227" t="s">
        <v>107</v>
      </c>
      <c r="AP1" s="227" t="s">
        <v>108</v>
      </c>
      <c r="AQ1" s="227" t="s">
        <v>109</v>
      </c>
      <c r="AR1" s="224" t="s">
        <v>110</v>
      </c>
      <c r="AS1" s="224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29">
        <f>Table13[[#This Row],[Date]]-DAY(Table13[[#This Row],[Date]])+1</f>
        <v>45717</v>
      </c>
      <c r="E2" s="9">
        <f t="shared" ref="E2:E39" si="0">DAY(EOMONTH(A2,0))</f>
        <v>31</v>
      </c>
      <c r="F2" s="199">
        <f>IFERROR(_xlfn.XLOOKUP($A2,Input_Raw!$A:$A,Input_Raw!$FC:$FC),"")</f>
        <v>11.549999999999999</v>
      </c>
      <c r="G2" s="200">
        <f>IFERROR(_xlfn.XLOOKUP($A2,Input_Raw!$A:$A,Input_Raw!$CY:$CY),"")</f>
        <v>6.9921496000000012</v>
      </c>
      <c r="H2" s="200" t="str">
        <f>IFERROR(_xlfn.XLOOKUP($A2,Input_Raw!$A:$A,Input_Raw!$DA:$DA),"")</f>
        <v/>
      </c>
      <c r="I2" s="200">
        <f>IFERROR(_xlfn.XLOOKUP($A2,Input_Raw!$A:$A,Input_Raw!$CX:$CX),"")</f>
        <v>5.5478074666666668</v>
      </c>
      <c r="J2" s="200">
        <f>IFERROR(_xlfn.XLOOKUP($A2,Input_Raw!$A:$A,Input_Raw!$CZ:$CZ),"")</f>
        <v>0.89155528333333256</v>
      </c>
      <c r="K2" s="201">
        <f>IFERROR(_xlfn.XLOOKUP($A2,Input_Raw!$A:$A,Input_Raw!$DB:$DB),"")</f>
        <v>29.428501118568214</v>
      </c>
      <c r="L2" s="201">
        <f>IFERROR(_xlfn.XLOOKUP($A2,Input_Raw!$A:$A,Input_Raw!$DC:$DC),"")</f>
        <v>36.839984340044779</v>
      </c>
      <c r="M2" s="200">
        <f>IFERROR(_xlfn.XLOOKUP($A2,Input_Raw!$A:$A,Input_Raw!$DF:$DF),"")</f>
        <v>0.77800000000000002</v>
      </c>
      <c r="N2" s="200">
        <f>IFERROR(_xlfn.XLOOKUP($A2,Input_Raw!$A:$A,Input_Raw!$DG:$DG),"")</f>
        <v>2.109</v>
      </c>
      <c r="O2" s="230" t="str">
        <f>IFERROR(1-(SUMIF(Plant_BD!$B:$B,$A2,Plant_BD!$AL:$AL)/($AA2+SUMIF(Plant_BD!$B:$B,$A2,Plant_BD!$AL:$AL))),"")</f>
        <v/>
      </c>
      <c r="P2" s="230"/>
      <c r="Q2" s="231" t="str">
        <f>IFERROR(1-(SUMIF(Grid_BD!$B:$B,$A2,Grid_BD!$V:$V)/($AA2+SUMIF(Grid_BD!$B:$B,$A2,Grid_BD!$V:$V))),"")</f>
        <v/>
      </c>
      <c r="R2" s="230" t="str">
        <f>IFERROR(1-(SUMIF(Grid_BD!$B:$B,$A2,Grid_BD!$V:$V)/($AA2+SUMIF(Grid_BD!$B:$B,$A2,Grid_BD!$V:$V))),"")</f>
        <v/>
      </c>
      <c r="S2" s="9"/>
      <c r="T2" s="231"/>
      <c r="U2" s="232" t="str">
        <f t="shared" ref="U2:U39" si="1">IFERROR(AA2/I2/AB2/1000,"")</f>
        <v/>
      </c>
      <c r="V2" s="232">
        <f>IFERROR(_xlfn.XLOOKUP($A2,Input_Raw!$A:$A,Input_Raw!$FG:$FG),"")</f>
        <v>0</v>
      </c>
      <c r="W2" s="233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85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33">
        <f>IFERROR(_xlfn.XLOOKUP($D2,'Modelling New'!$D:$D,'Modelling New'!O:O),"")</f>
        <v>0.81054022098673606</v>
      </c>
      <c r="AF2" s="233">
        <f>IFERROR(_xlfn.XLOOKUP($D2,'Modelling New'!$D:$D,'Modelling New'!W:W),"")</f>
        <v>0.23379291858031392</v>
      </c>
      <c r="AG2" s="233">
        <f>IFERROR(_xlfn.XLOOKUP($D2,'Modelling New'!$D:$D,'Modelling New'!AE:AE),"")</f>
        <v>0.995</v>
      </c>
      <c r="AH2" s="233">
        <f>IFERROR(_xlfn.XLOOKUP($D2,'Modelling New'!$D:$D,'Modelling New'!AF:AF),"")</f>
        <v>0.995</v>
      </c>
      <c r="AI2" s="9"/>
      <c r="AJ2" s="9"/>
      <c r="AK2" s="256"/>
      <c r="AL2" s="256"/>
      <c r="AM2" s="256"/>
      <c r="AN2" s="230"/>
      <c r="AO2" s="233"/>
      <c r="AP2" s="233"/>
      <c r="AQ2" s="233"/>
      <c r="AR2" s="234">
        <f>_xlfn.XLOOKUP(D2,'Modelling New'!$D:$D,'Modelling New'!$N:$N)</f>
        <v>136.82</v>
      </c>
      <c r="AS2" s="234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29">
        <f>Table13[[#This Row],[Date]]-DAY(Table13[[#This Row],[Date]])+1</f>
        <v>45717</v>
      </c>
      <c r="E3" s="9">
        <f t="shared" si="0"/>
        <v>31</v>
      </c>
      <c r="F3" s="199">
        <f>IFERROR(_xlfn.XLOOKUP($A3,Input_Raw!$A:$A,Input_Raw!$FC:$FC),"")</f>
        <v>11.533333333333331</v>
      </c>
      <c r="G3" s="185">
        <f>IFERROR(_xlfn.XLOOKUP($A3,Input_Raw!$A:$A,Input_Raw!$CY:$CY),"")</f>
        <v>6.67531885</v>
      </c>
      <c r="H3" s="185" t="str">
        <f>IFERROR(_xlfn.XLOOKUP($A3,Input_Raw!$A:$A,Input_Raw!$DA:$DA),"")</f>
        <v/>
      </c>
      <c r="I3" s="185">
        <f>IFERROR(_xlfn.XLOOKUP($A3,Input_Raw!$A:$A,Input_Raw!$CX:$CX),"")</f>
        <v>5.2804577833333326</v>
      </c>
      <c r="J3" s="185">
        <f>IFERROR(_xlfn.XLOOKUP($A3,Input_Raw!$A:$A,Input_Raw!$CZ:$CZ),"")</f>
        <v>0.85918861666666624</v>
      </c>
      <c r="K3" s="201">
        <f>IFERROR(_xlfn.XLOOKUP($A3,Input_Raw!$A:$A,Input_Raw!$DB:$DB),"")</f>
        <v>30.223930789707243</v>
      </c>
      <c r="L3" s="201">
        <f>IFERROR(_xlfn.XLOOKUP($A3,Input_Raw!$A:$A,Input_Raw!$DC:$DC),"")</f>
        <v>38.070228039041687</v>
      </c>
      <c r="M3" s="200">
        <f>IFERROR(_xlfn.XLOOKUP($A3,Input_Raw!$A:$A,Input_Raw!$DF:$DF),"")</f>
        <v>0.96656433007985842</v>
      </c>
      <c r="N3" s="200">
        <f>IFERROR(_xlfn.XLOOKUP($A3,Input_Raw!$A:$A,Input_Raw!$DG:$DG),"")</f>
        <v>2.6789999999999998</v>
      </c>
      <c r="O3" s="230">
        <f>IFERROR(1-(SUMIF(Plant_BD!$B:$B,$A3,Plant_BD!$AL:$AL)/($AA3+SUMIF(Plant_BD!$B:$B,$A3,Plant_BD!$AL:$AL))),"")</f>
        <v>1</v>
      </c>
      <c r="P3" s="230"/>
      <c r="Q3" s="231">
        <f>IFERROR(1-(SUMIF(Grid_BD!$B:$B,$A3,Grid_BD!$V:$V)/($AA3+SUMIF(Grid_BD!$B:$B,$A3,Grid_BD!$V:$V))),"")</f>
        <v>1</v>
      </c>
      <c r="R3" s="230">
        <f>IFERROR(1-(SUMIF(Grid_BD!$B:$B,$A3,Grid_BD!$V:$V)/($AA3+SUMIF(Grid_BD!$B:$B,$A3,Grid_BD!$V:$V))),"")</f>
        <v>1</v>
      </c>
      <c r="S3" s="9"/>
      <c r="T3" s="231"/>
      <c r="U3" s="232">
        <f t="shared" si="1"/>
        <v>0.92522437407661917</v>
      </c>
      <c r="V3" s="232">
        <f>IFERROR(_xlfn.XLOOKUP($A3,Input_Raw!$A:$A,Input_Raw!$FG:$FG),"")</f>
        <v>0</v>
      </c>
      <c r="W3" s="233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85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33">
        <f>IFERROR(_xlfn.XLOOKUP($D3,'Modelling New'!$D:$D,'Modelling New'!O:O),"")</f>
        <v>0.81054022098673606</v>
      </c>
      <c r="AF3" s="233">
        <f>IFERROR(_xlfn.XLOOKUP($D3,'Modelling New'!$D:$D,'Modelling New'!W:W),"")</f>
        <v>0.23379291858031392</v>
      </c>
      <c r="AG3" s="233">
        <f>IFERROR(_xlfn.XLOOKUP($D3,'Modelling New'!$D:$D,'Modelling New'!AE:AE),"")</f>
        <v>0.995</v>
      </c>
      <c r="AH3" s="233">
        <f>IFERROR(_xlfn.XLOOKUP($D3,'Modelling New'!$D:$D,'Modelling New'!AF:AF),"")</f>
        <v>0.995</v>
      </c>
      <c r="AI3" s="9"/>
      <c r="AJ3" s="9"/>
      <c r="AK3" s="256"/>
      <c r="AL3" s="256"/>
      <c r="AM3" s="256"/>
      <c r="AN3" s="230"/>
      <c r="AO3" s="233"/>
      <c r="AP3" s="233"/>
      <c r="AQ3" s="233"/>
      <c r="AR3" s="234">
        <f>_xlfn.XLOOKUP(D3,'Modelling New'!$D:$D,'Modelling New'!$N:$N)</f>
        <v>136.82</v>
      </c>
      <c r="AS3" s="234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29">
        <f>Table13[[#This Row],[Date]]-DAY(Table13[[#This Row],[Date]])+1</f>
        <v>45717</v>
      </c>
      <c r="E4" s="9">
        <f t="shared" si="0"/>
        <v>31</v>
      </c>
      <c r="F4" s="199">
        <f>IFERROR(_xlfn.XLOOKUP($A4,Input_Raw!$A:$A,Input_Raw!$FC:$FC),"")</f>
        <v>11.35</v>
      </c>
      <c r="G4" s="200">
        <f>IFERROR(_xlfn.XLOOKUP($A4,Input_Raw!$A:$A,Input_Raw!$CY:$CY),"")</f>
        <v>5.2572097833333382</v>
      </c>
      <c r="H4" s="200" t="str">
        <f>IFERROR(_xlfn.XLOOKUP($A4,Input_Raw!$A:$A,Input_Raw!$DA:$DA),"")</f>
        <v/>
      </c>
      <c r="I4" s="200">
        <f>IFERROR(_xlfn.XLOOKUP($A4,Input_Raw!$A:$A,Input_Raw!$CX:$CX),"")</f>
        <v>4.106817033333332</v>
      </c>
      <c r="J4" s="200">
        <f>IFERROR(_xlfn.XLOOKUP($A4,Input_Raw!$A:$A,Input_Raw!$CZ:$CZ),"")</f>
        <v>0.68373261666666718</v>
      </c>
      <c r="K4" s="201">
        <f>IFERROR(_xlfn.XLOOKUP($A4,Input_Raw!$A:$A,Input_Raw!$DB:$DB),"")</f>
        <v>31.031810897435843</v>
      </c>
      <c r="L4" s="201">
        <f>IFERROR(_xlfn.XLOOKUP($A4,Input_Raw!$A:$A,Input_Raw!$DC:$DC),"")</f>
        <v>38.522138621794817</v>
      </c>
      <c r="M4" s="200">
        <f>IFERROR(_xlfn.XLOOKUP($A4,Input_Raw!$A:$A,Input_Raw!$DF:$DF),"")</f>
        <v>0.99419631410256448</v>
      </c>
      <c r="N4" s="200">
        <f>IFERROR(_xlfn.XLOOKUP($A4,Input_Raw!$A:$A,Input_Raw!$DG:$DG),"")</f>
        <v>2.7240000000000002</v>
      </c>
      <c r="O4" s="230">
        <f>IFERROR(1-(SUMIF(Plant_BD!$B:$B,$A4,Plant_BD!$AL:$AL)/($AA4+SUMIF(Plant_BD!$B:$B,$A4,Plant_BD!$AL:$AL))),"")</f>
        <v>1</v>
      </c>
      <c r="P4" s="230"/>
      <c r="Q4" s="231">
        <f>IFERROR(1-(SUMIF(Grid_BD!$B:$B,$A4,Grid_BD!$V:$V)/($AA4+SUMIF(Grid_BD!$B:$B,$A4,Grid_BD!$V:$V))),"")</f>
        <v>1</v>
      </c>
      <c r="R4" s="230">
        <f>IFERROR(1-(SUMIF(Grid_BD!$B:$B,$A4,Grid_BD!$V:$V)/($AA4+SUMIF(Grid_BD!$B:$B,$A4,Grid_BD!$V:$V))),"")</f>
        <v>1</v>
      </c>
      <c r="S4" s="9"/>
      <c r="T4" s="231"/>
      <c r="U4" s="232">
        <f t="shared" si="1"/>
        <v>0.91581196201865378</v>
      </c>
      <c r="V4" s="232">
        <f>IFERROR(_xlfn.XLOOKUP($A4,Input_Raw!$A:$A,Input_Raw!$FG:$FG),"")</f>
        <v>0</v>
      </c>
      <c r="W4" s="233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85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33">
        <f>IFERROR(_xlfn.XLOOKUP($D4,'Modelling New'!$D:$D,'Modelling New'!O:O),"")</f>
        <v>0.81054022098673606</v>
      </c>
      <c r="AF4" s="233">
        <f>IFERROR(_xlfn.XLOOKUP($D4,'Modelling New'!$D:$D,'Modelling New'!W:W),"")</f>
        <v>0.23379291858031392</v>
      </c>
      <c r="AG4" s="233">
        <f>IFERROR(_xlfn.XLOOKUP($D4,'Modelling New'!$D:$D,'Modelling New'!AE:AE),"")</f>
        <v>0.995</v>
      </c>
      <c r="AH4" s="233">
        <f>IFERROR(_xlfn.XLOOKUP($D4,'Modelling New'!$D:$D,'Modelling New'!AF:AF),"")</f>
        <v>0.995</v>
      </c>
      <c r="AI4" s="9"/>
      <c r="AJ4" s="9"/>
      <c r="AK4" s="256"/>
      <c r="AL4" s="256"/>
      <c r="AM4" s="256"/>
      <c r="AN4" s="230"/>
      <c r="AO4" s="233"/>
      <c r="AP4" s="233"/>
      <c r="AQ4" s="233"/>
      <c r="AR4" s="234">
        <f>_xlfn.XLOOKUP(D4,'Modelling New'!$D:$D,'Modelling New'!$N:$N)</f>
        <v>136.82</v>
      </c>
      <c r="AS4" s="234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29">
        <f>Table13[[#This Row],[Date]]-DAY(Table13[[#This Row],[Date]])+1</f>
        <v>45748</v>
      </c>
      <c r="E5" s="9">
        <f t="shared" si="0"/>
        <v>30</v>
      </c>
      <c r="F5" s="199">
        <f>IFERROR(_xlfn.XLOOKUP($A5,Input_Raw!$A:$A,Input_Raw!$FC:$FC),"")</f>
        <v>10.566666666666666</v>
      </c>
      <c r="G5" s="185">
        <f>IFERROR(_xlfn.XLOOKUP($A5,Input_Raw!$A:$A,Input_Raw!$CY:$CY),"")</f>
        <v>2.214</v>
      </c>
      <c r="H5" s="185">
        <f>IFERROR(_xlfn.XLOOKUP($A5,Input_Raw!$A:$A,Input_Raw!$DA:$DA),"")</f>
        <v>0.40200000000000002</v>
      </c>
      <c r="I5" s="185">
        <f>IFERROR(_xlfn.XLOOKUP($A5,Input_Raw!$A:$A,Input_Raw!$CX:$CX),"")</f>
        <v>1.68</v>
      </c>
      <c r="J5" s="185">
        <f>IFERROR(_xlfn.XLOOKUP($A5,Input_Raw!$A:$A,Input_Raw!$CZ:$CZ),"")</f>
        <v>0.27400000000000002</v>
      </c>
      <c r="K5" s="201">
        <f>IFERROR(_xlfn.XLOOKUP($A5,Input_Raw!$A:$A,Input_Raw!$DB:$DB),"")</f>
        <v>30.347999999999999</v>
      </c>
      <c r="L5" s="201">
        <f>IFERROR(_xlfn.XLOOKUP($A5,Input_Raw!$A:$A,Input_Raw!$DC:$DC),"")</f>
        <v>37.567999999999998</v>
      </c>
      <c r="M5" s="200">
        <f>IFERROR(_xlfn.XLOOKUP($A5,Input_Raw!$A:$A,Input_Raw!$DF:$DF),"")</f>
        <v>0.66600000000000004</v>
      </c>
      <c r="N5" s="200">
        <f>IFERROR(_xlfn.XLOOKUP($A5,Input_Raw!$A:$A,Input_Raw!$DG:$DG),"")</f>
        <v>1.6919999999999999</v>
      </c>
      <c r="O5" s="230">
        <f>IFERROR(1-(SUMIF(Plant_BD!$B:$B,$A5,Plant_BD!$AL:$AL)/($AA5+SUMIF(Plant_BD!$B:$B,$A5,Plant_BD!$AL:$AL))),"")</f>
        <v>1</v>
      </c>
      <c r="P5" s="230"/>
      <c r="Q5" s="231">
        <f>IFERROR(1-(SUMIF(Grid_BD!$B:$B,$A5,Grid_BD!$V:$V)/($AA5+SUMIF(Grid_BD!$B:$B,$A5,Grid_BD!$V:$V))),"")</f>
        <v>1</v>
      </c>
      <c r="R5" s="230">
        <f>IFERROR(1-(SUMIF(Grid_BD!$B:$B,$A5,Grid_BD!$V:$V)/($AA5+SUMIF(Grid_BD!$B:$B,$A5,Grid_BD!$V:$V))),"")</f>
        <v>1</v>
      </c>
      <c r="S5" s="9"/>
      <c r="T5" s="231"/>
      <c r="U5" s="232">
        <f t="shared" si="1"/>
        <v>1.0285714285714285</v>
      </c>
      <c r="V5" s="232">
        <f>IFERROR(_xlfn.XLOOKUP($A5,Input_Raw!$A:$A,Input_Raw!$FG:$FG),"")</f>
        <v>0</v>
      </c>
      <c r="W5" s="233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85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33">
        <f>IFERROR(_xlfn.XLOOKUP($D5,'Modelling New'!$D:$D,'Modelling New'!O:O),"")</f>
        <v>0.76452024028227472</v>
      </c>
      <c r="AF5" s="233">
        <f>IFERROR(_xlfn.XLOOKUP($D5,'Modelling New'!$D:$D,'Modelling New'!W:W),"")</f>
        <v>0.22744477148397671</v>
      </c>
      <c r="AG5" s="233">
        <f>IFERROR(_xlfn.XLOOKUP($D5,'Modelling New'!$D:$D,'Modelling New'!AE:AE),"")</f>
        <v>0.995</v>
      </c>
      <c r="AH5" s="233">
        <f>IFERROR(_xlfn.XLOOKUP($D5,'Modelling New'!$D:$D,'Modelling New'!AF:AF),"")</f>
        <v>0.995</v>
      </c>
      <c r="AI5" s="9"/>
      <c r="AJ5" s="9"/>
      <c r="AK5" s="256"/>
      <c r="AL5" s="256"/>
      <c r="AM5" s="256"/>
      <c r="AN5" s="230"/>
      <c r="AO5" s="233"/>
      <c r="AP5" s="233"/>
      <c r="AQ5" s="233"/>
      <c r="AR5" s="234">
        <f>_xlfn.XLOOKUP(D5,'Modelling New'!$D:$D,'Modelling New'!$N:$N)</f>
        <v>130</v>
      </c>
      <c r="AS5" s="234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29">
        <f>Table13[[#This Row],[Date]]-DAY(Table13[[#This Row],[Date]])+1</f>
        <v>45748</v>
      </c>
      <c r="E6" s="9">
        <f t="shared" si="0"/>
        <v>30</v>
      </c>
      <c r="F6" s="199">
        <f>IFERROR(_xlfn.XLOOKUP($A6,Input_Raw!$A:$A,Input_Raw!$FC:$FC),"")</f>
        <v>10.416666666666666</v>
      </c>
      <c r="G6" s="200">
        <f>IFERROR(_xlfn.XLOOKUP($A6,Input_Raw!$A:$A,Input_Raw!$CY:$CY),"")</f>
        <v>4.0104408333333366</v>
      </c>
      <c r="H6" s="200">
        <f>IFERROR(_xlfn.XLOOKUP($A6,Input_Raw!$A:$A,Input_Raw!$DA:$DA),"")</f>
        <v>0.67438216666666695</v>
      </c>
      <c r="I6" s="200">
        <f>IFERROR(_xlfn.XLOOKUP($A6,Input_Raw!$A:$A,Input_Raw!$CX:$CX),"")</f>
        <v>3.0988523999999997</v>
      </c>
      <c r="J6" s="200">
        <f>IFERROR(_xlfn.XLOOKUP($A6,Input_Raw!$A:$A,Input_Raw!$CZ:$CZ),"")</f>
        <v>0.42088406666666633</v>
      </c>
      <c r="K6" s="201">
        <f>IFERROR(_xlfn.XLOOKUP($A6,Input_Raw!$A:$A,Input_Raw!$DB:$DB),"")</f>
        <v>28.203182692307703</v>
      </c>
      <c r="L6" s="201">
        <f>IFERROR(_xlfn.XLOOKUP($A6,Input_Raw!$A:$A,Input_Raw!$DC:$DC),"")</f>
        <v>36.144302884615364</v>
      </c>
      <c r="M6" s="200">
        <f>IFERROR(_xlfn.XLOOKUP($A6,Input_Raw!$A:$A,Input_Raw!$DF:$DF),"")</f>
        <v>1.461758653846152</v>
      </c>
      <c r="N6" s="200">
        <f>IFERROR(_xlfn.XLOOKUP($A6,Input_Raw!$A:$A,Input_Raw!$DG:$DG),"")</f>
        <v>2.88</v>
      </c>
      <c r="O6" s="230">
        <f>IFERROR(1-(SUMIF(Plant_BD!$B:$B,$A6,Plant_BD!$AL:$AL)/($AA6+SUMIF(Plant_BD!$B:$B,$A6,Plant_BD!$AL:$AL))),"")</f>
        <v>1</v>
      </c>
      <c r="P6" s="230"/>
      <c r="Q6" s="231">
        <f>IFERROR(1-(SUMIF(Grid_BD!$B:$B,$A6,Grid_BD!$V:$V)/($AA6+SUMIF(Grid_BD!$B:$B,$A6,Grid_BD!$V:$V))),"")</f>
        <v>1</v>
      </c>
      <c r="R6" s="230">
        <f>IFERROR(1-(SUMIF(Grid_BD!$B:$B,$A6,Grid_BD!$V:$V)/($AA6+SUMIF(Grid_BD!$B:$B,$A6,Grid_BD!$V:$V))),"")</f>
        <v>1</v>
      </c>
      <c r="S6" s="9"/>
      <c r="T6" s="231"/>
      <c r="U6" s="232">
        <f t="shared" si="1"/>
        <v>1.0098583791392166</v>
      </c>
      <c r="V6" s="232">
        <f>IFERROR(_xlfn.XLOOKUP($A6,Input_Raw!$A:$A,Input_Raw!$FG:$FG),"")</f>
        <v>0</v>
      </c>
      <c r="W6" s="233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85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33">
        <f>IFERROR(_xlfn.XLOOKUP($D6,'Modelling New'!$D:$D,'Modelling New'!O:O),"")</f>
        <v>0.76452024028227472</v>
      </c>
      <c r="AF6" s="233">
        <f>IFERROR(_xlfn.XLOOKUP($D6,'Modelling New'!$D:$D,'Modelling New'!W:W),"")</f>
        <v>0.22744477148397671</v>
      </c>
      <c r="AG6" s="233">
        <f>IFERROR(_xlfn.XLOOKUP($D6,'Modelling New'!$D:$D,'Modelling New'!AE:AE),"")</f>
        <v>0.995</v>
      </c>
      <c r="AH6" s="233">
        <f>IFERROR(_xlfn.XLOOKUP($D6,'Modelling New'!$D:$D,'Modelling New'!AF:AF),"")</f>
        <v>0.995</v>
      </c>
      <c r="AI6" s="9"/>
      <c r="AJ6" s="9"/>
      <c r="AK6" s="256"/>
      <c r="AL6" s="256"/>
      <c r="AM6" s="256"/>
      <c r="AN6" s="230"/>
      <c r="AO6" s="233"/>
      <c r="AP6" s="233"/>
      <c r="AQ6" s="233"/>
      <c r="AR6" s="234">
        <f>_xlfn.XLOOKUP(D6,'Modelling New'!$D:$D,'Modelling New'!$N:$N)</f>
        <v>130</v>
      </c>
      <c r="AS6" s="234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29">
        <f>Table13[[#This Row],[Date]]-DAY(Table13[[#This Row],[Date]])+1</f>
        <v>45748</v>
      </c>
      <c r="E7" s="9">
        <f t="shared" si="0"/>
        <v>30</v>
      </c>
      <c r="F7" s="199">
        <f>IFERROR(_xlfn.XLOOKUP($A7,Input_Raw!$A:$A,Input_Raw!$FC:$FC),"")</f>
        <v>10.083333333333334</v>
      </c>
      <c r="G7" s="185">
        <f>IFERROR(_xlfn.XLOOKUP($A7,Input_Raw!$A:$A,Input_Raw!$CY:$CY),"")</f>
        <v>4.3913989166666703</v>
      </c>
      <c r="H7" s="185">
        <f>IFERROR(_xlfn.XLOOKUP($A7,Input_Raw!$A:$A,Input_Raw!$DA:$DA),"")</f>
        <v>0.74058401666666573</v>
      </c>
      <c r="I7" s="185">
        <f>IFERROR(_xlfn.XLOOKUP($A7,Input_Raw!$A:$A,Input_Raw!$CX:$CX),"")</f>
        <v>4.5550656999999966</v>
      </c>
      <c r="J7" s="185">
        <f>IFERROR(_xlfn.XLOOKUP($A7,Input_Raw!$A:$A,Input_Raw!$CZ:$CZ),"")</f>
        <v>0.50570113333333389</v>
      </c>
      <c r="K7" s="201">
        <f>IFERROR(_xlfn.XLOOKUP($A7,Input_Raw!$A:$A,Input_Raw!$DB:$DB),"")</f>
        <v>26.490573770491778</v>
      </c>
      <c r="L7" s="201">
        <f>IFERROR(_xlfn.XLOOKUP($A7,Input_Raw!$A:$A,Input_Raw!$DC:$DC),"")</f>
        <v>34.034232786885255</v>
      </c>
      <c r="M7" s="200">
        <f>IFERROR(_xlfn.XLOOKUP($A7,Input_Raw!$A:$A,Input_Raw!$DF:$DF),"")</f>
        <v>1.0990622950819684</v>
      </c>
      <c r="N7" s="200">
        <f>IFERROR(_xlfn.XLOOKUP($A7,Input_Raw!$A:$A,Input_Raw!$DG:$DG),"")</f>
        <v>2.952</v>
      </c>
      <c r="O7" s="230">
        <f>IFERROR(1-(SUMIF(Plant_BD!$B:$B,$A7,Plant_BD!$AL:$AL)/($AA7+SUMIF(Plant_BD!$B:$B,$A7,Plant_BD!$AL:$AL))),"")</f>
        <v>0.94758976132028505</v>
      </c>
      <c r="P7" s="230"/>
      <c r="Q7" s="231">
        <f>IFERROR(1-(SUMIF(Grid_BD!$B:$B,$A7,Grid_BD!$V:$V)/($AA7+SUMIF(Grid_BD!$B:$B,$A7,Grid_BD!$V:$V))),"")</f>
        <v>1</v>
      </c>
      <c r="R7" s="230">
        <f>IFERROR(1-(SUMIF(Grid_BD!$B:$B,$A7,Grid_BD!$V:$V)/($AA7+SUMIF(Grid_BD!$B:$B,$A7,Grid_BD!$V:$V))),"")</f>
        <v>1</v>
      </c>
      <c r="S7" s="9"/>
      <c r="T7" s="231"/>
      <c r="U7" s="232">
        <f t="shared" si="1"/>
        <v>0.73500586391100231</v>
      </c>
      <c r="V7" s="232">
        <f>IFERROR(_xlfn.XLOOKUP($A7,Input_Raw!$A:$A,Input_Raw!$FG:$FG),"")</f>
        <v>0</v>
      </c>
      <c r="W7" s="233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85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33">
        <f>IFERROR(_xlfn.XLOOKUP($D7,'Modelling New'!$D:$D,'Modelling New'!O:O),"")</f>
        <v>0.76452024028227472</v>
      </c>
      <c r="AF7" s="233">
        <f>IFERROR(_xlfn.XLOOKUP($D7,'Modelling New'!$D:$D,'Modelling New'!W:W),"")</f>
        <v>0.22744477148397671</v>
      </c>
      <c r="AG7" s="233">
        <f>IFERROR(_xlfn.XLOOKUP($D7,'Modelling New'!$D:$D,'Modelling New'!AE:AE),"")</f>
        <v>0.995</v>
      </c>
      <c r="AH7" s="233">
        <f>IFERROR(_xlfn.XLOOKUP($D7,'Modelling New'!$D:$D,'Modelling New'!AF:AF),"")</f>
        <v>0.995</v>
      </c>
      <c r="AI7" s="9"/>
      <c r="AJ7" s="9"/>
      <c r="AK7" s="256"/>
      <c r="AL7" s="256"/>
      <c r="AM7" s="256"/>
      <c r="AN7" s="230"/>
      <c r="AO7" s="233"/>
      <c r="AP7" s="233"/>
      <c r="AQ7" s="233"/>
      <c r="AR7" s="234">
        <f>_xlfn.XLOOKUP(D7,'Modelling New'!$D:$D,'Modelling New'!$N:$N)</f>
        <v>130</v>
      </c>
      <c r="AS7" s="234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29">
        <f>Table13[[#This Row],[Date]]-DAY(Table13[[#This Row],[Date]])+1</f>
        <v>45748</v>
      </c>
      <c r="E8" s="9">
        <f t="shared" si="0"/>
        <v>30</v>
      </c>
      <c r="F8" s="199">
        <f>IFERROR(_xlfn.XLOOKUP($A8,Input_Raw!$A:$A,Input_Raw!$FC:$FC),"")</f>
        <v>11.9</v>
      </c>
      <c r="G8" s="200">
        <f>IFERROR(_xlfn.XLOOKUP($A8,Input_Raw!$A:$A,Input_Raw!$CY:$CY),"")</f>
        <v>6.6430321000000063</v>
      </c>
      <c r="H8" s="200">
        <f>IFERROR(_xlfn.XLOOKUP($A8,Input_Raw!$A:$A,Input_Raw!$DA:$DA),"")</f>
        <v>1.1981101500000002</v>
      </c>
      <c r="I8" s="200">
        <f>IFERROR(_xlfn.XLOOKUP($A8,Input_Raw!$A:$A,Input_Raw!$CX:$CX),"")</f>
        <v>6.7136915833333282</v>
      </c>
      <c r="J8" s="200">
        <f>IFERROR(_xlfn.XLOOKUP($A8,Input_Raw!$A:$A,Input_Raw!$CZ:$CZ),"")</f>
        <v>0.77825446666666664</v>
      </c>
      <c r="K8" s="201">
        <f>IFERROR(_xlfn.XLOOKUP($A8,Input_Raw!$A:$A,Input_Raw!$DB:$DB),"")</f>
        <v>28.981240174672486</v>
      </c>
      <c r="L8" s="201">
        <f>IFERROR(_xlfn.XLOOKUP($A8,Input_Raw!$A:$A,Input_Raw!$DC:$DC),"")</f>
        <v>37.302214847161579</v>
      </c>
      <c r="M8" s="200">
        <f>IFERROR(_xlfn.XLOOKUP($A8,Input_Raw!$A:$A,Input_Raw!$DF:$DF),"")</f>
        <v>0.73128471615720525</v>
      </c>
      <c r="N8" s="200">
        <f>IFERROR(_xlfn.XLOOKUP($A8,Input_Raw!$A:$A,Input_Raw!$DG:$DG),"")</f>
        <v>2.9550000000000001</v>
      </c>
      <c r="O8" s="230">
        <f>IFERROR(1-(SUMIF(Plant_BD!$B:$B,$A8,Plant_BD!$AL:$AL)/($AA8+SUMIF(Plant_BD!$B:$B,$A8,Plant_BD!$AL:$AL))),"")</f>
        <v>1</v>
      </c>
      <c r="P8" s="230"/>
      <c r="Q8" s="231">
        <f>IFERROR(1-(SUMIF(Grid_BD!$B:$B,$A8,Grid_BD!$V:$V)/($AA8+SUMIF(Grid_BD!$B:$B,$A8,Grid_BD!$V:$V))),"")</f>
        <v>1</v>
      </c>
      <c r="R8" s="230">
        <f>IFERROR(1-(SUMIF(Grid_BD!$B:$B,$A8,Grid_BD!$V:$V)/($AA8+SUMIF(Grid_BD!$B:$B,$A8,Grid_BD!$V:$V))),"")</f>
        <v>1</v>
      </c>
      <c r="S8" s="9"/>
      <c r="T8" s="231"/>
      <c r="U8" s="232">
        <f t="shared" si="1"/>
        <v>0.8457224955187852</v>
      </c>
      <c r="V8" s="232">
        <f>IFERROR(_xlfn.XLOOKUP($A8,Input_Raw!$A:$A,Input_Raw!$FG:$FG),"")</f>
        <v>0</v>
      </c>
      <c r="W8" s="233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85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33">
        <f>IFERROR(_xlfn.XLOOKUP($D8,'Modelling New'!$D:$D,'Modelling New'!O:O),"")</f>
        <v>0.76452024028227472</v>
      </c>
      <c r="AF8" s="233">
        <f>IFERROR(_xlfn.XLOOKUP($D8,'Modelling New'!$D:$D,'Modelling New'!W:W),"")</f>
        <v>0.22744477148397671</v>
      </c>
      <c r="AG8" s="233">
        <f>IFERROR(_xlfn.XLOOKUP($D8,'Modelling New'!$D:$D,'Modelling New'!AE:AE),"")</f>
        <v>0.995</v>
      </c>
      <c r="AH8" s="233">
        <f>IFERROR(_xlfn.XLOOKUP($D8,'Modelling New'!$D:$D,'Modelling New'!AF:AF),"")</f>
        <v>0.995</v>
      </c>
      <c r="AI8" s="9"/>
      <c r="AJ8" s="9"/>
      <c r="AK8" s="256"/>
      <c r="AL8" s="256"/>
      <c r="AM8" s="256"/>
      <c r="AN8" s="230"/>
      <c r="AO8" s="233"/>
      <c r="AP8" s="233"/>
      <c r="AQ8" s="233"/>
      <c r="AR8" s="234">
        <f>_xlfn.XLOOKUP(D8,'Modelling New'!$D:$D,'Modelling New'!$N:$N)</f>
        <v>130</v>
      </c>
      <c r="AS8" s="234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29">
        <f>Table13[[#This Row],[Date]]-DAY(Table13[[#This Row],[Date]])+1</f>
        <v>45748</v>
      </c>
      <c r="E9" s="9">
        <f t="shared" si="0"/>
        <v>30</v>
      </c>
      <c r="F9" s="199">
        <f>IFERROR(_xlfn.XLOOKUP($A9,Input_Raw!$A:$A,Input_Raw!$FC:$FC),"")</f>
        <v>11.799999999999999</v>
      </c>
      <c r="G9" s="185">
        <f>IFERROR(_xlfn.XLOOKUP($A9,Input_Raw!$A:$A,Input_Raw!$CY:$CY),"")</f>
        <v>6.9011737333333381</v>
      </c>
      <c r="H9" s="185">
        <f>IFERROR(_xlfn.XLOOKUP($A9,Input_Raw!$A:$A,Input_Raw!$DA:$DA),"")</f>
        <v>1.2698613999999997</v>
      </c>
      <c r="I9" s="185">
        <f>IFERROR(_xlfn.XLOOKUP($A9,Input_Raw!$A:$A,Input_Raw!$CX:$CX),"")</f>
        <v>7.0237711999999988</v>
      </c>
      <c r="J9" s="185">
        <f>IFERROR(_xlfn.XLOOKUP($A9,Input_Raw!$A:$A,Input_Raw!$CZ:$CZ),"")</f>
        <v>0.83065995000000026</v>
      </c>
      <c r="K9" s="201">
        <f>IFERROR(_xlfn.XLOOKUP($A9,Input_Raw!$A:$A,Input_Raw!$DB:$DB),"")</f>
        <v>30.65649837133547</v>
      </c>
      <c r="L9" s="201">
        <f>IFERROR(_xlfn.XLOOKUP($A9,Input_Raw!$A:$A,Input_Raw!$DC:$DC),"")</f>
        <v>38.092573289902283</v>
      </c>
      <c r="M9" s="200">
        <f>IFERROR(_xlfn.XLOOKUP($A9,Input_Raw!$A:$A,Input_Raw!$DF:$DF),"")</f>
        <v>0.82883061889250742</v>
      </c>
      <c r="N9" s="200">
        <f>IFERROR(_xlfn.XLOOKUP($A9,Input_Raw!$A:$A,Input_Raw!$DG:$DG),"")</f>
        <v>2.9670000000000001</v>
      </c>
      <c r="O9" s="230">
        <f>IFERROR(1-(SUMIF(Plant_BD!$B:$B,$A9,Plant_BD!$AL:$AL)/($AA9+SUMIF(Plant_BD!$B:$B,$A9,Plant_BD!$AL:$AL))),"")</f>
        <v>1</v>
      </c>
      <c r="P9" s="230"/>
      <c r="Q9" s="231">
        <f>IFERROR(1-(SUMIF(Grid_BD!$B:$B,$A9,Grid_BD!$V:$V)/($AA9+SUMIF(Grid_BD!$B:$B,$A9,Grid_BD!$V:$V))),"")</f>
        <v>1</v>
      </c>
      <c r="R9" s="230">
        <f>IFERROR(1-(SUMIF(Grid_BD!$B:$B,$A9,Grid_BD!$V:$V)/($AA9+SUMIF(Grid_BD!$B:$B,$A9,Grid_BD!$V:$V))),"")</f>
        <v>1</v>
      </c>
      <c r="S9" s="9"/>
      <c r="T9" s="231"/>
      <c r="U9" s="232">
        <f t="shared" si="1"/>
        <v>0.81364033176530592</v>
      </c>
      <c r="V9" s="232">
        <f>IFERROR(_xlfn.XLOOKUP($A9,Input_Raw!$A:$A,Input_Raw!$FG:$FG),"")</f>
        <v>0</v>
      </c>
      <c r="W9" s="233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85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33">
        <f>IFERROR(_xlfn.XLOOKUP($D9,'Modelling New'!$D:$D,'Modelling New'!O:O),"")</f>
        <v>0.76452024028227472</v>
      </c>
      <c r="AF9" s="233">
        <f>IFERROR(_xlfn.XLOOKUP($D9,'Modelling New'!$D:$D,'Modelling New'!W:W),"")</f>
        <v>0.22744477148397671</v>
      </c>
      <c r="AG9" s="233">
        <f>IFERROR(_xlfn.XLOOKUP($D9,'Modelling New'!$D:$D,'Modelling New'!AE:AE),"")</f>
        <v>0.995</v>
      </c>
      <c r="AH9" s="233">
        <f>IFERROR(_xlfn.XLOOKUP($D9,'Modelling New'!$D:$D,'Modelling New'!AF:AF),"")</f>
        <v>0.995</v>
      </c>
      <c r="AI9" s="9"/>
      <c r="AJ9" s="9"/>
      <c r="AK9" s="256"/>
      <c r="AL9" s="256"/>
      <c r="AM9" s="256"/>
      <c r="AN9" s="230"/>
      <c r="AO9" s="233"/>
      <c r="AP9" s="233"/>
      <c r="AQ9" s="233"/>
      <c r="AR9" s="234">
        <f>_xlfn.XLOOKUP(D9,'Modelling New'!$D:$D,'Modelling New'!$N:$N)</f>
        <v>130</v>
      </c>
      <c r="AS9" s="234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29">
        <f>Table13[[#This Row],[Date]]-DAY(Table13[[#This Row],[Date]])+1</f>
        <v>45748</v>
      </c>
      <c r="E10" s="9">
        <f t="shared" si="0"/>
        <v>30</v>
      </c>
      <c r="F10" s="199">
        <f>IFERROR(_xlfn.XLOOKUP($A10,Input_Raw!$A:$A,Input_Raw!$FC:$FC),"")</f>
        <v>11.783333333333333</v>
      </c>
      <c r="G10" s="200">
        <f>IFERROR(_xlfn.XLOOKUP($A10,Input_Raw!$A:$A,Input_Raw!$CY:$CY),"")</f>
        <v>7.1267072166666701</v>
      </c>
      <c r="H10" s="200">
        <f>IFERROR(_xlfn.XLOOKUP($A10,Input_Raw!$A:$A,Input_Raw!$DA:$DA),"")</f>
        <v>1.3176237000000013</v>
      </c>
      <c r="I10" s="200">
        <f>IFERROR(_xlfn.XLOOKUP($A10,Input_Raw!$A:$A,Input_Raw!$CX:$CX),"")</f>
        <v>7.2617078499999996</v>
      </c>
      <c r="J10" s="200">
        <f>IFERROR(_xlfn.XLOOKUP($A10,Input_Raw!$A:$A,Input_Raw!$CZ:$CZ),"")</f>
        <v>0.85638393333333385</v>
      </c>
      <c r="K10" s="201">
        <f>IFERROR(_xlfn.XLOOKUP($A10,Input_Raw!$A:$A,Input_Raw!$DB:$DB),"")</f>
        <v>32.570993031358924</v>
      </c>
      <c r="L10" s="201">
        <f>IFERROR(_xlfn.XLOOKUP($A10,Input_Raw!$A:$A,Input_Raw!$DC:$DC),"")</f>
        <v>39.887005226480888</v>
      </c>
      <c r="M10" s="200">
        <f>IFERROR(_xlfn.XLOOKUP($A10,Input_Raw!$A:$A,Input_Raw!$DF:$DF),"")</f>
        <v>0.9254790940766543</v>
      </c>
      <c r="N10" s="200">
        <f>IFERROR(_xlfn.XLOOKUP($A10,Input_Raw!$A:$A,Input_Raw!$DG:$DG),"")</f>
        <v>2.496</v>
      </c>
      <c r="O10" s="230">
        <f>IFERROR(1-(SUMIF(Plant_BD!$B:$B,$A10,Plant_BD!$AL:$AL)/($AA10+SUMIF(Plant_BD!$B:$B,$A10,Plant_BD!$AL:$AL))),"")</f>
        <v>1</v>
      </c>
      <c r="P10" s="230"/>
      <c r="Q10" s="231">
        <f>IFERROR(1-(SUMIF(Grid_BD!$B:$B,$A10,Grid_BD!$V:$V)/($AA10+SUMIF(Grid_BD!$B:$B,$A10,Grid_BD!$V:$V))),"")</f>
        <v>1</v>
      </c>
      <c r="R10" s="230">
        <f>IFERROR(1-(SUMIF(Grid_BD!$B:$B,$A10,Grid_BD!$V:$V)/($AA10+SUMIF(Grid_BD!$B:$B,$A10,Grid_BD!$V:$V))),"")</f>
        <v>1</v>
      </c>
      <c r="S10" s="9"/>
      <c r="T10" s="231"/>
      <c r="U10" s="232">
        <f t="shared" si="1"/>
        <v>0.80865760719330126</v>
      </c>
      <c r="V10" s="232">
        <f>IFERROR(_xlfn.XLOOKUP($A10,Input_Raw!$A:$A,Input_Raw!$FG:$FG),"")</f>
        <v>0</v>
      </c>
      <c r="W10" s="233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85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33">
        <f>IFERROR(_xlfn.XLOOKUP($D10,'Modelling New'!$D:$D,'Modelling New'!O:O),"")</f>
        <v>0.76452024028227472</v>
      </c>
      <c r="AF10" s="233">
        <f>IFERROR(_xlfn.XLOOKUP($D10,'Modelling New'!$D:$D,'Modelling New'!W:W),"")</f>
        <v>0.22744477148397671</v>
      </c>
      <c r="AG10" s="233">
        <f>IFERROR(_xlfn.XLOOKUP($D10,'Modelling New'!$D:$D,'Modelling New'!AE:AE),"")</f>
        <v>0.995</v>
      </c>
      <c r="AH10" s="233">
        <f>IFERROR(_xlfn.XLOOKUP($D10,'Modelling New'!$D:$D,'Modelling New'!AF:AF),"")</f>
        <v>0.995</v>
      </c>
      <c r="AI10" s="9"/>
      <c r="AJ10" s="9"/>
      <c r="AK10" s="256"/>
      <c r="AL10" s="256"/>
      <c r="AM10" s="256"/>
      <c r="AN10" s="230"/>
      <c r="AO10" s="233"/>
      <c r="AP10" s="233"/>
      <c r="AQ10" s="233"/>
      <c r="AR10" s="234">
        <f>_xlfn.XLOOKUP(D10,'Modelling New'!$D:$D,'Modelling New'!$N:$N)</f>
        <v>130</v>
      </c>
      <c r="AS10" s="234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29">
        <f>Table13[[#This Row],[Date]]-DAY(Table13[[#This Row],[Date]])+1</f>
        <v>45748</v>
      </c>
      <c r="E11" s="9">
        <f t="shared" si="0"/>
        <v>30</v>
      </c>
      <c r="F11" s="199">
        <f>IFERROR(_xlfn.XLOOKUP($A11,Input_Raw!$A:$A,Input_Raw!$FC:$FC),"")</f>
        <v>11.366666666666665</v>
      </c>
      <c r="G11" s="185">
        <f>IFERROR(_xlfn.XLOOKUP($A11,Input_Raw!$A:$A,Input_Raw!$CY:$CY),"")</f>
        <v>7.1847138333333245</v>
      </c>
      <c r="H11" s="185">
        <f>IFERROR(_xlfn.XLOOKUP($A11,Input_Raw!$A:$A,Input_Raw!$DA:$DA),"")</f>
        <v>1.3355898833333333</v>
      </c>
      <c r="I11" s="185">
        <f>IFERROR(_xlfn.XLOOKUP($A11,Input_Raw!$A:$A,Input_Raw!$CX:$CX),"")</f>
        <v>7.3114926833333271</v>
      </c>
      <c r="J11" s="185">
        <f>IFERROR(_xlfn.XLOOKUP($A11,Input_Raw!$A:$A,Input_Raw!$CZ:$CZ),"")</f>
        <v>0.8737235333333343</v>
      </c>
      <c r="K11" s="201">
        <f>IFERROR(_xlfn.XLOOKUP($A11,Input_Raw!$A:$A,Input_Raw!$DB:$DB),"")</f>
        <v>33.641074523396867</v>
      </c>
      <c r="L11" s="201">
        <f>IFERROR(_xlfn.XLOOKUP($A11,Input_Raw!$A:$A,Input_Raw!$DC:$DC),"")</f>
        <v>40.8464974003466</v>
      </c>
      <c r="M11" s="200">
        <f>IFERROR(_xlfn.XLOOKUP($A11,Input_Raw!$A:$A,Input_Raw!$DF:$DF),"")</f>
        <v>1.0249913344887345</v>
      </c>
      <c r="N11" s="200">
        <f>IFERROR(_xlfn.XLOOKUP($A11,Input_Raw!$A:$A,Input_Raw!$DG:$DG),"")</f>
        <v>2.88</v>
      </c>
      <c r="O11" s="230">
        <f>IFERROR(1-(SUMIF(Plant_BD!$B:$B,$A11,Plant_BD!$AL:$AL)/($AA11+SUMIF(Plant_BD!$B:$B,$A11,Plant_BD!$AL:$AL))),"")</f>
        <v>1</v>
      </c>
      <c r="P11" s="230"/>
      <c r="Q11" s="231">
        <f>IFERROR(1-(SUMIF(Grid_BD!$B:$B,$A11,Grid_BD!$V:$V)/($AA11+SUMIF(Grid_BD!$B:$B,$A11,Grid_BD!$V:$V))),"")</f>
        <v>1</v>
      </c>
      <c r="R11" s="230">
        <f>IFERROR(1-(SUMIF(Grid_BD!$B:$B,$A11,Grid_BD!$V:$V)/($AA11+SUMIF(Grid_BD!$B:$B,$A11,Grid_BD!$V:$V))),"")</f>
        <v>1</v>
      </c>
      <c r="S11" s="9"/>
      <c r="T11" s="231"/>
      <c r="U11" s="232">
        <f t="shared" si="1"/>
        <v>0.80653040793062247</v>
      </c>
      <c r="V11" s="232">
        <f>IFERROR(_xlfn.XLOOKUP($A11,Input_Raw!$A:$A,Input_Raw!$FG:$FG),"")</f>
        <v>0</v>
      </c>
      <c r="W11" s="233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85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33">
        <f>IFERROR(_xlfn.XLOOKUP($D11,'Modelling New'!$D:$D,'Modelling New'!O:O),"")</f>
        <v>0.76452024028227472</v>
      </c>
      <c r="AF11" s="233">
        <f>IFERROR(_xlfn.XLOOKUP($D11,'Modelling New'!$D:$D,'Modelling New'!W:W),"")</f>
        <v>0.22744477148397671</v>
      </c>
      <c r="AG11" s="233">
        <f>IFERROR(_xlfn.XLOOKUP($D11,'Modelling New'!$D:$D,'Modelling New'!AE:AE),"")</f>
        <v>0.995</v>
      </c>
      <c r="AH11" s="233">
        <f>IFERROR(_xlfn.XLOOKUP($D11,'Modelling New'!$D:$D,'Modelling New'!AF:AF),"")</f>
        <v>0.995</v>
      </c>
      <c r="AI11" s="9"/>
      <c r="AJ11" s="9"/>
      <c r="AK11" s="256"/>
      <c r="AL11" s="256"/>
      <c r="AM11" s="256"/>
      <c r="AN11" s="230"/>
      <c r="AO11" s="233"/>
      <c r="AP11" s="233"/>
      <c r="AQ11" s="233"/>
      <c r="AR11" s="234">
        <f>_xlfn.XLOOKUP(D11,'Modelling New'!$D:$D,'Modelling New'!$N:$N)</f>
        <v>130</v>
      </c>
      <c r="AS11" s="234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29">
        <f>Table13[[#This Row],[Date]]-DAY(Table13[[#This Row],[Date]])+1</f>
        <v>45748</v>
      </c>
      <c r="E12" s="9">
        <f t="shared" si="0"/>
        <v>30</v>
      </c>
      <c r="F12" s="199">
        <f>IFERROR(_xlfn.XLOOKUP($A12,Input_Raw!$A:$A,Input_Raw!$FC:$FC),"")</f>
        <v>11.866666666666665</v>
      </c>
      <c r="G12" s="200">
        <f>IFERROR(_xlfn.XLOOKUP($A12,Input_Raw!$A:$A,Input_Raw!$CY:$CY),"")</f>
        <v>7.0545122499999966</v>
      </c>
      <c r="H12" s="200">
        <f>IFERROR(_xlfn.XLOOKUP($A12,Input_Raw!$A:$A,Input_Raw!$DA:$DA),"")</f>
        <v>1.3287214333333337</v>
      </c>
      <c r="I12" s="200">
        <f>IFERROR(_xlfn.XLOOKUP($A12,Input_Raw!$A:$A,Input_Raw!$CX:$CX),"")</f>
        <v>7.195246400000002</v>
      </c>
      <c r="J12" s="200">
        <f>IFERROR(_xlfn.XLOOKUP($A12,Input_Raw!$A:$A,Input_Raw!$CZ:$CZ),"")</f>
        <v>0.88503054999999997</v>
      </c>
      <c r="K12" s="201">
        <f>IFERROR(_xlfn.XLOOKUP($A12,Input_Raw!$A:$A,Input_Raw!$DB:$DB),"")</f>
        <v>33.79870801033595</v>
      </c>
      <c r="L12" s="201">
        <f>IFERROR(_xlfn.XLOOKUP($A12,Input_Raw!$A:$A,Input_Raw!$DC:$DC),"")</f>
        <v>41.103325581395296</v>
      </c>
      <c r="M12" s="200">
        <f>IFERROR(_xlfn.XLOOKUP($A12,Input_Raw!$A:$A,Input_Raw!$DF:$DF),"")</f>
        <v>0.94429198966408301</v>
      </c>
      <c r="N12" s="200">
        <f>IFERROR(_xlfn.XLOOKUP($A12,Input_Raw!$A:$A,Input_Raw!$DG:$DG),"")</f>
        <v>2.9340000000000002</v>
      </c>
      <c r="O12" s="230">
        <f>IFERROR(1-(SUMIF(Plant_BD!$B:$B,$A12,Plant_BD!$AL:$AL)/($AA12+SUMIF(Plant_BD!$B:$B,$A12,Plant_BD!$AL:$AL))),"")</f>
        <v>0.99914249880876715</v>
      </c>
      <c r="P12" s="230"/>
      <c r="Q12" s="231">
        <f>IFERROR(1-(SUMIF(Grid_BD!$B:$B,$A12,Grid_BD!$V:$V)/($AA12+SUMIF(Grid_BD!$B:$B,$A12,Grid_BD!$V:$V))),"")</f>
        <v>1</v>
      </c>
      <c r="R12" s="230">
        <f>IFERROR(1-(SUMIF(Grid_BD!$B:$B,$A12,Grid_BD!$V:$V)/($AA12+SUMIF(Grid_BD!$B:$B,$A12,Grid_BD!$V:$V))),"")</f>
        <v>1</v>
      </c>
      <c r="S12" s="9"/>
      <c r="T12" s="231"/>
      <c r="U12" s="232">
        <f t="shared" si="1"/>
        <v>0.80003800679226345</v>
      </c>
      <c r="V12" s="232">
        <f>IFERROR(_xlfn.XLOOKUP($A12,Input_Raw!$A:$A,Input_Raw!$FG:$FG),"")</f>
        <v>0</v>
      </c>
      <c r="W12" s="233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85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33">
        <f>IFERROR(_xlfn.XLOOKUP($D12,'Modelling New'!$D:$D,'Modelling New'!O:O),"")</f>
        <v>0.76452024028227472</v>
      </c>
      <c r="AF12" s="233">
        <f>IFERROR(_xlfn.XLOOKUP($D12,'Modelling New'!$D:$D,'Modelling New'!W:W),"")</f>
        <v>0.22744477148397671</v>
      </c>
      <c r="AG12" s="233">
        <f>IFERROR(_xlfn.XLOOKUP($D12,'Modelling New'!$D:$D,'Modelling New'!AE:AE),"")</f>
        <v>0.995</v>
      </c>
      <c r="AH12" s="233">
        <f>IFERROR(_xlfn.XLOOKUP($D12,'Modelling New'!$D:$D,'Modelling New'!AF:AF),"")</f>
        <v>0.995</v>
      </c>
      <c r="AI12" s="9"/>
      <c r="AJ12" s="9"/>
      <c r="AK12" s="256"/>
      <c r="AL12" s="256"/>
      <c r="AM12" s="256"/>
      <c r="AN12" s="230"/>
      <c r="AO12" s="233"/>
      <c r="AP12" s="233"/>
      <c r="AQ12" s="233"/>
      <c r="AR12" s="234">
        <f>_xlfn.XLOOKUP(D12,'Modelling New'!$D:$D,'Modelling New'!$N:$N)</f>
        <v>130</v>
      </c>
      <c r="AS12" s="234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29">
        <f>Table13[[#This Row],[Date]]-DAY(Table13[[#This Row],[Date]])+1</f>
        <v>45748</v>
      </c>
      <c r="E13" s="9">
        <f t="shared" si="0"/>
        <v>30</v>
      </c>
      <c r="F13" s="199">
        <f>IFERROR(_xlfn.XLOOKUP($A13,Input_Raw!$A:$A,Input_Raw!$FC:$FC),"")</f>
        <v>11.75</v>
      </c>
      <c r="G13" s="185">
        <f>IFERROR(_xlfn.XLOOKUP($A13,Input_Raw!$A:$A,Input_Raw!$CY:$CY),"")</f>
        <v>6.2230471166666685</v>
      </c>
      <c r="H13" s="185">
        <f>IFERROR(_xlfn.XLOOKUP($A13,Input_Raw!$A:$A,Input_Raw!$DA:$DA),"")</f>
        <v>1.2042739666666684</v>
      </c>
      <c r="I13" s="185">
        <f>IFERROR(_xlfn.XLOOKUP($A13,Input_Raw!$A:$A,Input_Raw!$CX:$CX),"")</f>
        <v>6.3737436833333359</v>
      </c>
      <c r="J13" s="185">
        <f>IFERROR(_xlfn.XLOOKUP($A13,Input_Raw!$A:$A,Input_Raw!$CZ:$CZ),"")</f>
        <v>0.80677334999999928</v>
      </c>
      <c r="K13" s="201">
        <f>IFERROR(_xlfn.XLOOKUP($A13,Input_Raw!$A:$A,Input_Raw!$DB:$DB),"")</f>
        <v>33.301143884892149</v>
      </c>
      <c r="L13" s="201">
        <f>IFERROR(_xlfn.XLOOKUP($A13,Input_Raw!$A:$A,Input_Raw!$DC:$DC),"")</f>
        <v>43.264656115107854</v>
      </c>
      <c r="M13" s="200">
        <f>IFERROR(_xlfn.XLOOKUP($A13,Input_Raw!$A:$A,Input_Raw!$DF:$DF),"")</f>
        <v>0.67707841726618623</v>
      </c>
      <c r="N13" s="200">
        <f>IFERROR(_xlfn.XLOOKUP($A13,Input_Raw!$A:$A,Input_Raw!$DG:$DG),"")</f>
        <v>2.496</v>
      </c>
      <c r="O13" s="230">
        <f>IFERROR(1-(SUMIF(Plant_BD!$B:$B,$A13,Plant_BD!$AL:$AL)/($AA13+SUMIF(Plant_BD!$B:$B,$A13,Plant_BD!$AL:$AL))),"")</f>
        <v>1</v>
      </c>
      <c r="P13" s="230"/>
      <c r="Q13" s="231">
        <f>IFERROR(1-(SUMIF(Grid_BD!$B:$B,$A13,Grid_BD!$V:$V)/($AA13+SUMIF(Grid_BD!$B:$B,$A13,Grid_BD!$V:$V))),"")</f>
        <v>1</v>
      </c>
      <c r="R13" s="230">
        <f>IFERROR(1-(SUMIF(Grid_BD!$B:$B,$A13,Grid_BD!$V:$V)/($AA13+SUMIF(Grid_BD!$B:$B,$A13,Grid_BD!$V:$V))),"")</f>
        <v>1</v>
      </c>
      <c r="S13" s="9"/>
      <c r="T13" s="231"/>
      <c r="U13" s="232">
        <f t="shared" si="1"/>
        <v>0.82252887718139844</v>
      </c>
      <c r="V13" s="232">
        <f>IFERROR(_xlfn.XLOOKUP($A13,Input_Raw!$A:$A,Input_Raw!$FG:$FG),"")</f>
        <v>0</v>
      </c>
      <c r="W13" s="233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85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33">
        <f>IFERROR(_xlfn.XLOOKUP($D13,'Modelling New'!$D:$D,'Modelling New'!O:O),"")</f>
        <v>0.76452024028227472</v>
      </c>
      <c r="AF13" s="233">
        <f>IFERROR(_xlfn.XLOOKUP($D13,'Modelling New'!$D:$D,'Modelling New'!W:W),"")</f>
        <v>0.22744477148397671</v>
      </c>
      <c r="AG13" s="233">
        <f>IFERROR(_xlfn.XLOOKUP($D13,'Modelling New'!$D:$D,'Modelling New'!AE:AE),"")</f>
        <v>0.995</v>
      </c>
      <c r="AH13" s="233">
        <f>IFERROR(_xlfn.XLOOKUP($D13,'Modelling New'!$D:$D,'Modelling New'!AF:AF),"")</f>
        <v>0.995</v>
      </c>
      <c r="AI13" s="9"/>
      <c r="AJ13" s="9"/>
      <c r="AK13" s="256"/>
      <c r="AL13" s="256"/>
      <c r="AM13" s="256"/>
      <c r="AN13" s="230"/>
      <c r="AO13" s="233"/>
      <c r="AP13" s="233"/>
      <c r="AQ13" s="233"/>
      <c r="AR13" s="234">
        <f>_xlfn.XLOOKUP(D13,'Modelling New'!$D:$D,'Modelling New'!$N:$N)</f>
        <v>130</v>
      </c>
      <c r="AS13" s="234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29">
        <f>Table13[[#This Row],[Date]]-DAY(Table13[[#This Row],[Date]])+1</f>
        <v>45748</v>
      </c>
      <c r="E14" s="9">
        <f t="shared" si="0"/>
        <v>30</v>
      </c>
      <c r="F14" s="199">
        <f>IFERROR(_xlfn.XLOOKUP($A14,Input_Raw!$A:$A,Input_Raw!$FC:$FC),"")</f>
        <v>11.85</v>
      </c>
      <c r="G14" s="200">
        <f>IFERROR(_xlfn.XLOOKUP($A14,Input_Raw!$A:$A,Input_Raw!$CY:$CY),"")</f>
        <v>6.8726599833333353</v>
      </c>
      <c r="H14" s="200">
        <f>IFERROR(_xlfn.XLOOKUP($A14,Input_Raw!$A:$A,Input_Raw!$DA:$DA),"")</f>
        <v>1.3100595666666666</v>
      </c>
      <c r="I14" s="200">
        <f>IFERROR(_xlfn.XLOOKUP($A14,Input_Raw!$A:$A,Input_Raw!$CX:$CX),"")</f>
        <v>7.0734217833333304</v>
      </c>
      <c r="J14" s="200">
        <f>IFERROR(_xlfn.XLOOKUP($A14,Input_Raw!$A:$A,Input_Raw!$CZ:$CZ),"")</f>
        <v>0.90686493333333273</v>
      </c>
      <c r="K14" s="201">
        <f>IFERROR(_xlfn.XLOOKUP($A14,Input_Raw!$A:$A,Input_Raw!$DB:$DB),"")</f>
        <v>34.802471111111082</v>
      </c>
      <c r="L14" s="201">
        <f>IFERROR(_xlfn.XLOOKUP($A14,Input_Raw!$A:$A,Input_Raw!$DC:$DC),"")</f>
        <v>48.381240888888932</v>
      </c>
      <c r="M14" s="200">
        <f>IFERROR(_xlfn.XLOOKUP($A14,Input_Raw!$A:$A,Input_Raw!$DF:$DF),"")</f>
        <v>1.3233893333333344</v>
      </c>
      <c r="N14" s="200">
        <f>IFERROR(_xlfn.XLOOKUP($A14,Input_Raw!$A:$A,Input_Raw!$DG:$DG),"")</f>
        <v>3.4350000000000001</v>
      </c>
      <c r="O14" s="230">
        <f>IFERROR(1-(SUMIF(Plant_BD!$B:$B,$A14,Plant_BD!$AL:$AL)/($AA14+SUMIF(Plant_BD!$B:$B,$A14,Plant_BD!$AL:$AL))),"")</f>
        <v>1</v>
      </c>
      <c r="P14" s="230"/>
      <c r="Q14" s="231">
        <f>IFERROR(1-(SUMIF(Grid_BD!$B:$B,$A14,Grid_BD!$V:$V)/($AA14+SUMIF(Grid_BD!$B:$B,$A14,Grid_BD!$V:$V))),"")</f>
        <v>1</v>
      </c>
      <c r="R14" s="230">
        <f>IFERROR(1-(SUMIF(Grid_BD!$B:$B,$A14,Grid_BD!$V:$V)/($AA14+SUMIF(Grid_BD!$B:$B,$A14,Grid_BD!$V:$V))),"")</f>
        <v>1</v>
      </c>
      <c r="S14" s="9"/>
      <c r="T14" s="231"/>
      <c r="U14" s="232">
        <f t="shared" si="1"/>
        <v>0.8010433734362552</v>
      </c>
      <c r="V14" s="232">
        <f>IFERROR(_xlfn.XLOOKUP($A14,Input_Raw!$A:$A,Input_Raw!$FG:$FG),"")</f>
        <v>0</v>
      </c>
      <c r="W14" s="233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85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33">
        <f>IFERROR(_xlfn.XLOOKUP($D14,'Modelling New'!$D:$D,'Modelling New'!O:O),"")</f>
        <v>0.76452024028227472</v>
      </c>
      <c r="AF14" s="233">
        <f>IFERROR(_xlfn.XLOOKUP($D14,'Modelling New'!$D:$D,'Modelling New'!W:W),"")</f>
        <v>0.22744477148397671</v>
      </c>
      <c r="AG14" s="233">
        <f>IFERROR(_xlfn.XLOOKUP($D14,'Modelling New'!$D:$D,'Modelling New'!AE:AE),"")</f>
        <v>0.995</v>
      </c>
      <c r="AH14" s="233">
        <f>IFERROR(_xlfn.XLOOKUP($D14,'Modelling New'!$D:$D,'Modelling New'!AF:AF),"")</f>
        <v>0.995</v>
      </c>
      <c r="AI14" s="9"/>
      <c r="AJ14" s="9"/>
      <c r="AK14" s="256"/>
      <c r="AL14" s="256"/>
      <c r="AM14" s="256"/>
      <c r="AN14" s="230"/>
      <c r="AO14" s="233"/>
      <c r="AP14" s="233"/>
      <c r="AQ14" s="233"/>
      <c r="AR14" s="234">
        <f>_xlfn.XLOOKUP(D14,'Modelling New'!$D:$D,'Modelling New'!$N:$N)</f>
        <v>130</v>
      </c>
      <c r="AS14" s="234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29">
        <f>Table13[[#This Row],[Date]]-DAY(Table13[[#This Row],[Date]])+1</f>
        <v>45748</v>
      </c>
      <c r="E15" s="9">
        <f t="shared" si="0"/>
        <v>30</v>
      </c>
      <c r="F15" s="199">
        <f>IFERROR(_xlfn.XLOOKUP($A15,Input_Raw!$A:$A,Input_Raw!$FC:$FC),"")</f>
        <v>11.866666666666665</v>
      </c>
      <c r="G15" s="185">
        <f>IFERROR(_xlfn.XLOOKUP($A15,Input_Raw!$A:$A,Input_Raw!$CY:$CY),"")</f>
        <v>6.9105347333333302</v>
      </c>
      <c r="H15" s="185">
        <f>IFERROR(_xlfn.XLOOKUP($A15,Input_Raw!$A:$A,Input_Raw!$DA:$DA),"")</f>
        <v>1.3228814166666651</v>
      </c>
      <c r="I15" s="185">
        <f>IFERROR(_xlfn.XLOOKUP($A15,Input_Raw!$A:$A,Input_Raw!$CX:$CX),"")</f>
        <v>7.0755978333333296</v>
      </c>
      <c r="J15" s="185">
        <f>IFERROR(_xlfn.XLOOKUP($A15,Input_Raw!$A:$A,Input_Raw!$CZ:$CZ),"")</f>
        <v>0.903054466666667</v>
      </c>
      <c r="K15" s="201">
        <f>IFERROR(_xlfn.XLOOKUP($A15,Input_Raw!$A:$A,Input_Raw!$DB:$DB),"")</f>
        <v>32.857876480541414</v>
      </c>
      <c r="L15" s="201">
        <f>IFERROR(_xlfn.XLOOKUP($A15,Input_Raw!$A:$A,Input_Raw!$DC:$DC),"")</f>
        <v>45.95619543147204</v>
      </c>
      <c r="M15" s="200">
        <f>IFERROR(_xlfn.XLOOKUP($A15,Input_Raw!$A:$A,Input_Raw!$DF:$DF),"")</f>
        <v>1.4104035532994941</v>
      </c>
      <c r="N15" s="200">
        <f>IFERROR(_xlfn.XLOOKUP($A15,Input_Raw!$A:$A,Input_Raw!$DG:$DG),"")</f>
        <v>3.3119999999999998</v>
      </c>
      <c r="O15" s="230">
        <f>IFERROR(1-(SUMIF(Plant_BD!$B:$B,$A15,Plant_BD!$AL:$AL)/($AA15+SUMIF(Plant_BD!$B:$B,$A15,Plant_BD!$AL:$AL))),"")</f>
        <v>1</v>
      </c>
      <c r="P15" s="230"/>
      <c r="Q15" s="231">
        <f>IFERROR(1-(SUMIF(Grid_BD!$B:$B,$A15,Grid_BD!$V:$V)/($AA15+SUMIF(Grid_BD!$B:$B,$A15,Grid_BD!$V:$V))),"")</f>
        <v>1</v>
      </c>
      <c r="R15" s="230">
        <f>IFERROR(1-(SUMIF(Grid_BD!$B:$B,$A15,Grid_BD!$V:$V)/($AA15+SUMIF(Grid_BD!$B:$B,$A15,Grid_BD!$V:$V))),"")</f>
        <v>1</v>
      </c>
      <c r="S15" s="9"/>
      <c r="T15" s="231"/>
      <c r="U15" s="232">
        <f t="shared" si="1"/>
        <v>0.81695861245863133</v>
      </c>
      <c r="V15" s="232">
        <f>IFERROR(_xlfn.XLOOKUP($A15,Input_Raw!$A:$A,Input_Raw!$FG:$FG),"")</f>
        <v>0</v>
      </c>
      <c r="W15" s="233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85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33">
        <f>IFERROR(_xlfn.XLOOKUP($D15,'Modelling New'!$D:$D,'Modelling New'!O:O),"")</f>
        <v>0.76452024028227472</v>
      </c>
      <c r="AF15" s="233">
        <f>IFERROR(_xlfn.XLOOKUP($D15,'Modelling New'!$D:$D,'Modelling New'!W:W),"")</f>
        <v>0.22744477148397671</v>
      </c>
      <c r="AG15" s="233">
        <f>IFERROR(_xlfn.XLOOKUP($D15,'Modelling New'!$D:$D,'Modelling New'!AE:AE),"")</f>
        <v>0.995</v>
      </c>
      <c r="AH15" s="233">
        <f>IFERROR(_xlfn.XLOOKUP($D15,'Modelling New'!$D:$D,'Modelling New'!AF:AF),"")</f>
        <v>0.995</v>
      </c>
      <c r="AI15" s="9"/>
      <c r="AJ15" s="9"/>
      <c r="AK15" s="256"/>
      <c r="AL15" s="256"/>
      <c r="AM15" s="256"/>
      <c r="AN15" s="230"/>
      <c r="AO15" s="233"/>
      <c r="AP15" s="233"/>
      <c r="AQ15" s="233"/>
      <c r="AR15" s="234">
        <f>_xlfn.XLOOKUP(D15,'Modelling New'!$D:$D,'Modelling New'!$N:$N)</f>
        <v>130</v>
      </c>
      <c r="AS15" s="234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29">
        <f>Table13[[#This Row],[Date]]-DAY(Table13[[#This Row],[Date]])+1</f>
        <v>45748</v>
      </c>
      <c r="E16" s="9">
        <f t="shared" si="0"/>
        <v>30</v>
      </c>
      <c r="F16" s="199">
        <f>IFERROR(_xlfn.XLOOKUP($A16,Input_Raw!$A:$A,Input_Raw!$FC:$FC),"")</f>
        <v>11.966666666666669</v>
      </c>
      <c r="G16" s="200">
        <f>IFERROR(_xlfn.XLOOKUP($A16,Input_Raw!$A:$A,Input_Raw!$CY:$CY),"")</f>
        <v>6.9940562999999969</v>
      </c>
      <c r="H16" s="200">
        <f>IFERROR(_xlfn.XLOOKUP($A16,Input_Raw!$A:$A,Input_Raw!$DA:$DA),"")</f>
        <v>1.3164961666666657</v>
      </c>
      <c r="I16" s="200">
        <f>IFERROR(_xlfn.XLOOKUP($A16,Input_Raw!$A:$A,Input_Raw!$CX:$CX),"")</f>
        <v>7.132342966666652</v>
      </c>
      <c r="J16" s="200">
        <f>IFERROR(_xlfn.XLOOKUP($A16,Input_Raw!$A:$A,Input_Raw!$CZ:$CZ),"")</f>
        <v>0.88438691666666613</v>
      </c>
      <c r="K16" s="201">
        <f>IFERROR(_xlfn.XLOOKUP($A16,Input_Raw!$A:$A,Input_Raw!$DB:$DB),"")</f>
        <v>30.362980599647294</v>
      </c>
      <c r="L16" s="201">
        <f>IFERROR(_xlfn.XLOOKUP($A16,Input_Raw!$A:$A,Input_Raw!$DC:$DC),"")</f>
        <v>44.854952380952348</v>
      </c>
      <c r="M16" s="200">
        <f>IFERROR(_xlfn.XLOOKUP($A16,Input_Raw!$A:$A,Input_Raw!$DF:$DF),"")</f>
        <v>1.3114761904761902</v>
      </c>
      <c r="N16" s="200">
        <f>IFERROR(_xlfn.XLOOKUP($A16,Input_Raw!$A:$A,Input_Raw!$DG:$DG),"")</f>
        <v>2.9550000000000001</v>
      </c>
      <c r="O16" s="230">
        <f>IFERROR(1-(SUMIF(Plant_BD!$B:$B,$A16,Plant_BD!$AL:$AL)/($AA16+SUMIF(Plant_BD!$B:$B,$A16,Plant_BD!$AL:$AL))),"")</f>
        <v>0.99179413208007727</v>
      </c>
      <c r="P16" s="230"/>
      <c r="Q16" s="231">
        <f>IFERROR(1-(SUMIF(Grid_BD!$B:$B,$A16,Grid_BD!$V:$V)/($AA16+SUMIF(Grid_BD!$B:$B,$A16,Grid_BD!$V:$V))),"")</f>
        <v>1</v>
      </c>
      <c r="R16" s="230">
        <f>IFERROR(1-(SUMIF(Grid_BD!$B:$B,$A16,Grid_BD!$V:$V)/($AA16+SUMIF(Grid_BD!$B:$B,$A16,Grid_BD!$V:$V))),"")</f>
        <v>1</v>
      </c>
      <c r="S16" s="9"/>
      <c r="T16" s="231"/>
      <c r="U16" s="232">
        <f t="shared" si="1"/>
        <v>0.79630626826389239</v>
      </c>
      <c r="V16" s="232">
        <f>IFERROR(_xlfn.XLOOKUP($A16,Input_Raw!$A:$A,Input_Raw!$FG:$FG),"")</f>
        <v>0</v>
      </c>
      <c r="W16" s="233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85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33">
        <f>IFERROR(_xlfn.XLOOKUP($D16,'Modelling New'!$D:$D,'Modelling New'!O:O),"")</f>
        <v>0.76452024028227472</v>
      </c>
      <c r="AF16" s="233">
        <f>IFERROR(_xlfn.XLOOKUP($D16,'Modelling New'!$D:$D,'Modelling New'!W:W),"")</f>
        <v>0.22744477148397671</v>
      </c>
      <c r="AG16" s="233">
        <f>IFERROR(_xlfn.XLOOKUP($D16,'Modelling New'!$D:$D,'Modelling New'!AE:AE),"")</f>
        <v>0.995</v>
      </c>
      <c r="AH16" s="233">
        <f>IFERROR(_xlfn.XLOOKUP($D16,'Modelling New'!$D:$D,'Modelling New'!AF:AF),"")</f>
        <v>0.995</v>
      </c>
      <c r="AI16" s="9"/>
      <c r="AJ16" s="9"/>
      <c r="AK16" s="256"/>
      <c r="AL16" s="256"/>
      <c r="AM16" s="256"/>
      <c r="AN16" s="230"/>
      <c r="AO16" s="233"/>
      <c r="AP16" s="233"/>
      <c r="AQ16" s="233"/>
      <c r="AR16" s="234">
        <f>_xlfn.XLOOKUP(D16,'Modelling New'!$D:$D,'Modelling New'!$N:$N)</f>
        <v>130</v>
      </c>
      <c r="AS16" s="234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29">
        <f>Table13[[#This Row],[Date]]-DAY(Table13[[#This Row],[Date]])+1</f>
        <v>45748</v>
      </c>
      <c r="E17" s="9">
        <f t="shared" si="0"/>
        <v>30</v>
      </c>
      <c r="F17" s="199">
        <f>IFERROR(_xlfn.XLOOKUP($A17,Input_Raw!$A:$A,Input_Raw!$FC:$FC),"")</f>
        <v>11.983333333333334</v>
      </c>
      <c r="G17" s="185">
        <f>IFERROR(_xlfn.XLOOKUP($A17,Input_Raw!$A:$A,Input_Raw!$CY:$CY),"")</f>
        <v>7.1595291833333459</v>
      </c>
      <c r="H17" s="185">
        <f>IFERROR(_xlfn.XLOOKUP($A17,Input_Raw!$A:$A,Input_Raw!$DA:$DA),"")</f>
        <v>1.3927207166666655</v>
      </c>
      <c r="I17" s="185">
        <f>IFERROR(_xlfn.XLOOKUP($A17,Input_Raw!$A:$A,Input_Raw!$CX:$CX),"")</f>
        <v>7.2977119500000018</v>
      </c>
      <c r="J17" s="185">
        <f>IFERROR(_xlfn.XLOOKUP($A17,Input_Raw!$A:$A,Input_Raw!$CZ:$CZ),"")</f>
        <v>0.93395558333333362</v>
      </c>
      <c r="K17" s="201">
        <f>IFERROR(_xlfn.XLOOKUP($A17,Input_Raw!$A:$A,Input_Raw!$DB:$DB),"")</f>
        <v>31.349423076923117</v>
      </c>
      <c r="L17" s="201">
        <f>IFERROR(_xlfn.XLOOKUP($A17,Input_Raw!$A:$A,Input_Raw!$DC:$DC),"")</f>
        <v>44.587847692307705</v>
      </c>
      <c r="M17" s="200">
        <f>IFERROR(_xlfn.XLOOKUP($A17,Input_Raw!$A:$A,Input_Raw!$DF:$DF),"")</f>
        <v>1.2587630769230778</v>
      </c>
      <c r="N17" s="200">
        <f>IFERROR(_xlfn.XLOOKUP($A17,Input_Raw!$A:$A,Input_Raw!$DG:$DG),"")</f>
        <v>2.5920000000000001</v>
      </c>
      <c r="O17" s="230">
        <f>IFERROR(1-(SUMIF(Plant_BD!$B:$B,$A17,Plant_BD!$AL:$AL)/($AA17+SUMIF(Plant_BD!$B:$B,$A17,Plant_BD!$AL:$AL))),"")</f>
        <v>0.96950107417349762</v>
      </c>
      <c r="P17" s="230"/>
      <c r="Q17" s="231">
        <f>IFERROR(1-(SUMIF(Grid_BD!$B:$B,$A17,Grid_BD!$V:$V)/($AA17+SUMIF(Grid_BD!$B:$B,$A17,Grid_BD!$V:$V))),"")</f>
        <v>1</v>
      </c>
      <c r="R17" s="230">
        <f>IFERROR(1-(SUMIF(Grid_BD!$B:$B,$A17,Grid_BD!$V:$V)/($AA17+SUMIF(Grid_BD!$B:$B,$A17,Grid_BD!$V:$V))),"")</f>
        <v>1</v>
      </c>
      <c r="S17" s="9"/>
      <c r="T17" s="231"/>
      <c r="U17" s="232">
        <f t="shared" si="1"/>
        <v>0.76646102271903471</v>
      </c>
      <c r="V17" s="232">
        <f>IFERROR(_xlfn.XLOOKUP($A17,Input_Raw!$A:$A,Input_Raw!$FG:$FG),"")</f>
        <v>0</v>
      </c>
      <c r="W17" s="233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85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33">
        <f>IFERROR(_xlfn.XLOOKUP($D17,'Modelling New'!$D:$D,'Modelling New'!O:O),"")</f>
        <v>0.76452024028227472</v>
      </c>
      <c r="AF17" s="233">
        <f>IFERROR(_xlfn.XLOOKUP($D17,'Modelling New'!$D:$D,'Modelling New'!W:W),"")</f>
        <v>0.22744477148397671</v>
      </c>
      <c r="AG17" s="233">
        <f>IFERROR(_xlfn.XLOOKUP($D17,'Modelling New'!$D:$D,'Modelling New'!AE:AE),"")</f>
        <v>0.995</v>
      </c>
      <c r="AH17" s="233">
        <f>IFERROR(_xlfn.XLOOKUP($D17,'Modelling New'!$D:$D,'Modelling New'!AF:AF),"")</f>
        <v>0.995</v>
      </c>
      <c r="AI17" s="9"/>
      <c r="AJ17" s="9"/>
      <c r="AK17" s="256"/>
      <c r="AL17" s="256"/>
      <c r="AM17" s="256"/>
      <c r="AN17" s="230"/>
      <c r="AO17" s="233"/>
      <c r="AP17" s="233"/>
      <c r="AQ17" s="233"/>
      <c r="AR17" s="234">
        <f>_xlfn.XLOOKUP(D17,'Modelling New'!$D:$D,'Modelling New'!$N:$N)</f>
        <v>130</v>
      </c>
      <c r="AS17" s="234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29">
        <f>Table13[[#This Row],[Date]]-DAY(Table13[[#This Row],[Date]])+1</f>
        <v>45748</v>
      </c>
      <c r="E18" s="9">
        <f t="shared" si="0"/>
        <v>30</v>
      </c>
      <c r="F18" s="199">
        <f>IFERROR(_xlfn.XLOOKUP($A18,Input_Raw!$A:$A,Input_Raw!$FC:$FC),"")</f>
        <v>11.916666666666668</v>
      </c>
      <c r="G18" s="200">
        <f>IFERROR(_xlfn.XLOOKUP($A18,Input_Raw!$A:$A,Input_Raw!$CY:$CY),"")</f>
        <v>7.1232418333333234</v>
      </c>
      <c r="H18" s="200">
        <f>IFERROR(_xlfn.XLOOKUP($A18,Input_Raw!$A:$A,Input_Raw!$DA:$DA),"")</f>
        <v>1.3867391333333356</v>
      </c>
      <c r="I18" s="200">
        <f>IFERROR(_xlfn.XLOOKUP($A18,Input_Raw!$A:$A,Input_Raw!$CX:$CX),"")</f>
        <v>7.251993583333336</v>
      </c>
      <c r="J18" s="200">
        <f>IFERROR(_xlfn.XLOOKUP($A18,Input_Raw!$A:$A,Input_Raw!$CZ:$CZ),"")</f>
        <v>0.94167478333333277</v>
      </c>
      <c r="K18" s="201">
        <f>IFERROR(_xlfn.XLOOKUP($A18,Input_Raw!$A:$A,Input_Raw!$DB:$DB),"")</f>
        <v>32.894079295154185</v>
      </c>
      <c r="L18" s="201">
        <f>IFERROR(_xlfn.XLOOKUP($A18,Input_Raw!$A:$A,Input_Raw!$DC:$DC),"")</f>
        <v>47.343733039647553</v>
      </c>
      <c r="M18" s="200">
        <f>IFERROR(_xlfn.XLOOKUP($A18,Input_Raw!$A:$A,Input_Raw!$DF:$DF),"")</f>
        <v>1.1613374449339202</v>
      </c>
      <c r="N18" s="200">
        <f>IFERROR(_xlfn.XLOOKUP($A18,Input_Raw!$A:$A,Input_Raw!$DG:$DG),"")</f>
        <v>2.4</v>
      </c>
      <c r="O18" s="230">
        <f>IFERROR(1-(SUMIF(Plant_BD!$B:$B,$A18,Plant_BD!$AL:$AL)/($AA18+SUMIF(Plant_BD!$B:$B,$A18,Plant_BD!$AL:$AL))),"")</f>
        <v>0.97545327982334629</v>
      </c>
      <c r="P18" s="230"/>
      <c r="Q18" s="231">
        <f>IFERROR(1-(SUMIF(Grid_BD!$B:$B,$A18,Grid_BD!$V:$V)/($AA18+SUMIF(Grid_BD!$B:$B,$A18,Grid_BD!$V:$V))),"")</f>
        <v>1</v>
      </c>
      <c r="R18" s="230">
        <f>IFERROR(1-(SUMIF(Grid_BD!$B:$B,$A18,Grid_BD!$V:$V)/($AA18+SUMIF(Grid_BD!$B:$B,$A18,Grid_BD!$V:$V))),"")</f>
        <v>1</v>
      </c>
      <c r="S18" s="9"/>
      <c r="T18" s="231"/>
      <c r="U18" s="232">
        <f t="shared" si="1"/>
        <v>0.77024731299624771</v>
      </c>
      <c r="V18" s="232">
        <f>IFERROR(_xlfn.XLOOKUP($A18,Input_Raw!$A:$A,Input_Raw!$FG:$FG),"")</f>
        <v>0</v>
      </c>
      <c r="W18" s="233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85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33">
        <f>IFERROR(_xlfn.XLOOKUP($D18,'Modelling New'!$D:$D,'Modelling New'!O:O),"")</f>
        <v>0.76452024028227472</v>
      </c>
      <c r="AF18" s="233">
        <f>IFERROR(_xlfn.XLOOKUP($D18,'Modelling New'!$D:$D,'Modelling New'!W:W),"")</f>
        <v>0.22744477148397671</v>
      </c>
      <c r="AG18" s="233">
        <f>IFERROR(_xlfn.XLOOKUP($D18,'Modelling New'!$D:$D,'Modelling New'!AE:AE),"")</f>
        <v>0.995</v>
      </c>
      <c r="AH18" s="233">
        <f>IFERROR(_xlfn.XLOOKUP($D18,'Modelling New'!$D:$D,'Modelling New'!AF:AF),"")</f>
        <v>0.995</v>
      </c>
      <c r="AI18" s="9"/>
      <c r="AJ18" s="9"/>
      <c r="AK18" s="256"/>
      <c r="AL18" s="256"/>
      <c r="AM18" s="256"/>
      <c r="AN18" s="230"/>
      <c r="AO18" s="233"/>
      <c r="AP18" s="233"/>
      <c r="AQ18" s="233"/>
      <c r="AR18" s="234">
        <f>_xlfn.XLOOKUP(D18,'Modelling New'!$D:$D,'Modelling New'!$N:$N)</f>
        <v>130</v>
      </c>
      <c r="AS18" s="234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29">
        <f>Table13[[#This Row],[Date]]-DAY(Table13[[#This Row],[Date]])+1</f>
        <v>45748</v>
      </c>
      <c r="E19" s="9">
        <f t="shared" si="0"/>
        <v>30</v>
      </c>
      <c r="F19" s="199">
        <f>IFERROR(_xlfn.XLOOKUP($A19,Input_Raw!$A:$A,Input_Raw!$FC:$FC),"")</f>
        <v>12</v>
      </c>
      <c r="G19" s="185">
        <f>IFERROR(_xlfn.XLOOKUP($A19,Input_Raw!$A:$A,Input_Raw!$CY:$CY),"")</f>
        <v>7.0363546166666593</v>
      </c>
      <c r="H19" s="185">
        <f>IFERROR(_xlfn.XLOOKUP($A19,Input_Raw!$A:$A,Input_Raw!$DA:$DA),"")</f>
        <v>1.3790044999999982</v>
      </c>
      <c r="I19" s="185">
        <f>IFERROR(_xlfn.XLOOKUP($A19,Input_Raw!$A:$A,Input_Raw!$CX:$CX),"")</f>
        <v>7.1474630166666611</v>
      </c>
      <c r="J19" s="185">
        <f>IFERROR(_xlfn.XLOOKUP($A19,Input_Raw!$A:$A,Input_Raw!$CZ:$CZ),"")</f>
        <v>0.92568135000000074</v>
      </c>
      <c r="K19" s="201">
        <f>IFERROR(_xlfn.XLOOKUP($A19,Input_Raw!$A:$A,Input_Raw!$DB:$DB),"")</f>
        <v>33.69563492063493</v>
      </c>
      <c r="L19" s="201">
        <f>IFERROR(_xlfn.XLOOKUP($A19,Input_Raw!$A:$A,Input_Raw!$DC:$DC),"")</f>
        <v>47.241304232804232</v>
      </c>
      <c r="M19" s="200">
        <f>IFERROR(_xlfn.XLOOKUP($A19,Input_Raw!$A:$A,Input_Raw!$DF:$DF),"")</f>
        <v>1.3764973544973564</v>
      </c>
      <c r="N19" s="200">
        <f>IFERROR(_xlfn.XLOOKUP($A19,Input_Raw!$A:$A,Input_Raw!$DG:$DG),"")</f>
        <v>2.8740000000000001</v>
      </c>
      <c r="O19" s="230">
        <f>IFERROR(1-(SUMIF(Plant_BD!$B:$B,$A19,Plant_BD!$AL:$AL)/($AA19+SUMIF(Plant_BD!$B:$B,$A19,Plant_BD!$AL:$AL))),"")</f>
        <v>0.97484480713645372</v>
      </c>
      <c r="P19" s="230"/>
      <c r="Q19" s="231">
        <f>IFERROR(1-(SUMIF(Grid_BD!$B:$B,$A19,Grid_BD!$V:$V)/($AA19+SUMIF(Grid_BD!$B:$B,$A19,Grid_BD!$V:$V))),"")</f>
        <v>1</v>
      </c>
      <c r="R19" s="230">
        <f>IFERROR(1-(SUMIF(Grid_BD!$B:$B,$A19,Grid_BD!$V:$V)/($AA19+SUMIF(Grid_BD!$B:$B,$A19,Grid_BD!$V:$V))),"")</f>
        <v>1</v>
      </c>
      <c r="S19" s="9"/>
      <c r="T19" s="231"/>
      <c r="U19" s="232">
        <f t="shared" si="1"/>
        <v>0.76213255990443596</v>
      </c>
      <c r="V19" s="232">
        <f>IFERROR(_xlfn.XLOOKUP($A19,Input_Raw!$A:$A,Input_Raw!$FG:$FG),"")</f>
        <v>0</v>
      </c>
      <c r="W19" s="233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85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33">
        <f>IFERROR(_xlfn.XLOOKUP($D19,'Modelling New'!$D:$D,'Modelling New'!O:O),"")</f>
        <v>0.76452024028227472</v>
      </c>
      <c r="AF19" s="233">
        <f>IFERROR(_xlfn.XLOOKUP($D19,'Modelling New'!$D:$D,'Modelling New'!W:W),"")</f>
        <v>0.22744477148397671</v>
      </c>
      <c r="AG19" s="233">
        <f>IFERROR(_xlfn.XLOOKUP($D19,'Modelling New'!$D:$D,'Modelling New'!AE:AE),"")</f>
        <v>0.995</v>
      </c>
      <c r="AH19" s="233">
        <f>IFERROR(_xlfn.XLOOKUP($D19,'Modelling New'!$D:$D,'Modelling New'!AF:AF),"")</f>
        <v>0.995</v>
      </c>
      <c r="AI19" s="9"/>
      <c r="AJ19" s="9"/>
      <c r="AK19" s="256"/>
      <c r="AL19" s="256"/>
      <c r="AM19" s="256"/>
      <c r="AN19" s="230"/>
      <c r="AO19" s="233"/>
      <c r="AP19" s="233"/>
      <c r="AQ19" s="233"/>
      <c r="AR19" s="234">
        <f>_xlfn.XLOOKUP(D19,'Modelling New'!$D:$D,'Modelling New'!$N:$N)</f>
        <v>130</v>
      </c>
      <c r="AS19" s="234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29">
        <f>Table13[[#This Row],[Date]]-DAY(Table13[[#This Row],[Date]])+1</f>
        <v>45748</v>
      </c>
      <c r="E20" s="9">
        <f t="shared" si="0"/>
        <v>30</v>
      </c>
      <c r="F20" s="199">
        <f>IFERROR(_xlfn.XLOOKUP($A20,Input_Raw!$A:$A,Input_Raw!$FC:$FC),"")</f>
        <v>11.5</v>
      </c>
      <c r="G20" s="200">
        <f>IFERROR(_xlfn.XLOOKUP($A20,Input_Raw!$A:$A,Input_Raw!$CY:$CY),"")</f>
        <v>6.3113735000000091</v>
      </c>
      <c r="H20" s="200">
        <f>IFERROR(_xlfn.XLOOKUP($A20,Input_Raw!$A:$A,Input_Raw!$DA:$DA),"")</f>
        <v>1.2429307333333328</v>
      </c>
      <c r="I20" s="200">
        <f>IFERROR(_xlfn.XLOOKUP($A20,Input_Raw!$A:$A,Input_Raw!$CX:$CX),"")</f>
        <v>6.420340383333329</v>
      </c>
      <c r="J20" s="200">
        <f>IFERROR(_xlfn.XLOOKUP($A20,Input_Raw!$A:$A,Input_Raw!$CZ:$CZ),"")</f>
        <v>0.8414362833333342</v>
      </c>
      <c r="K20" s="201">
        <f>IFERROR(_xlfn.XLOOKUP($A20,Input_Raw!$A:$A,Input_Raw!$DB:$DB),"")</f>
        <v>33.827604501607738</v>
      </c>
      <c r="L20" s="201">
        <f>IFERROR(_xlfn.XLOOKUP($A20,Input_Raw!$A:$A,Input_Raw!$DC:$DC),"")</f>
        <v>46.984334405144693</v>
      </c>
      <c r="M20" s="200">
        <f>IFERROR(_xlfn.XLOOKUP($A20,Input_Raw!$A:$A,Input_Raw!$DF:$DF),"")</f>
        <v>1.0567837620578757</v>
      </c>
      <c r="N20" s="200">
        <f>IFERROR(_xlfn.XLOOKUP($A20,Input_Raw!$A:$A,Input_Raw!$DG:$DG),"")</f>
        <v>3.0089999999999999</v>
      </c>
      <c r="O20" s="230">
        <f>IFERROR(1-(SUMIF(Plant_BD!$B:$B,$A20,Plant_BD!$AL:$AL)/($AA20+SUMIF(Plant_BD!$B:$B,$A20,Plant_BD!$AL:$AL))),"")</f>
        <v>0.9763732465823709</v>
      </c>
      <c r="P20" s="230"/>
      <c r="Q20" s="231">
        <f>IFERROR(1-(SUMIF(Grid_BD!$B:$B,$A20,Grid_BD!$V:$V)/($AA20+SUMIF(Grid_BD!$B:$B,$A20,Grid_BD!$V:$V))),"")</f>
        <v>1</v>
      </c>
      <c r="R20" s="230">
        <f>IFERROR(1-(SUMIF(Grid_BD!$B:$B,$A20,Grid_BD!$V:$V)/($AA20+SUMIF(Grid_BD!$B:$B,$A20,Grid_BD!$V:$V))),"")</f>
        <v>1</v>
      </c>
      <c r="S20" s="9"/>
      <c r="T20" s="231"/>
      <c r="U20" s="232">
        <f t="shared" si="1"/>
        <v>0.7754996045842717</v>
      </c>
      <c r="V20" s="232">
        <f>IFERROR(_xlfn.XLOOKUP($A20,Input_Raw!$A:$A,Input_Raw!$FG:$FG),"")</f>
        <v>0</v>
      </c>
      <c r="W20" s="233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85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33">
        <f>IFERROR(_xlfn.XLOOKUP($D20,'Modelling New'!$D:$D,'Modelling New'!O:O),"")</f>
        <v>0.76452024028227472</v>
      </c>
      <c r="AF20" s="233">
        <f>IFERROR(_xlfn.XLOOKUP($D20,'Modelling New'!$D:$D,'Modelling New'!W:W),"")</f>
        <v>0.22744477148397671</v>
      </c>
      <c r="AG20" s="233">
        <f>IFERROR(_xlfn.XLOOKUP($D20,'Modelling New'!$D:$D,'Modelling New'!AE:AE),"")</f>
        <v>0.995</v>
      </c>
      <c r="AH20" s="233">
        <f>IFERROR(_xlfn.XLOOKUP($D20,'Modelling New'!$D:$D,'Modelling New'!AF:AF),"")</f>
        <v>0.995</v>
      </c>
      <c r="AI20" s="9"/>
      <c r="AJ20" s="9"/>
      <c r="AK20" s="256"/>
      <c r="AL20" s="256"/>
      <c r="AM20" s="256"/>
      <c r="AN20" s="230"/>
      <c r="AO20" s="233"/>
      <c r="AP20" s="233"/>
      <c r="AQ20" s="233"/>
      <c r="AR20" s="234">
        <f>_xlfn.XLOOKUP(D20,'Modelling New'!$D:$D,'Modelling New'!$N:$N)</f>
        <v>130</v>
      </c>
      <c r="AS20" s="234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29">
        <f>Table13[[#This Row],[Date]]-DAY(Table13[[#This Row],[Date]])+1</f>
        <v>45748</v>
      </c>
      <c r="E21" s="9">
        <f t="shared" si="0"/>
        <v>30</v>
      </c>
      <c r="F21" s="199">
        <f>IFERROR(_xlfn.XLOOKUP($A21,Input_Raw!$A:$A,Input_Raw!$FC:$FC),"")</f>
        <v>11.933333333333332</v>
      </c>
      <c r="G21" s="185">
        <f>IFERROR(_xlfn.XLOOKUP($A21,Input_Raw!$A:$A,Input_Raw!$CY:$CY),"")</f>
        <v>7.0730000000000004</v>
      </c>
      <c r="H21" s="185">
        <f>IFERROR(_xlfn.XLOOKUP($A21,Input_Raw!$A:$A,Input_Raw!$DA:$DA),"")</f>
        <v>1.3979999999999999</v>
      </c>
      <c r="I21" s="185">
        <f>IFERROR(_xlfn.XLOOKUP($A21,Input_Raw!$A:$A,Input_Raw!$CX:$CX),"")</f>
        <v>7.149</v>
      </c>
      <c r="J21" s="185">
        <f>IFERROR(_xlfn.XLOOKUP($A21,Input_Raw!$A:$A,Input_Raw!$CZ:$CZ),"")</f>
        <v>0.92800000000000005</v>
      </c>
      <c r="K21" s="201">
        <f>IFERROR(_xlfn.XLOOKUP($A21,Input_Raw!$A:$A,Input_Raw!$DB:$DB),"")</f>
        <v>34.167000000000002</v>
      </c>
      <c r="L21" s="201">
        <f>IFERROR(_xlfn.XLOOKUP($A21,Input_Raw!$A:$A,Input_Raw!$DC:$DC),"")</f>
        <v>45.872999999999998</v>
      </c>
      <c r="M21" s="200">
        <f>IFERROR(_xlfn.XLOOKUP($A21,Input_Raw!$A:$A,Input_Raw!$DF:$DF),"")</f>
        <v>1.0720000000000001</v>
      </c>
      <c r="N21" s="200">
        <f>IFERROR(_xlfn.XLOOKUP($A21,Input_Raw!$A:$A,Input_Raw!$DG:$DG),"")</f>
        <v>2.58</v>
      </c>
      <c r="O21" s="230">
        <f>IFERROR(1-(SUMIF(Plant_BD!$B:$B,$A21,Plant_BD!$AL:$AL)/($AA21+SUMIF(Plant_BD!$B:$B,$A21,Plant_BD!$AL:$AL))),"")</f>
        <v>0.99916696434399843</v>
      </c>
      <c r="P21" s="230"/>
      <c r="Q21" s="231">
        <f>IFERROR(1-(SUMIF(Grid_BD!$B:$B,$A21,Grid_BD!$V:$V)/($AA21+SUMIF(Grid_BD!$B:$B,$A21,Grid_BD!$V:$V))),"")</f>
        <v>1</v>
      </c>
      <c r="R21" s="230">
        <f>IFERROR(1-(SUMIF(Grid_BD!$B:$B,$A21,Grid_BD!$V:$V)/($AA21+SUMIF(Grid_BD!$B:$B,$A21,Grid_BD!$V:$V))),"")</f>
        <v>1</v>
      </c>
      <c r="S21" s="9"/>
      <c r="T21" s="231"/>
      <c r="U21" s="232">
        <f t="shared" si="1"/>
        <v>0.78633175469096028</v>
      </c>
      <c r="V21" s="232">
        <f>IFERROR(_xlfn.XLOOKUP($A21,Input_Raw!$A:$A,Input_Raw!$FG:$FG),"")</f>
        <v>0</v>
      </c>
      <c r="W21" s="233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85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33">
        <f>IFERROR(_xlfn.XLOOKUP($D21,'Modelling New'!$D:$D,'Modelling New'!O:O),"")</f>
        <v>0.76452024028227472</v>
      </c>
      <c r="AF21" s="233">
        <f>IFERROR(_xlfn.XLOOKUP($D21,'Modelling New'!$D:$D,'Modelling New'!W:W),"")</f>
        <v>0.22744477148397671</v>
      </c>
      <c r="AG21" s="233">
        <f>IFERROR(_xlfn.XLOOKUP($D21,'Modelling New'!$D:$D,'Modelling New'!AE:AE),"")</f>
        <v>0.995</v>
      </c>
      <c r="AH21" s="233">
        <f>IFERROR(_xlfn.XLOOKUP($D21,'Modelling New'!$D:$D,'Modelling New'!AF:AF),"")</f>
        <v>0.995</v>
      </c>
      <c r="AI21" s="9"/>
      <c r="AJ21" s="9"/>
      <c r="AK21" s="256"/>
      <c r="AL21" s="256"/>
      <c r="AM21" s="256"/>
      <c r="AN21" s="230"/>
      <c r="AO21" s="233"/>
      <c r="AP21" s="233"/>
      <c r="AQ21" s="233"/>
      <c r="AR21" s="234">
        <f>_xlfn.XLOOKUP(D21,'Modelling New'!$D:$D,'Modelling New'!$N:$N)</f>
        <v>130</v>
      </c>
      <c r="AS21" s="234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29">
        <f>Table13[[#This Row],[Date]]-DAY(Table13[[#This Row],[Date]])+1</f>
        <v>45748</v>
      </c>
      <c r="E22" s="9">
        <f t="shared" si="0"/>
        <v>30</v>
      </c>
      <c r="F22" s="199">
        <f>IFERROR(_xlfn.XLOOKUP($A22,Input_Raw!$A:$A,Input_Raw!$FC:$FC),"")</f>
        <v>11.950000000000001</v>
      </c>
      <c r="G22" s="200">
        <f>IFERROR(_xlfn.XLOOKUP($A22,Input_Raw!$A:$A,Input_Raw!$CY:$CY),"")</f>
        <v>6.26</v>
      </c>
      <c r="H22" s="200">
        <f>IFERROR(_xlfn.XLOOKUP($A22,Input_Raw!$A:$A,Input_Raw!$DA:$DA),"")</f>
        <v>1.248</v>
      </c>
      <c r="I22" s="200">
        <f>IFERROR(_xlfn.XLOOKUP($A22,Input_Raw!$A:$A,Input_Raw!$CX:$CX),"")</f>
        <v>6.3220000000000001</v>
      </c>
      <c r="J22" s="200">
        <f>IFERROR(_xlfn.XLOOKUP($A22,Input_Raw!$A:$A,Input_Raw!$CZ:$CZ),"")</f>
        <v>0.77400000000000002</v>
      </c>
      <c r="K22" s="201">
        <f>IFERROR(_xlfn.XLOOKUP($A22,Input_Raw!$A:$A,Input_Raw!$DB:$DB),"")</f>
        <v>34.081000000000003</v>
      </c>
      <c r="L22" s="201">
        <f>IFERROR(_xlfn.XLOOKUP($A22,Input_Raw!$A:$A,Input_Raw!$DC:$DC),"")</f>
        <v>45.521000000000001</v>
      </c>
      <c r="M22" s="200">
        <f>IFERROR(_xlfn.XLOOKUP($A22,Input_Raw!$A:$A,Input_Raw!$DF:$DF),"")</f>
        <v>1.167</v>
      </c>
      <c r="N22" s="200">
        <f>IFERROR(_xlfn.XLOOKUP($A22,Input_Raw!$A:$A,Input_Raw!$DG:$DG),"")</f>
        <v>3.117</v>
      </c>
      <c r="O22" s="230">
        <f>IFERROR(1-(SUMIF(Plant_BD!$B:$B,$A22,Plant_BD!$AL:$AL)/($AA22+SUMIF(Plant_BD!$B:$B,$A22,Plant_BD!$AL:$AL))),"")</f>
        <v>1</v>
      </c>
      <c r="P22" s="230"/>
      <c r="Q22" s="231">
        <f>IFERROR(1-(SUMIF(Grid_BD!$B:$B,$A22,Grid_BD!$V:$V)/($AA22+SUMIF(Grid_BD!$B:$B,$A22,Grid_BD!$V:$V))),"")</f>
        <v>1</v>
      </c>
      <c r="R22" s="230">
        <f>IFERROR(1-(SUMIF(Grid_BD!$B:$B,$A22,Grid_BD!$V:$V)/($AA22+SUMIF(Grid_BD!$B:$B,$A22,Grid_BD!$V:$V))),"")</f>
        <v>1</v>
      </c>
      <c r="S22" s="9"/>
      <c r="T22" s="231"/>
      <c r="U22" s="232">
        <f t="shared" si="1"/>
        <v>0.78832195959685358</v>
      </c>
      <c r="V22" s="232">
        <f>IFERROR(_xlfn.XLOOKUP($A22,Input_Raw!$A:$A,Input_Raw!$FG:$FG),"")</f>
        <v>0</v>
      </c>
      <c r="W22" s="233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85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33">
        <f>IFERROR(_xlfn.XLOOKUP($D22,'Modelling New'!$D:$D,'Modelling New'!O:O),"")</f>
        <v>0.76452024028227472</v>
      </c>
      <c r="AF22" s="233">
        <f>IFERROR(_xlfn.XLOOKUP($D22,'Modelling New'!$D:$D,'Modelling New'!W:W),"")</f>
        <v>0.22744477148397671</v>
      </c>
      <c r="AG22" s="233">
        <f>IFERROR(_xlfn.XLOOKUP($D22,'Modelling New'!$D:$D,'Modelling New'!AE:AE),"")</f>
        <v>0.995</v>
      </c>
      <c r="AH22" s="233">
        <f>IFERROR(_xlfn.XLOOKUP($D22,'Modelling New'!$D:$D,'Modelling New'!AF:AF),"")</f>
        <v>0.995</v>
      </c>
      <c r="AI22" s="9"/>
      <c r="AJ22" s="9"/>
      <c r="AK22" s="256"/>
      <c r="AL22" s="256"/>
      <c r="AM22" s="256"/>
      <c r="AN22" s="230"/>
      <c r="AO22" s="233"/>
      <c r="AP22" s="233"/>
      <c r="AQ22" s="233"/>
      <c r="AR22" s="234">
        <f>_xlfn.XLOOKUP(D22,'Modelling New'!$D:$D,'Modelling New'!$N:$N)</f>
        <v>130</v>
      </c>
      <c r="AS22" s="234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29">
        <f>Table13[[#This Row],[Date]]-DAY(Table13[[#This Row],[Date]])+1</f>
        <v>45748</v>
      </c>
      <c r="E23" s="9">
        <f t="shared" si="0"/>
        <v>30</v>
      </c>
      <c r="F23" s="199">
        <f>IFERROR(_xlfn.XLOOKUP($A23,Input_Raw!$A:$A,Input_Raw!$FC:$FC),"")</f>
        <v>12.066666666666666</v>
      </c>
      <c r="G23" s="185">
        <f>IFERROR(_xlfn.XLOOKUP($A23,Input_Raw!$A:$A,Input_Raw!$CY:$CY),"")</f>
        <v>7.1534676333333289</v>
      </c>
      <c r="H23" s="185">
        <f>IFERROR(_xlfn.XLOOKUP($A23,Input_Raw!$A:$A,Input_Raw!$DA:$DA),"")</f>
        <v>1.4176835499999965</v>
      </c>
      <c r="I23" s="185">
        <f>IFERROR(_xlfn.XLOOKUP($A23,Input_Raw!$A:$A,Input_Raw!$CX:$CX),"")</f>
        <v>7.2034397833333221</v>
      </c>
      <c r="J23" s="185">
        <f>IFERROR(_xlfn.XLOOKUP($A23,Input_Raw!$A:$A,Input_Raw!$CZ:$CZ),"")</f>
        <v>0.94859071666666694</v>
      </c>
      <c r="K23" s="201">
        <f>IFERROR(_xlfn.XLOOKUP($A23,Input_Raw!$A:$A,Input_Raw!$DB:$DB),"")</f>
        <v>33.854152777777742</v>
      </c>
      <c r="L23" s="201">
        <f>IFERROR(_xlfn.XLOOKUP($A23,Input_Raw!$A:$A,Input_Raw!$DC:$DC),"")</f>
        <v>45.871319444444431</v>
      </c>
      <c r="M23" s="200">
        <f>IFERROR(_xlfn.XLOOKUP($A23,Input_Raw!$A:$A,Input_Raw!$DF:$DF),"")</f>
        <v>1.3137354166666648</v>
      </c>
      <c r="N23" s="200">
        <f>IFERROR(_xlfn.XLOOKUP($A23,Input_Raw!$A:$A,Input_Raw!$DG:$DG),"")</f>
        <v>3.1829999999999998</v>
      </c>
      <c r="O23" s="230">
        <f>IFERROR(1-(SUMIF(Plant_BD!$B:$B,$A23,Plant_BD!$AL:$AL)/($AA23+SUMIF(Plant_BD!$B:$B,$A23,Plant_BD!$AL:$AL))),"")</f>
        <v>1</v>
      </c>
      <c r="P23" s="230"/>
      <c r="Q23" s="231">
        <f>IFERROR(1-(SUMIF(Grid_BD!$B:$B,$A23,Grid_BD!$V:$V)/($AA23+SUMIF(Grid_BD!$B:$B,$A23,Grid_BD!$V:$V))),"")</f>
        <v>1</v>
      </c>
      <c r="R23" s="230">
        <f>IFERROR(1-(SUMIF(Grid_BD!$B:$B,$A23,Grid_BD!$V:$V)/($AA23+SUMIF(Grid_BD!$B:$B,$A23,Grid_BD!$V:$V))),"")</f>
        <v>1</v>
      </c>
      <c r="S23" s="9"/>
      <c r="T23" s="231"/>
      <c r="U23" s="232">
        <f t="shared" si="1"/>
        <v>0.80571031185883013</v>
      </c>
      <c r="V23" s="232">
        <f>IFERROR(_xlfn.XLOOKUP($A23,Input_Raw!$A:$A,Input_Raw!$FG:$FG),"")</f>
        <v>0</v>
      </c>
      <c r="W23" s="233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85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33">
        <f>IFERROR(_xlfn.XLOOKUP($D23,'Modelling New'!$D:$D,'Modelling New'!O:O),"")</f>
        <v>0.76452024028227472</v>
      </c>
      <c r="AF23" s="233">
        <f>IFERROR(_xlfn.XLOOKUP($D23,'Modelling New'!$D:$D,'Modelling New'!W:W),"")</f>
        <v>0.22744477148397671</v>
      </c>
      <c r="AG23" s="233">
        <f>IFERROR(_xlfn.XLOOKUP($D23,'Modelling New'!$D:$D,'Modelling New'!AE:AE),"")</f>
        <v>0.995</v>
      </c>
      <c r="AH23" s="233">
        <f>IFERROR(_xlfn.XLOOKUP($D23,'Modelling New'!$D:$D,'Modelling New'!AF:AF),"")</f>
        <v>0.995</v>
      </c>
      <c r="AI23" s="9"/>
      <c r="AJ23" s="9"/>
      <c r="AK23" s="256"/>
      <c r="AL23" s="256"/>
      <c r="AM23" s="256"/>
      <c r="AN23" s="230"/>
      <c r="AO23" s="233"/>
      <c r="AP23" s="233"/>
      <c r="AQ23" s="233"/>
      <c r="AR23" s="234">
        <f>_xlfn.XLOOKUP(D23,'Modelling New'!$D:$D,'Modelling New'!$N:$N)</f>
        <v>130</v>
      </c>
      <c r="AS23" s="234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29">
        <f>Table13[[#This Row],[Date]]-DAY(Table13[[#This Row],[Date]])+1</f>
        <v>45748</v>
      </c>
      <c r="E24" s="9">
        <f t="shared" si="0"/>
        <v>30</v>
      </c>
      <c r="F24" s="199">
        <f>IFERROR(_xlfn.XLOOKUP($A24,Input_Raw!$A:$A,Input_Raw!$FC:$FC),"")</f>
        <v>12.083333333333336</v>
      </c>
      <c r="G24" s="200">
        <f>IFERROR(_xlfn.XLOOKUP($A24,Input_Raw!$A:$A,Input_Raw!$CY:$CY),"")</f>
        <v>7.3981508166666661</v>
      </c>
      <c r="H24" s="200">
        <f>IFERROR(_xlfn.XLOOKUP($A24,Input_Raw!$A:$A,Input_Raw!$DA:$DA),"")</f>
        <v>1.4598083333333318</v>
      </c>
      <c r="I24" s="200">
        <f>IFERROR(_xlfn.XLOOKUP($A24,Input_Raw!$A:$A,Input_Raw!$CX:$CX),"")</f>
        <v>7.4408317166666675</v>
      </c>
      <c r="J24" s="200">
        <f>IFERROR(_xlfn.XLOOKUP($A24,Input_Raw!$A:$A,Input_Raw!$CZ:$CZ),"")</f>
        <v>0.96290266666666546</v>
      </c>
      <c r="K24" s="201">
        <f>IFERROR(_xlfn.XLOOKUP($A24,Input_Raw!$A:$A,Input_Raw!$DB:$DB),"")</f>
        <v>32.920486061472424</v>
      </c>
      <c r="L24" s="201">
        <f>IFERROR(_xlfn.XLOOKUP($A24,Input_Raw!$A:$A,Input_Raw!$DC:$DC),"")</f>
        <v>44.980195139385259</v>
      </c>
      <c r="M24" s="200">
        <f>IFERROR(_xlfn.XLOOKUP($A24,Input_Raw!$A:$A,Input_Raw!$DF:$DF),"")</f>
        <v>1.3652423159399565</v>
      </c>
      <c r="N24" s="200">
        <f>IFERROR(_xlfn.XLOOKUP($A24,Input_Raw!$A:$A,Input_Raw!$DG:$DG),"")</f>
        <v>2.9910000000000001</v>
      </c>
      <c r="O24" s="230">
        <f>IFERROR(1-(SUMIF(Plant_BD!$B:$B,$A24,Plant_BD!$AL:$AL)/($AA24+SUMIF(Plant_BD!$B:$B,$A24,Plant_BD!$AL:$AL))),"")</f>
        <v>1</v>
      </c>
      <c r="P24" s="230"/>
      <c r="Q24" s="231">
        <f>IFERROR(1-(SUMIF(Grid_BD!$B:$B,$A24,Grid_BD!$V:$V)/($AA24+SUMIF(Grid_BD!$B:$B,$A24,Grid_BD!$V:$V))),"")</f>
        <v>1</v>
      </c>
      <c r="R24" s="230">
        <f>IFERROR(1-(SUMIF(Grid_BD!$B:$B,$A24,Grid_BD!$V:$V)/($AA24+SUMIF(Grid_BD!$B:$B,$A24,Grid_BD!$V:$V))),"")</f>
        <v>1</v>
      </c>
      <c r="S24" s="9"/>
      <c r="T24" s="231"/>
      <c r="U24" s="232">
        <f t="shared" si="1"/>
        <v>0.80802027059365578</v>
      </c>
      <c r="V24" s="232">
        <f>IFERROR(_xlfn.XLOOKUP($A24,Input_Raw!$A:$A,Input_Raw!$FG:$FG),"")</f>
        <v>0</v>
      </c>
      <c r="W24" s="233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85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33">
        <f>IFERROR(_xlfn.XLOOKUP($D24,'Modelling New'!$D:$D,'Modelling New'!O:O),"")</f>
        <v>0.76452024028227472</v>
      </c>
      <c r="AF24" s="233">
        <f>IFERROR(_xlfn.XLOOKUP($D24,'Modelling New'!$D:$D,'Modelling New'!W:W),"")</f>
        <v>0.22744477148397671</v>
      </c>
      <c r="AG24" s="233">
        <f>IFERROR(_xlfn.XLOOKUP($D24,'Modelling New'!$D:$D,'Modelling New'!AE:AE),"")</f>
        <v>0.995</v>
      </c>
      <c r="AH24" s="233">
        <f>IFERROR(_xlfn.XLOOKUP($D24,'Modelling New'!$D:$D,'Modelling New'!AF:AF),"")</f>
        <v>0.995</v>
      </c>
      <c r="AI24" s="9"/>
      <c r="AJ24" s="9"/>
      <c r="AK24" s="256"/>
      <c r="AL24" s="256"/>
      <c r="AM24" s="256"/>
      <c r="AN24" s="230"/>
      <c r="AO24" s="233"/>
      <c r="AP24" s="233"/>
      <c r="AQ24" s="233"/>
      <c r="AR24" s="234">
        <f>_xlfn.XLOOKUP(D24,'Modelling New'!$D:$D,'Modelling New'!$N:$N)</f>
        <v>130</v>
      </c>
      <c r="AS24" s="234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29">
        <f>Table13[[#This Row],[Date]]-DAY(Table13[[#This Row],[Date]])+1</f>
        <v>45748</v>
      </c>
      <c r="E25" s="9">
        <f t="shared" si="0"/>
        <v>30</v>
      </c>
      <c r="F25" s="199">
        <f>IFERROR(_xlfn.XLOOKUP($A25,Input_Raw!$A:$A,Input_Raw!$FC:$FC),"")</f>
        <v>12.116666666666669</v>
      </c>
      <c r="G25" s="185">
        <f>IFERROR(_xlfn.XLOOKUP($A25,Input_Raw!$A:$A,Input_Raw!$CY:$CY),"")</f>
        <v>7.0362274333333339</v>
      </c>
      <c r="H25" s="185">
        <f>IFERROR(_xlfn.XLOOKUP($A25,Input_Raw!$A:$A,Input_Raw!$DA:$DA),"")</f>
        <v>1.3952645166666668</v>
      </c>
      <c r="I25" s="185">
        <f>IFERROR(_xlfn.XLOOKUP($A25,Input_Raw!$A:$A,Input_Raw!$CX:$CX),"")</f>
        <v>7.0776942666666569</v>
      </c>
      <c r="J25" s="185">
        <f>IFERROR(_xlfn.XLOOKUP($A25,Input_Raw!$A:$A,Input_Raw!$CZ:$CZ),"")</f>
        <v>0.94385484999999969</v>
      </c>
      <c r="K25" s="201">
        <f>IFERROR(_xlfn.XLOOKUP($A25,Input_Raw!$A:$A,Input_Raw!$DB:$DB),"")</f>
        <v>32.514258351893069</v>
      </c>
      <c r="L25" s="201">
        <f>IFERROR(_xlfn.XLOOKUP($A25,Input_Raw!$A:$A,Input_Raw!$DC:$DC),"")</f>
        <v>44.512149962880457</v>
      </c>
      <c r="M25" s="200">
        <f>IFERROR(_xlfn.XLOOKUP($A25,Input_Raw!$A:$A,Input_Raw!$DF:$DF),"")</f>
        <v>1.0995263548626577</v>
      </c>
      <c r="N25" s="200">
        <f>IFERROR(_xlfn.XLOOKUP($A25,Input_Raw!$A:$A,Input_Raw!$DG:$DG),"")</f>
        <v>2.4569999999999999</v>
      </c>
      <c r="O25" s="230">
        <f>IFERROR(1-(SUMIF(Plant_BD!$B:$B,$A25,Plant_BD!$AL:$AL)/($AA25+SUMIF(Plant_BD!$B:$B,$A25,Plant_BD!$AL:$AL))),"")</f>
        <v>1</v>
      </c>
      <c r="P25" s="230"/>
      <c r="Q25" s="231">
        <f>IFERROR(1-(SUMIF(Grid_BD!$B:$B,$A25,Grid_BD!$V:$V)/($AA25+SUMIF(Grid_BD!$B:$B,$A25,Grid_BD!$V:$V))),"")</f>
        <v>1</v>
      </c>
      <c r="R25" s="230">
        <f>IFERROR(1-(SUMIF(Grid_BD!$B:$B,$A25,Grid_BD!$V:$V)/($AA25+SUMIF(Grid_BD!$B:$B,$A25,Grid_BD!$V:$V))),"")</f>
        <v>1</v>
      </c>
      <c r="S25" s="9"/>
      <c r="T25" s="231"/>
      <c r="U25" s="232">
        <f t="shared" si="1"/>
        <v>0.84056430225815804</v>
      </c>
      <c r="V25" s="232">
        <f>IFERROR(_xlfn.XLOOKUP($A25,Input_Raw!$A:$A,Input_Raw!$FG:$FG),"")</f>
        <v>0</v>
      </c>
      <c r="W25" s="233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85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33">
        <f>IFERROR(_xlfn.XLOOKUP($D25,'Modelling New'!$D:$D,'Modelling New'!O:O),"")</f>
        <v>0.76452024028227472</v>
      </c>
      <c r="AF25" s="233">
        <f>IFERROR(_xlfn.XLOOKUP($D25,'Modelling New'!$D:$D,'Modelling New'!W:W),"")</f>
        <v>0.22744477148397671</v>
      </c>
      <c r="AG25" s="233">
        <f>IFERROR(_xlfn.XLOOKUP($D25,'Modelling New'!$D:$D,'Modelling New'!AE:AE),"")</f>
        <v>0.995</v>
      </c>
      <c r="AH25" s="233">
        <f>IFERROR(_xlfn.XLOOKUP($D25,'Modelling New'!$D:$D,'Modelling New'!AF:AF),"")</f>
        <v>0.995</v>
      </c>
      <c r="AI25" s="9"/>
      <c r="AJ25" s="9"/>
      <c r="AK25" s="256"/>
      <c r="AL25" s="256"/>
      <c r="AM25" s="256"/>
      <c r="AN25" s="230"/>
      <c r="AO25" s="233"/>
      <c r="AP25" s="233"/>
      <c r="AQ25" s="233"/>
      <c r="AR25" s="234">
        <f>_xlfn.XLOOKUP(D25,'Modelling New'!$D:$D,'Modelling New'!$N:$N)</f>
        <v>130</v>
      </c>
      <c r="AS25" s="234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29">
        <f>Table13[[#This Row],[Date]]-DAY(Table13[[#This Row],[Date]])+1</f>
        <v>45748</v>
      </c>
      <c r="E26" s="9">
        <f t="shared" si="0"/>
        <v>30</v>
      </c>
      <c r="F26" s="199">
        <f>IFERROR(_xlfn.XLOOKUP($A26,Input_Raw!$A:$A,Input_Raw!$FC:$FC),"")</f>
        <v>12.133333333333333</v>
      </c>
      <c r="G26" s="200">
        <f>IFERROR(_xlfn.XLOOKUP($A26,Input_Raw!$A:$A,Input_Raw!$CY:$CY),"")</f>
        <v>7.2761967333333297</v>
      </c>
      <c r="H26" s="200">
        <f>IFERROR(_xlfn.XLOOKUP($A26,Input_Raw!$A:$A,Input_Raw!$DA:$DA),"")</f>
        <v>1.4461927166666662</v>
      </c>
      <c r="I26" s="200">
        <f>IFERROR(_xlfn.XLOOKUP($A26,Input_Raw!$A:$A,Input_Raw!$CX:$CX),"")</f>
        <v>7.3124169833333426</v>
      </c>
      <c r="J26" s="200">
        <f>IFERROR(_xlfn.XLOOKUP($A26,Input_Raw!$A:$A,Input_Raw!$CZ:$CZ),"")</f>
        <v>0.97527401666666591</v>
      </c>
      <c r="K26" s="201">
        <f>IFERROR(_xlfn.XLOOKUP($A26,Input_Raw!$A:$A,Input_Raw!$DB:$DB),"")</f>
        <v>33.894411326378489</v>
      </c>
      <c r="L26" s="201">
        <f>IFERROR(_xlfn.XLOOKUP($A26,Input_Raw!$A:$A,Input_Raw!$DC:$DC),"")</f>
        <v>46.28647540983598</v>
      </c>
      <c r="M26" s="200">
        <f>IFERROR(_xlfn.XLOOKUP($A26,Input_Raw!$A:$A,Input_Raw!$DF:$DF),"")</f>
        <v>0.98780923994038716</v>
      </c>
      <c r="N26" s="200">
        <f>IFERROR(_xlfn.XLOOKUP($A26,Input_Raw!$A:$A,Input_Raw!$DG:$DG),"")</f>
        <v>2.2650000000000001</v>
      </c>
      <c r="O26" s="230">
        <f>IFERROR(1-(SUMIF(Plant_BD!$B:$B,$A26,Plant_BD!$AL:$AL)/($AA26+SUMIF(Plant_BD!$B:$B,$A26,Plant_BD!$AL:$AL))),"")</f>
        <v>0.98708619005850085</v>
      </c>
      <c r="P26" s="230"/>
      <c r="Q26" s="231">
        <f>IFERROR(1-(SUMIF(Grid_BD!$B:$B,$A26,Grid_BD!$V:$V)/($AA26+SUMIF(Grid_BD!$B:$B,$A26,Grid_BD!$V:$V))),"")</f>
        <v>1</v>
      </c>
      <c r="R26" s="230">
        <f>IFERROR(1-(SUMIF(Grid_BD!$B:$B,$A26,Grid_BD!$V:$V)/($AA26+SUMIF(Grid_BD!$B:$B,$A26,Grid_BD!$V:$V))),"")</f>
        <v>1</v>
      </c>
      <c r="S26" s="9"/>
      <c r="T26" s="231"/>
      <c r="U26" s="232">
        <f t="shared" si="1"/>
        <v>0.80392414502990461</v>
      </c>
      <c r="V26" s="232">
        <f>IFERROR(_xlfn.XLOOKUP($A26,Input_Raw!$A:$A,Input_Raw!$FG:$FG),"")</f>
        <v>0</v>
      </c>
      <c r="W26" s="233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85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33">
        <f>IFERROR(_xlfn.XLOOKUP($D26,'Modelling New'!$D:$D,'Modelling New'!O:O),"")</f>
        <v>0.76452024028227472</v>
      </c>
      <c r="AF26" s="233">
        <f>IFERROR(_xlfn.XLOOKUP($D26,'Modelling New'!$D:$D,'Modelling New'!W:W),"")</f>
        <v>0.22744477148397671</v>
      </c>
      <c r="AG26" s="233">
        <f>IFERROR(_xlfn.XLOOKUP($D26,'Modelling New'!$D:$D,'Modelling New'!AE:AE),"")</f>
        <v>0.995</v>
      </c>
      <c r="AH26" s="233">
        <f>IFERROR(_xlfn.XLOOKUP($D26,'Modelling New'!$D:$D,'Modelling New'!AF:AF),"")</f>
        <v>0.995</v>
      </c>
      <c r="AI26" s="9"/>
      <c r="AJ26" s="9"/>
      <c r="AK26" s="256"/>
      <c r="AL26" s="256"/>
      <c r="AM26" s="256"/>
      <c r="AN26" s="230"/>
      <c r="AO26" s="233"/>
      <c r="AP26" s="233"/>
      <c r="AQ26" s="233"/>
      <c r="AR26" s="234">
        <f>_xlfn.XLOOKUP(D26,'Modelling New'!$D:$D,'Modelling New'!$N:$N)</f>
        <v>130</v>
      </c>
      <c r="AS26" s="234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29">
        <f>Table13[[#This Row],[Date]]-DAY(Table13[[#This Row],[Date]])+1</f>
        <v>45748</v>
      </c>
      <c r="E27" s="9">
        <f t="shared" si="0"/>
        <v>30</v>
      </c>
      <c r="F27" s="199">
        <f>IFERROR(_xlfn.XLOOKUP($A27,Input_Raw!$A:$A,Input_Raw!$FC:$FC),"")</f>
        <v>12.1</v>
      </c>
      <c r="G27" s="185">
        <f>IFERROR(_xlfn.XLOOKUP($A27,Input_Raw!$A:$A,Input_Raw!$CY:$CY),"")</f>
        <v>7.2514088000000019</v>
      </c>
      <c r="H27" s="185">
        <f>IFERROR(_xlfn.XLOOKUP($A27,Input_Raw!$A:$A,Input_Raw!$DA:$DA),"")</f>
        <v>1.4546560666666659</v>
      </c>
      <c r="I27" s="185">
        <f>IFERROR(_xlfn.XLOOKUP($A27,Input_Raw!$A:$A,Input_Raw!$CX:$CX),"")</f>
        <v>7.267512199999997</v>
      </c>
      <c r="J27" s="185">
        <f>IFERROR(_xlfn.XLOOKUP($A27,Input_Raw!$A:$A,Input_Raw!$CZ:$CZ),"")</f>
        <v>0.98194756666666594</v>
      </c>
      <c r="K27" s="201">
        <f>IFERROR(_xlfn.XLOOKUP($A27,Input_Raw!$A:$A,Input_Raw!$DB:$DB),"")</f>
        <v>34.564774247491734</v>
      </c>
      <c r="L27" s="201">
        <f>IFERROR(_xlfn.XLOOKUP($A27,Input_Raw!$A:$A,Input_Raw!$DC:$DC),"")</f>
        <v>47.986234949832735</v>
      </c>
      <c r="M27" s="200">
        <f>IFERROR(_xlfn.XLOOKUP($A27,Input_Raw!$A:$A,Input_Raw!$DF:$DF),"")</f>
        <v>0.99358193979933207</v>
      </c>
      <c r="N27" s="200">
        <f>IFERROR(_xlfn.XLOOKUP($A27,Input_Raw!$A:$A,Input_Raw!$DG:$DG),"")</f>
        <v>2.6459999999999999</v>
      </c>
      <c r="O27" s="230">
        <f>IFERROR(1-(SUMIF(Plant_BD!$B:$B,$A27,Plant_BD!$AL:$AL)/($AA27+SUMIF(Plant_BD!$B:$B,$A27,Plant_BD!$AL:$AL))),"")</f>
        <v>1</v>
      </c>
      <c r="P27" s="230"/>
      <c r="Q27" s="231">
        <f>IFERROR(1-(SUMIF(Grid_BD!$B:$B,$A27,Grid_BD!$V:$V)/($AA27+SUMIF(Grid_BD!$B:$B,$A27,Grid_BD!$V:$V))),"")</f>
        <v>1</v>
      </c>
      <c r="R27" s="230">
        <f>IFERROR(1-(SUMIF(Grid_BD!$B:$B,$A27,Grid_BD!$V:$V)/($AA27+SUMIF(Grid_BD!$B:$B,$A27,Grid_BD!$V:$V))),"")</f>
        <v>1</v>
      </c>
      <c r="S27" s="9"/>
      <c r="T27" s="231"/>
      <c r="U27" s="232">
        <f t="shared" si="1"/>
        <v>0.80832534215963558</v>
      </c>
      <c r="V27" s="232">
        <f>IFERROR(_xlfn.XLOOKUP($A27,Input_Raw!$A:$A,Input_Raw!$FG:$FG),"")</f>
        <v>0</v>
      </c>
      <c r="W27" s="233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85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33">
        <f>IFERROR(_xlfn.XLOOKUP($D27,'Modelling New'!$D:$D,'Modelling New'!O:O),"")</f>
        <v>0.76452024028227472</v>
      </c>
      <c r="AF27" s="233">
        <f>IFERROR(_xlfn.XLOOKUP($D27,'Modelling New'!$D:$D,'Modelling New'!W:W),"")</f>
        <v>0.22744477148397671</v>
      </c>
      <c r="AG27" s="233">
        <f>IFERROR(_xlfn.XLOOKUP($D27,'Modelling New'!$D:$D,'Modelling New'!AE:AE),"")</f>
        <v>0.995</v>
      </c>
      <c r="AH27" s="233">
        <f>IFERROR(_xlfn.XLOOKUP($D27,'Modelling New'!$D:$D,'Modelling New'!AF:AF),"")</f>
        <v>0.995</v>
      </c>
      <c r="AI27" s="9"/>
      <c r="AJ27" s="9"/>
      <c r="AK27" s="256"/>
      <c r="AL27" s="256"/>
      <c r="AM27" s="256"/>
      <c r="AN27" s="230"/>
      <c r="AO27" s="233"/>
      <c r="AP27" s="233"/>
      <c r="AQ27" s="233"/>
      <c r="AR27" s="234">
        <f>_xlfn.XLOOKUP(D27,'Modelling New'!$D:$D,'Modelling New'!$N:$N)</f>
        <v>130</v>
      </c>
      <c r="AS27" s="234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29">
        <f>Table13[[#This Row],[Date]]-DAY(Table13[[#This Row],[Date]])+1</f>
        <v>45748</v>
      </c>
      <c r="E28" s="9">
        <f t="shared" si="0"/>
        <v>30</v>
      </c>
      <c r="F28" s="199">
        <f>IFERROR(_xlfn.XLOOKUP($A28,Input_Raw!$A:$A,Input_Raw!$FC:$FC),"")</f>
        <v>12.183333333333335</v>
      </c>
      <c r="G28" s="200">
        <f>IFERROR(_xlfn.XLOOKUP($A28,Input_Raw!$A:$A,Input_Raw!$CY:$CY),"")</f>
        <v>6.942666066666666</v>
      </c>
      <c r="H28" s="200">
        <f>IFERROR(_xlfn.XLOOKUP($A28,Input_Raw!$A:$A,Input_Raw!$DA:$DA),"")</f>
        <v>1.3974052499999994</v>
      </c>
      <c r="I28" s="200">
        <f>IFERROR(_xlfn.XLOOKUP($A28,Input_Raw!$A:$A,Input_Raw!$CX:$CX),"")</f>
        <v>6.9662361500000021</v>
      </c>
      <c r="J28" s="200">
        <f>IFERROR(_xlfn.XLOOKUP($A28,Input_Raw!$A:$A,Input_Raw!$CZ:$CZ),"")</f>
        <v>0.96716798333333232</v>
      </c>
      <c r="K28" s="201">
        <f>IFERROR(_xlfn.XLOOKUP($A28,Input_Raw!$A:$A,Input_Raw!$DB:$DB),"")</f>
        <v>34.53467400508044</v>
      </c>
      <c r="L28" s="201">
        <f>IFERROR(_xlfn.XLOOKUP($A28,Input_Raw!$A:$A,Input_Raw!$DC:$DC),"")</f>
        <v>47.438395427603695</v>
      </c>
      <c r="M28" s="200">
        <f>IFERROR(_xlfn.XLOOKUP($A28,Input_Raw!$A:$A,Input_Raw!$DF:$DF),"")</f>
        <v>1.098401354784083</v>
      </c>
      <c r="N28" s="200">
        <f>IFERROR(_xlfn.XLOOKUP($A28,Input_Raw!$A:$A,Input_Raw!$DG:$DG),"")</f>
        <v>2.4390000000000001</v>
      </c>
      <c r="O28" s="230">
        <f>IFERROR(1-(SUMIF(Plant_BD!$B:$B,$A28,Plant_BD!$AL:$AL)/($AA28+SUMIF(Plant_BD!$B:$B,$A28,Plant_BD!$AL:$AL))),"")</f>
        <v>1</v>
      </c>
      <c r="P28" s="230"/>
      <c r="Q28" s="231">
        <f>IFERROR(1-(SUMIF(Grid_BD!$B:$B,$A28,Grid_BD!$V:$V)/($AA28+SUMIF(Grid_BD!$B:$B,$A28,Grid_BD!$V:$V))),"")</f>
        <v>1</v>
      </c>
      <c r="R28" s="230">
        <f>IFERROR(1-(SUMIF(Grid_BD!$B:$B,$A28,Grid_BD!$V:$V)/($AA28+SUMIF(Grid_BD!$B:$B,$A28,Grid_BD!$V:$V))),"")</f>
        <v>1</v>
      </c>
      <c r="S28" s="9"/>
      <c r="T28" s="231"/>
      <c r="U28" s="232">
        <f t="shared" si="1"/>
        <v>0.80833976813802833</v>
      </c>
      <c r="V28" s="232">
        <f>IFERROR(_xlfn.XLOOKUP($A28,Input_Raw!$A:$A,Input_Raw!$FG:$FG),"")</f>
        <v>0</v>
      </c>
      <c r="W28" s="233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85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33">
        <f>IFERROR(_xlfn.XLOOKUP($D28,'Modelling New'!$D:$D,'Modelling New'!O:O),"")</f>
        <v>0.76452024028227472</v>
      </c>
      <c r="AF28" s="233">
        <f>IFERROR(_xlfn.XLOOKUP($D28,'Modelling New'!$D:$D,'Modelling New'!W:W),"")</f>
        <v>0.22744477148397671</v>
      </c>
      <c r="AG28" s="233">
        <f>IFERROR(_xlfn.XLOOKUP($D28,'Modelling New'!$D:$D,'Modelling New'!AE:AE),"")</f>
        <v>0.995</v>
      </c>
      <c r="AH28" s="233">
        <f>IFERROR(_xlfn.XLOOKUP($D28,'Modelling New'!$D:$D,'Modelling New'!AF:AF),"")</f>
        <v>0.995</v>
      </c>
      <c r="AI28" s="9"/>
      <c r="AJ28" s="9"/>
      <c r="AK28" s="256"/>
      <c r="AL28" s="256"/>
      <c r="AM28" s="256"/>
      <c r="AN28" s="230"/>
      <c r="AO28" s="233"/>
      <c r="AP28" s="233"/>
      <c r="AQ28" s="233"/>
      <c r="AR28" s="234">
        <f>_xlfn.XLOOKUP(D28,'Modelling New'!$D:$D,'Modelling New'!$N:$N)</f>
        <v>130</v>
      </c>
      <c r="AS28" s="234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29">
        <f>Table13[[#This Row],[Date]]-DAY(Table13[[#This Row],[Date]])+1</f>
        <v>45748</v>
      </c>
      <c r="E29" s="9">
        <f t="shared" si="0"/>
        <v>30</v>
      </c>
      <c r="F29" s="199">
        <f>IFERROR(_xlfn.XLOOKUP($A29,Input_Raw!$A:$A,Input_Raw!$FC:$FC),"")</f>
        <v>12.083333333333336</v>
      </c>
      <c r="G29" s="185">
        <f>IFERROR(_xlfn.XLOOKUP($A29,Input_Raw!$A:$A,Input_Raw!$CY:$CY),"")</f>
        <v>7.0078852000000111</v>
      </c>
      <c r="H29" s="185">
        <f>IFERROR(_xlfn.XLOOKUP($A29,Input_Raw!$A:$A,Input_Raw!$DA:$DA),"")</f>
        <v>1.4078384000000006</v>
      </c>
      <c r="I29" s="185">
        <f>IFERROR(_xlfn.XLOOKUP($A29,Input_Raw!$A:$A,Input_Raw!$CX:$CX),"")</f>
        <v>7.0080912333333325</v>
      </c>
      <c r="J29" s="185">
        <f>IFERROR(_xlfn.XLOOKUP($A29,Input_Raw!$A:$A,Input_Raw!$CZ:$CZ),"")</f>
        <v>0.95771016666666597</v>
      </c>
      <c r="K29" s="201">
        <f>IFERROR(_xlfn.XLOOKUP($A29,Input_Raw!$A:$A,Input_Raw!$DB:$DB),"")</f>
        <v>34.729205350118043</v>
      </c>
      <c r="L29" s="201">
        <f>IFERROR(_xlfn.XLOOKUP($A29,Input_Raw!$A:$A,Input_Raw!$DC:$DC),"")</f>
        <v>48.10381904012587</v>
      </c>
      <c r="M29" s="200">
        <f>IFERROR(_xlfn.XLOOKUP($A29,Input_Raw!$A:$A,Input_Raw!$DF:$DF),"")</f>
        <v>1.0152368214004723</v>
      </c>
      <c r="N29" s="200">
        <f>IFERROR(_xlfn.XLOOKUP($A29,Input_Raw!$A:$A,Input_Raw!$DG:$DG),"")</f>
        <v>2.0910000000000002</v>
      </c>
      <c r="O29" s="230">
        <f>IFERROR(1-(SUMIF(Plant_BD!$B:$B,$A29,Plant_BD!$AL:$AL)/($AA29+SUMIF(Plant_BD!$B:$B,$A29,Plant_BD!$AL:$AL))),"")</f>
        <v>0.99606622323784288</v>
      </c>
      <c r="P29" s="230"/>
      <c r="Q29" s="231">
        <f>IFERROR(1-(SUMIF(Grid_BD!$B:$B,$A29,Grid_BD!$V:$V)/($AA29+SUMIF(Grid_BD!$B:$B,$A29,Grid_BD!$V:$V))),"")</f>
        <v>1</v>
      </c>
      <c r="R29" s="230">
        <f>IFERROR(1-(SUMIF(Grid_BD!$B:$B,$A29,Grid_BD!$V:$V)/($AA29+SUMIF(Grid_BD!$B:$B,$A29,Grid_BD!$V:$V))),"")</f>
        <v>1</v>
      </c>
      <c r="S29" s="9"/>
      <c r="T29" s="231"/>
      <c r="U29" s="232">
        <f t="shared" si="1"/>
        <v>0.81339449892287197</v>
      </c>
      <c r="V29" s="232" t="str">
        <f>IFERROR(_xlfn.XLOOKUP($A29,Input_Raw!$A:$A,Input_Raw!$FG:$FG),"")</f>
        <v/>
      </c>
      <c r="W29" s="233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85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33">
        <f>IFERROR(_xlfn.XLOOKUP($D29,'Modelling New'!$D:$D,'Modelling New'!O:O),"")</f>
        <v>0.76452024028227472</v>
      </c>
      <c r="AF29" s="233">
        <f>IFERROR(_xlfn.XLOOKUP($D29,'Modelling New'!$D:$D,'Modelling New'!W:W),"")</f>
        <v>0.22744477148397671</v>
      </c>
      <c r="AG29" s="233">
        <f>IFERROR(_xlfn.XLOOKUP($D29,'Modelling New'!$D:$D,'Modelling New'!AE:AE),"")</f>
        <v>0.995</v>
      </c>
      <c r="AH29" s="233">
        <f>IFERROR(_xlfn.XLOOKUP($D29,'Modelling New'!$D:$D,'Modelling New'!AF:AF),"")</f>
        <v>0.995</v>
      </c>
      <c r="AI29" s="9"/>
      <c r="AJ29" s="9"/>
      <c r="AK29" s="256"/>
      <c r="AL29" s="256"/>
      <c r="AM29" s="256"/>
      <c r="AN29" s="230"/>
      <c r="AO29" s="233"/>
      <c r="AP29" s="233"/>
      <c r="AQ29" s="233"/>
      <c r="AR29" s="234">
        <f>_xlfn.XLOOKUP(D29,'Modelling New'!$D:$D,'Modelling New'!$N:$N)</f>
        <v>130</v>
      </c>
      <c r="AS29" s="234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29">
        <f>Table13[[#This Row],[Date]]-DAY(Table13[[#This Row],[Date]])+1</f>
        <v>45748</v>
      </c>
      <c r="E30" s="9">
        <f t="shared" si="0"/>
        <v>30</v>
      </c>
      <c r="F30" s="199">
        <f>IFERROR(_xlfn.XLOOKUP($A30,Input_Raw!$A:$A,Input_Raw!$FC:$FC),"")</f>
        <v>12.216666666666669</v>
      </c>
      <c r="G30" s="200">
        <f>IFERROR(_xlfn.XLOOKUP($A30,Input_Raw!$A:$A,Input_Raw!$CY:$CY),"")</f>
        <v>4.940709433333331</v>
      </c>
      <c r="H30" s="200">
        <f>IFERROR(_xlfn.XLOOKUP($A30,Input_Raw!$A:$A,Input_Raw!$DA:$DA),"")</f>
        <v>0.98833121666666535</v>
      </c>
      <c r="I30" s="200">
        <f>IFERROR(_xlfn.XLOOKUP($A30,Input_Raw!$A:$A,Input_Raw!$CX:$CX),"")</f>
        <v>4.9439592833333368</v>
      </c>
      <c r="J30" s="200">
        <f>IFERROR(_xlfn.XLOOKUP($A30,Input_Raw!$A:$A,Input_Raw!$CZ:$CZ),"")</f>
        <v>0.74732183333333502</v>
      </c>
      <c r="K30" s="201">
        <f>IFERROR(_xlfn.XLOOKUP($A30,Input_Raw!$A:$A,Input_Raw!$DB:$DB),"")</f>
        <v>33.198866559485467</v>
      </c>
      <c r="L30" s="201">
        <f>IFERROR(_xlfn.XLOOKUP($A30,Input_Raw!$A:$A,Input_Raw!$DC:$DC),"")</f>
        <v>43.480128617363356</v>
      </c>
      <c r="M30" s="200">
        <f>IFERROR(_xlfn.XLOOKUP($A30,Input_Raw!$A:$A,Input_Raw!$DF:$DF),"")</f>
        <v>1.1836085209003226</v>
      </c>
      <c r="N30" s="200">
        <f>IFERROR(_xlfn.XLOOKUP($A30,Input_Raw!$A:$A,Input_Raw!$DG:$DG),"")</f>
        <v>3.0449999999999999</v>
      </c>
      <c r="O30" s="230">
        <f>IFERROR(1-(SUMIF(Plant_BD!$B:$B,$A30,Plant_BD!$AL:$AL)/($AA30+SUMIF(Plant_BD!$B:$B,$A30,Plant_BD!$AL:$AL))),"")</f>
        <v>1</v>
      </c>
      <c r="P30" s="230"/>
      <c r="Q30" s="231">
        <f>IFERROR(1-(SUMIF(Grid_BD!$B:$B,$A30,Grid_BD!$V:$V)/($AA30+SUMIF(Grid_BD!$B:$B,$A30,Grid_BD!$V:$V))),"")</f>
        <v>1</v>
      </c>
      <c r="R30" s="230">
        <f>IFERROR(1-(SUMIF(Grid_BD!$B:$B,$A30,Grid_BD!$V:$V)/($AA30+SUMIF(Grid_BD!$B:$B,$A30,Grid_BD!$V:$V))),"")</f>
        <v>1</v>
      </c>
      <c r="S30" s="9"/>
      <c r="T30" s="231"/>
      <c r="U30" s="232">
        <f t="shared" si="1"/>
        <v>0.85090853337705041</v>
      </c>
      <c r="V30" s="232" t="str">
        <f>IFERROR(_xlfn.XLOOKUP($A30,Input_Raw!$A:$A,Input_Raw!$FG:$FG),"")</f>
        <v/>
      </c>
      <c r="W30" s="233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85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33">
        <f>IFERROR(_xlfn.XLOOKUP($D30,'Modelling New'!$D:$D,'Modelling New'!O:O),"")</f>
        <v>0.76452024028227472</v>
      </c>
      <c r="AF30" s="233">
        <f>IFERROR(_xlfn.XLOOKUP($D30,'Modelling New'!$D:$D,'Modelling New'!W:W),"")</f>
        <v>0.22744477148397671</v>
      </c>
      <c r="AG30" s="233">
        <f>IFERROR(_xlfn.XLOOKUP($D30,'Modelling New'!$D:$D,'Modelling New'!AE:AE),"")</f>
        <v>0.995</v>
      </c>
      <c r="AH30" s="233">
        <f>IFERROR(_xlfn.XLOOKUP($D30,'Modelling New'!$D:$D,'Modelling New'!AF:AF),"")</f>
        <v>0.995</v>
      </c>
      <c r="AI30" s="9"/>
      <c r="AJ30" s="9"/>
      <c r="AK30" s="256"/>
      <c r="AL30" s="256"/>
      <c r="AM30" s="256"/>
      <c r="AN30" s="230"/>
      <c r="AO30" s="233"/>
      <c r="AP30" s="233"/>
      <c r="AQ30" s="233"/>
      <c r="AR30" s="234">
        <f>_xlfn.XLOOKUP(D30,'Modelling New'!$D:$D,'Modelling New'!$N:$N)</f>
        <v>130</v>
      </c>
      <c r="AS30" s="234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29">
        <f>Table13[[#This Row],[Date]]-DAY(Table13[[#This Row],[Date]])+1</f>
        <v>45748</v>
      </c>
      <c r="E31" s="9">
        <f t="shared" si="0"/>
        <v>30</v>
      </c>
      <c r="F31" s="199">
        <f>IFERROR(_xlfn.XLOOKUP($A31,Input_Raw!$A:$A,Input_Raw!$FC:$FC),"")</f>
        <v>12.183333333333335</v>
      </c>
      <c r="G31" s="185">
        <f>IFERROR(_xlfn.XLOOKUP($A31,Input_Raw!$A:$A,Input_Raw!$CY:$CY),"")</f>
        <v>7.6219880333333352</v>
      </c>
      <c r="H31" s="185">
        <f>IFERROR(_xlfn.XLOOKUP($A31,Input_Raw!$A:$A,Input_Raw!$DA:$DA),"")</f>
        <v>1.4941409499999989</v>
      </c>
      <c r="I31" s="185">
        <f>IFERROR(_xlfn.XLOOKUP($A31,Input_Raw!$A:$A,Input_Raw!$CX:$CX),"")</f>
        <v>7.5635796833333417</v>
      </c>
      <c r="J31" s="185">
        <f>IFERROR(_xlfn.XLOOKUP($A31,Input_Raw!$A:$A,Input_Raw!$CZ:$CZ),"")</f>
        <v>1.0114160166666659</v>
      </c>
      <c r="K31" s="201">
        <f>IFERROR(_xlfn.XLOOKUP($A31,Input_Raw!$A:$A,Input_Raw!$DB:$DB),"")</f>
        <v>33.387426686217069</v>
      </c>
      <c r="L31" s="201">
        <f>IFERROR(_xlfn.XLOOKUP($A31,Input_Raw!$A:$A,Input_Raw!$DC:$DC),"")</f>
        <v>46.429399560117247</v>
      </c>
      <c r="M31" s="200">
        <f>IFERROR(_xlfn.XLOOKUP($A31,Input_Raw!$A:$A,Input_Raw!$DF:$DF),"")</f>
        <v>0.83431231671554296</v>
      </c>
      <c r="N31" s="200">
        <f>IFERROR(_xlfn.XLOOKUP($A31,Input_Raw!$A:$A,Input_Raw!$DG:$DG),"")</f>
        <v>3.3090000000000002</v>
      </c>
      <c r="O31" s="230">
        <f>IFERROR(1-(SUMIF(Plant_BD!$B:$B,$A31,Plant_BD!$AL:$AL)/($AA31+SUMIF(Plant_BD!$B:$B,$A31,Plant_BD!$AL:$AL))),"")</f>
        <v>1</v>
      </c>
      <c r="P31" s="230"/>
      <c r="Q31" s="231">
        <f>IFERROR(1-(SUMIF(Grid_BD!$B:$B,$A31,Grid_BD!$V:$V)/($AA31+SUMIF(Grid_BD!$B:$B,$A31,Grid_BD!$V:$V))),"")</f>
        <v>1</v>
      </c>
      <c r="R31" s="230">
        <f>IFERROR(1-(SUMIF(Grid_BD!$B:$B,$A31,Grid_BD!$V:$V)/($AA31+SUMIF(Grid_BD!$B:$B,$A31,Grid_BD!$V:$V))),"")</f>
        <v>1</v>
      </c>
      <c r="S31" s="9"/>
      <c r="T31" s="231"/>
      <c r="U31" s="232">
        <f t="shared" si="1"/>
        <v>0.80968463903528953</v>
      </c>
      <c r="V31" s="232" t="str">
        <f>IFERROR(_xlfn.XLOOKUP($A31,Input_Raw!$A:$A,Input_Raw!$FG:$FG),"")</f>
        <v/>
      </c>
      <c r="W31" s="233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85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33">
        <f>IFERROR(_xlfn.XLOOKUP($D31,'Modelling New'!$D:$D,'Modelling New'!O:O),"")</f>
        <v>0.76452024028227472</v>
      </c>
      <c r="AF31" s="233">
        <f>IFERROR(_xlfn.XLOOKUP($D31,'Modelling New'!$D:$D,'Modelling New'!W:W),"")</f>
        <v>0.22744477148397671</v>
      </c>
      <c r="AG31" s="233">
        <f>IFERROR(_xlfn.XLOOKUP($D31,'Modelling New'!$D:$D,'Modelling New'!AE:AE),"")</f>
        <v>0.995</v>
      </c>
      <c r="AH31" s="233">
        <f>IFERROR(_xlfn.XLOOKUP($D31,'Modelling New'!$D:$D,'Modelling New'!AF:AF),"")</f>
        <v>0.995</v>
      </c>
      <c r="AI31" s="9"/>
      <c r="AJ31" s="9"/>
      <c r="AK31" s="256"/>
      <c r="AL31" s="256"/>
      <c r="AM31" s="256"/>
      <c r="AN31" s="230"/>
      <c r="AO31" s="233"/>
      <c r="AP31" s="233"/>
      <c r="AQ31" s="233"/>
      <c r="AR31" s="234">
        <f>_xlfn.XLOOKUP(D31,'Modelling New'!$D:$D,'Modelling New'!$N:$N)</f>
        <v>130</v>
      </c>
      <c r="AS31" s="234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29">
        <f>Table13[[#This Row],[Date]]-DAY(Table13[[#This Row],[Date]])+1</f>
        <v>45748</v>
      </c>
      <c r="E32" s="9">
        <f t="shared" si="0"/>
        <v>30</v>
      </c>
      <c r="F32" s="199">
        <f>IFERROR(_xlfn.XLOOKUP($A32,Input_Raw!$A:$A,Input_Raw!$FC:$FC),"")</f>
        <v>12.166666666666666</v>
      </c>
      <c r="G32" s="200">
        <f>IFERROR(_xlfn.XLOOKUP($A32,Input_Raw!$A:$A,Input_Raw!$CY:$CY),"")</f>
        <v>7.3132474333333359</v>
      </c>
      <c r="H32" s="200">
        <f>IFERROR(_xlfn.XLOOKUP($A32,Input_Raw!$A:$A,Input_Raw!$DA:$DA),"")</f>
        <v>1.4423139333333357</v>
      </c>
      <c r="I32" s="200">
        <f>IFERROR(_xlfn.XLOOKUP($A32,Input_Raw!$A:$A,Input_Raw!$CX:$CX),"")</f>
        <v>7.2595238333333336</v>
      </c>
      <c r="J32" s="200">
        <f>IFERROR(_xlfn.XLOOKUP($A32,Input_Raw!$A:$A,Input_Raw!$CZ:$CZ),"")</f>
        <v>0.97667948333333265</v>
      </c>
      <c r="K32" s="201">
        <f>IFERROR(_xlfn.XLOOKUP($A32,Input_Raw!$A:$A,Input_Raw!$DB:$DB),"")</f>
        <v>34.416343750000024</v>
      </c>
      <c r="L32" s="201">
        <f>IFERROR(_xlfn.XLOOKUP($A32,Input_Raw!$A:$A,Input_Raw!$DC:$DC),"")</f>
        <v>47.668648437499989</v>
      </c>
      <c r="M32" s="200">
        <f>IFERROR(_xlfn.XLOOKUP($A32,Input_Raw!$A:$A,Input_Raw!$DF:$DF),"")</f>
        <v>0.93262031249999977</v>
      </c>
      <c r="N32" s="200">
        <f>IFERROR(_xlfn.XLOOKUP($A32,Input_Raw!$A:$A,Input_Raw!$DG:$DG),"")</f>
        <v>2.835</v>
      </c>
      <c r="O32" s="230">
        <f>IFERROR(1-(SUMIF(Plant_BD!$B:$B,$A32,Plant_BD!$AL:$AL)/($AA32+SUMIF(Plant_BD!$B:$B,$A32,Plant_BD!$AL:$AL))),"")</f>
        <v>0.99645916808372992</v>
      </c>
      <c r="P32" s="230"/>
      <c r="Q32" s="231">
        <f>IFERROR(1-(SUMIF(Grid_BD!$B:$B,$A32,Grid_BD!$V:$V)/($AA32+SUMIF(Grid_BD!$B:$B,$A32,Grid_BD!$V:$V))),"")</f>
        <v>1</v>
      </c>
      <c r="R32" s="230">
        <f>IFERROR(1-(SUMIF(Grid_BD!$B:$B,$A32,Grid_BD!$V:$V)/($AA32+SUMIF(Grid_BD!$B:$B,$A32,Grid_BD!$V:$V))),"")</f>
        <v>1</v>
      </c>
      <c r="S32" s="9"/>
      <c r="T32" s="231"/>
      <c r="U32" s="232">
        <f t="shared" si="1"/>
        <v>0.80307777727535878</v>
      </c>
      <c r="V32" s="232" t="str">
        <f>IFERROR(_xlfn.XLOOKUP($A32,Input_Raw!$A:$A,Input_Raw!$FG:$FG),"")</f>
        <v/>
      </c>
      <c r="W32" s="233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85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33">
        <f>IFERROR(_xlfn.XLOOKUP($D32,'Modelling New'!$D:$D,'Modelling New'!O:O),"")</f>
        <v>0.76452024028227472</v>
      </c>
      <c r="AF32" s="233">
        <f>IFERROR(_xlfn.XLOOKUP($D32,'Modelling New'!$D:$D,'Modelling New'!W:W),"")</f>
        <v>0.22744477148397671</v>
      </c>
      <c r="AG32" s="233">
        <f>IFERROR(_xlfn.XLOOKUP($D32,'Modelling New'!$D:$D,'Modelling New'!AE:AE),"")</f>
        <v>0.995</v>
      </c>
      <c r="AH32" s="233">
        <f>IFERROR(_xlfn.XLOOKUP($D32,'Modelling New'!$D:$D,'Modelling New'!AF:AF),"")</f>
        <v>0.995</v>
      </c>
      <c r="AI32" s="9"/>
      <c r="AJ32" s="9"/>
      <c r="AK32" s="256"/>
      <c r="AL32" s="256"/>
      <c r="AM32" s="256"/>
      <c r="AN32" s="230"/>
      <c r="AO32" s="233"/>
      <c r="AP32" s="233"/>
      <c r="AQ32" s="233"/>
      <c r="AR32" s="234">
        <f>_xlfn.XLOOKUP(D32,'Modelling New'!$D:$D,'Modelling New'!$N:$N)</f>
        <v>130</v>
      </c>
      <c r="AS32" s="234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29">
        <f>Table13[[#This Row],[Date]]-DAY(Table13[[#This Row],[Date]])+1</f>
        <v>45748</v>
      </c>
      <c r="E33" s="9">
        <f t="shared" si="0"/>
        <v>30</v>
      </c>
      <c r="F33" s="199">
        <f>IFERROR(_xlfn.XLOOKUP($A33,Input_Raw!$A:$A,Input_Raw!$FC:$FC),"")</f>
        <v>12.2</v>
      </c>
      <c r="G33" s="185">
        <f>IFERROR(_xlfn.XLOOKUP($A33,Input_Raw!$A:$A,Input_Raw!$CY:$CY),"")</f>
        <v>7.319</v>
      </c>
      <c r="H33" s="185">
        <f>IFERROR(_xlfn.XLOOKUP($A33,Input_Raw!$A:$A,Input_Raw!$DA:$DA),"")</f>
        <v>1.45</v>
      </c>
      <c r="I33" s="185">
        <f>IFERROR(_xlfn.XLOOKUP($A33,Input_Raw!$A:$A,Input_Raw!$CX:$CX),"")</f>
        <v>7.25</v>
      </c>
      <c r="J33" s="185">
        <f>IFERROR(_xlfn.XLOOKUP($A33,Input_Raw!$A:$A,Input_Raw!$CZ:$CZ),"")</f>
        <v>0.97299999999999998</v>
      </c>
      <c r="K33" s="201">
        <f>IFERROR(_xlfn.XLOOKUP($A33,Input_Raw!$A:$A,Input_Raw!$DB:$DB),"")</f>
        <v>34.658999999999999</v>
      </c>
      <c r="L33" s="201">
        <f>IFERROR(_xlfn.XLOOKUP($A33,Input_Raw!$A:$A,Input_Raw!$DC:$DC),"")</f>
        <v>46.444000000000003</v>
      </c>
      <c r="M33" s="200">
        <f>IFERROR(_xlfn.XLOOKUP($A33,Input_Raw!$A:$A,Input_Raw!$DF:$DF),"")</f>
        <v>1.127</v>
      </c>
      <c r="N33" s="200">
        <f>IFERROR(_xlfn.XLOOKUP($A33,Input_Raw!$A:$A,Input_Raw!$DG:$DG),"")</f>
        <v>3.234</v>
      </c>
      <c r="O33" s="230">
        <f>IFERROR(1-(SUMIF(Plant_BD!$B:$B,$A33,Plant_BD!$AL:$AL)/($AA33+SUMIF(Plant_BD!$B:$B,$A33,Plant_BD!$AL:$AL))),"")</f>
        <v>0.99211436091576954</v>
      </c>
      <c r="P33" s="230"/>
      <c r="Q33" s="231">
        <f>IFERROR(1-(SUMIF(Grid_BD!$B:$B,$A33,Grid_BD!$V:$V)/($AA33+SUMIF(Grid_BD!$B:$B,$A33,Grid_BD!$V:$V))),"")</f>
        <v>1</v>
      </c>
      <c r="R33" s="230">
        <f>IFERROR(1-(SUMIF(Grid_BD!$B:$B,$A33,Grid_BD!$V:$V)/($AA33+SUMIF(Grid_BD!$B:$B,$A33,Grid_BD!$V:$V))),"")</f>
        <v>1</v>
      </c>
      <c r="S33" s="9"/>
      <c r="T33" s="231"/>
      <c r="U33" s="232">
        <f t="shared" si="1"/>
        <v>0.80225894599871517</v>
      </c>
      <c r="V33" s="232" t="str">
        <f>IFERROR(_xlfn.XLOOKUP($A33,Input_Raw!$A:$A,Input_Raw!$FG:$FG),"")</f>
        <v/>
      </c>
      <c r="W33" s="233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85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33">
        <f>IFERROR(_xlfn.XLOOKUP($D33,'Modelling New'!$D:$D,'Modelling New'!O:O),"")</f>
        <v>0.76452024028227472</v>
      </c>
      <c r="AF33" s="233">
        <f>IFERROR(_xlfn.XLOOKUP($D33,'Modelling New'!$D:$D,'Modelling New'!W:W),"")</f>
        <v>0.22744477148397671</v>
      </c>
      <c r="AG33" s="233">
        <f>IFERROR(_xlfn.XLOOKUP($D33,'Modelling New'!$D:$D,'Modelling New'!AE:AE),"")</f>
        <v>0.995</v>
      </c>
      <c r="AH33" s="233">
        <f>IFERROR(_xlfn.XLOOKUP($D33,'Modelling New'!$D:$D,'Modelling New'!AF:AF),"")</f>
        <v>0.995</v>
      </c>
      <c r="AI33" s="9"/>
      <c r="AJ33" s="9"/>
      <c r="AK33" s="256"/>
      <c r="AL33" s="256"/>
      <c r="AM33" s="256"/>
      <c r="AN33" s="230"/>
      <c r="AO33" s="233"/>
      <c r="AP33" s="233"/>
      <c r="AQ33" s="233"/>
      <c r="AR33" s="234">
        <f>_xlfn.XLOOKUP(D33,'Modelling New'!$D:$D,'Modelling New'!$N:$N)</f>
        <v>130</v>
      </c>
      <c r="AS33" s="234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29">
        <f>Table13[[#This Row],[Date]]-DAY(Table13[[#This Row],[Date]])+1</f>
        <v>45748</v>
      </c>
      <c r="E34" s="9">
        <f t="shared" si="0"/>
        <v>30</v>
      </c>
      <c r="F34" s="199">
        <f>IFERROR(_xlfn.XLOOKUP($A34,Input_Raw!$A:$A,Input_Raw!$FC:$FC),"")</f>
        <v>12.350000000000001</v>
      </c>
      <c r="G34" s="200">
        <f>IFERROR(_xlfn.XLOOKUP($A34,Input_Raw!$A:$A,Input_Raw!$CY:$CY),"")</f>
        <v>7.1730949499999959</v>
      </c>
      <c r="H34" s="200">
        <f>IFERROR(_xlfn.XLOOKUP($A34,Input_Raw!$A:$A,Input_Raw!$DA:$DA),"")</f>
        <v>1.4169633833333344</v>
      </c>
      <c r="I34" s="200">
        <f>IFERROR(_xlfn.XLOOKUP($A34,Input_Raw!$A:$A,Input_Raw!$CX:$CX),"")</f>
        <v>7.1097299999999928</v>
      </c>
      <c r="J34" s="200">
        <f>IFERROR(_xlfn.XLOOKUP($A34,Input_Raw!$A:$A,Input_Raw!$CZ:$CZ),"")</f>
        <v>0.95906664999999913</v>
      </c>
      <c r="K34" s="201">
        <f>IFERROR(_xlfn.XLOOKUP($A34,Input_Raw!$A:$A,Input_Raw!$DB:$DB),"")</f>
        <v>34.780388888888922</v>
      </c>
      <c r="L34" s="201">
        <f>IFERROR(_xlfn.XLOOKUP($A34,Input_Raw!$A:$A,Input_Raw!$DC:$DC),"")</f>
        <v>46.799704861111138</v>
      </c>
      <c r="M34" s="200">
        <f>IFERROR(_xlfn.XLOOKUP($A34,Input_Raw!$A:$A,Input_Raw!$DF:$DF),"")</f>
        <v>1.3726166666666655</v>
      </c>
      <c r="N34" s="200">
        <f>IFERROR(_xlfn.XLOOKUP($A34,Input_Raw!$A:$A,Input_Raw!$DG:$DG),"")</f>
        <v>3.3029999999999999</v>
      </c>
      <c r="O34" s="230">
        <f>IFERROR(1-(SUMIF(Plant_BD!$B:$B,$A34,Plant_BD!$AL:$AL)/($AA34+SUMIF(Plant_BD!$B:$B,$A34,Plant_BD!$AL:$AL))),"")</f>
        <v>0.99398398660643084</v>
      </c>
      <c r="P34" s="230"/>
      <c r="Q34" s="231">
        <f>IFERROR(1-(SUMIF(Grid_BD!$B:$B,$A34,Grid_BD!$V:$V)/($AA34+SUMIF(Grid_BD!$B:$B,$A34,Grid_BD!$V:$V))),"")</f>
        <v>1</v>
      </c>
      <c r="R34" s="230">
        <f>IFERROR(1-(SUMIF(Grid_BD!$B:$B,$A34,Grid_BD!$V:$V)/($AA34+SUMIF(Grid_BD!$B:$B,$A34,Grid_BD!$V:$V))),"")</f>
        <v>1</v>
      </c>
      <c r="S34" s="9"/>
      <c r="T34" s="231"/>
      <c r="U34" s="232">
        <f t="shared" si="1"/>
        <v>0.80776891217027569</v>
      </c>
      <c r="V34" s="232" t="str">
        <f>IFERROR(_xlfn.XLOOKUP($A34,Input_Raw!$A:$A,Input_Raw!$FG:$FG),"")</f>
        <v/>
      </c>
      <c r="W34" s="233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85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33">
        <f>IFERROR(_xlfn.XLOOKUP($D34,'Modelling New'!$D:$D,'Modelling New'!O:O),"")</f>
        <v>0.76452024028227472</v>
      </c>
      <c r="AF34" s="233">
        <f>IFERROR(_xlfn.XLOOKUP($D34,'Modelling New'!$D:$D,'Modelling New'!W:W),"")</f>
        <v>0.22744477148397671</v>
      </c>
      <c r="AG34" s="233">
        <f>IFERROR(_xlfn.XLOOKUP($D34,'Modelling New'!$D:$D,'Modelling New'!AE:AE),"")</f>
        <v>0.995</v>
      </c>
      <c r="AH34" s="233">
        <f>IFERROR(_xlfn.XLOOKUP($D34,'Modelling New'!$D:$D,'Modelling New'!AF:AF),"")</f>
        <v>0.995</v>
      </c>
      <c r="AI34" s="9"/>
      <c r="AJ34" s="9"/>
      <c r="AK34" s="256"/>
      <c r="AL34" s="256"/>
      <c r="AM34" s="256"/>
      <c r="AN34" s="230"/>
      <c r="AO34" s="233"/>
      <c r="AP34" s="233"/>
      <c r="AQ34" s="233"/>
      <c r="AR34" s="234">
        <f>_xlfn.XLOOKUP(D34,'Modelling New'!$D:$D,'Modelling New'!$N:$N)</f>
        <v>130</v>
      </c>
      <c r="AS34" s="234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29">
        <f>Table13[[#This Row],[Date]]-DAY(Table13[[#This Row],[Date]])+1</f>
        <v>45778</v>
      </c>
      <c r="E35" s="9">
        <f t="shared" si="0"/>
        <v>31</v>
      </c>
      <c r="F35" s="199">
        <f>IFERROR(_xlfn.XLOOKUP($A35,Input_Raw!$A:$A,Input_Raw!$FC:$FC),"")</f>
        <v>12.250000000000002</v>
      </c>
      <c r="G35" s="185">
        <f>IFERROR(_xlfn.XLOOKUP($A35,Input_Raw!$A:$A,Input_Raw!$CY:$CY),"")</f>
        <v>6.7727145250000023</v>
      </c>
      <c r="H35" s="185">
        <f>IFERROR(_xlfn.XLOOKUP($A35,Input_Raw!$A:$A,Input_Raw!$DA:$DA),"")</f>
        <v>1.3220148500000013</v>
      </c>
      <c r="I35" s="185">
        <f>IFERROR(_xlfn.XLOOKUP($A35,Input_Raw!$A:$A,Input_Raw!$CX:$CX),"")</f>
        <v>6.7944487083333307</v>
      </c>
      <c r="J35" s="185">
        <f>IFERROR(_xlfn.XLOOKUP($A35,Input_Raw!$A:$A,Input_Raw!$CZ:$CZ),"")</f>
        <v>1.0523186583333333</v>
      </c>
      <c r="K35" s="201">
        <f>IFERROR(_xlfn.XLOOKUP($A35,Input_Raw!$A:$A,Input_Raw!$DB:$DB),"")</f>
        <v>34.348020654715512</v>
      </c>
      <c r="L35" s="201">
        <f>IFERROR(_xlfn.XLOOKUP($A35,Input_Raw!$A:$A,Input_Raw!$DC:$DC),"")</f>
        <v>45.56160405300075</v>
      </c>
      <c r="M35" s="200">
        <f>IFERROR(_xlfn.XLOOKUP($A35,Input_Raw!$A:$A,Input_Raw!$DF:$DF),"")</f>
        <v>1.0509953234606388</v>
      </c>
      <c r="N35" s="200">
        <f>IFERROR(_xlfn.XLOOKUP($A35,Input_Raw!$A:$A,Input_Raw!$DG:$DG),"")</f>
        <v>3.069</v>
      </c>
      <c r="O35" s="230">
        <f>IFERROR(1-(SUMIF(Plant_BD!$B:$B,$A35,Plant_BD!$AL:$AL)/($AA35+SUMIF(Plant_BD!$B:$B,$A35,Plant_BD!$AL:$AL))),"")</f>
        <v>0.99994824206254385</v>
      </c>
      <c r="P35" s="230"/>
      <c r="Q35" s="231">
        <f>IFERROR(1-(SUMIF(Grid_BD!$B:$B,$A35,Grid_BD!$V:$V)/($AA35+SUMIF(Grid_BD!$B:$B,$A35,Grid_BD!$V:$V))),"")</f>
        <v>1</v>
      </c>
      <c r="R35" s="230">
        <f>IFERROR(1-(SUMIF(Grid_BD!$B:$B,$A35,Grid_BD!$V:$V)/($AA35+SUMIF(Grid_BD!$B:$B,$A35,Grid_BD!$V:$V))),"")</f>
        <v>1</v>
      </c>
      <c r="S35" s="9"/>
      <c r="T35" s="231"/>
      <c r="U35" s="232">
        <f t="shared" si="1"/>
        <v>0.84325222077799633</v>
      </c>
      <c r="V35" s="232" t="str">
        <f>IFERROR(_xlfn.XLOOKUP($A35,Input_Raw!$A:$A,Input_Raw!$FG:$FG),"")</f>
        <v/>
      </c>
      <c r="W35" s="233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85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33">
        <f>IFERROR(_xlfn.XLOOKUP($D35,'Modelling New'!$D:$D,'Modelling New'!O:O),"")</f>
        <v>0.806597995656121</v>
      </c>
      <c r="AF35" s="233">
        <f>IFERROR(_xlfn.XLOOKUP($D35,'Modelling New'!$D:$D,'Modelling New'!W:W),"")</f>
        <v>0.23157168262385408</v>
      </c>
      <c r="AG35" s="233">
        <f>IFERROR(_xlfn.XLOOKUP($D35,'Modelling New'!$D:$D,'Modelling New'!AE:AE),"")</f>
        <v>0.995</v>
      </c>
      <c r="AH35" s="233">
        <f>IFERROR(_xlfn.XLOOKUP($D35,'Modelling New'!$D:$D,'Modelling New'!AF:AF),"")</f>
        <v>0.995</v>
      </c>
      <c r="AI35" s="9"/>
      <c r="AJ35" s="9"/>
      <c r="AK35" s="256"/>
      <c r="AL35" s="256"/>
      <c r="AM35" s="256"/>
      <c r="AN35" s="230"/>
      <c r="AO35" s="233"/>
      <c r="AP35" s="233"/>
      <c r="AQ35" s="233"/>
      <c r="AR35" s="234">
        <f>_xlfn.XLOOKUP(D35,'Modelling New'!$D:$D,'Modelling New'!$N:$N)</f>
        <v>130</v>
      </c>
      <c r="AS35" s="234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29">
        <f>Table13[[#This Row],[Date]]-DAY(Table13[[#This Row],[Date]])+1</f>
        <v>45778</v>
      </c>
      <c r="E36" s="9">
        <f t="shared" si="0"/>
        <v>31</v>
      </c>
      <c r="F36" s="199">
        <f>IFERROR(_xlfn.XLOOKUP($A36,Input_Raw!$A:$A,Input_Raw!$FC:$FC),"")</f>
        <v>12.116666666666664</v>
      </c>
      <c r="G36" s="200">
        <f>IFERROR(_xlfn.XLOOKUP($A36,Input_Raw!$A:$A,Input_Raw!$CY:$CY),"")</f>
        <v>6.5467237416666695</v>
      </c>
      <c r="H36" s="200">
        <f>IFERROR(_xlfn.XLOOKUP($A36,Input_Raw!$A:$A,Input_Raw!$DA:$DA),"")</f>
        <v>1.2694045833333329</v>
      </c>
      <c r="I36" s="200">
        <f>IFERROR(_xlfn.XLOOKUP($A36,Input_Raw!$A:$A,Input_Raw!$CX:$CX),"")</f>
        <v>6.6064659666666623</v>
      </c>
      <c r="J36" s="200">
        <f>IFERROR(_xlfn.XLOOKUP($A36,Input_Raw!$A:$A,Input_Raw!$CZ:$CZ),"")</f>
        <v>1.0281764249999998</v>
      </c>
      <c r="K36" s="201">
        <f>IFERROR(_xlfn.XLOOKUP($A36,Input_Raw!$A:$A,Input_Raw!$DB:$DB),"")</f>
        <v>35.026340624147807</v>
      </c>
      <c r="L36" s="201">
        <f>IFERROR(_xlfn.XLOOKUP($A36,Input_Raw!$A:$A,Input_Raw!$DC:$DC),"")</f>
        <v>46.832291066784634</v>
      </c>
      <c r="M36" s="200">
        <f>IFERROR(_xlfn.XLOOKUP($A36,Input_Raw!$A:$A,Input_Raw!$DF:$DF),"")</f>
        <v>1.2342428004176957</v>
      </c>
      <c r="N36" s="200">
        <f>IFERROR(_xlfn.XLOOKUP($A36,Input_Raw!$A:$A,Input_Raw!$DG:$DG),"")</f>
        <v>3.351</v>
      </c>
      <c r="O36" s="230">
        <f>IFERROR(1-(SUMIF(Plant_BD!$B:$B,$A36,Plant_BD!$AL:$AL)/($AA36+SUMIF(Plant_BD!$B:$B,$A36,Plant_BD!$AL:$AL))),"")</f>
        <v>1</v>
      </c>
      <c r="P36" s="230"/>
      <c r="Q36" s="231">
        <f>IFERROR(1-(SUMIF(Grid_BD!$B:$B,$A36,Grid_BD!$V:$V)/($AA36+SUMIF(Grid_BD!$B:$B,$A36,Grid_BD!$V:$V))),"")</f>
        <v>1</v>
      </c>
      <c r="R36" s="230">
        <f>IFERROR(1-(SUMIF(Grid_BD!$B:$B,$A36,Grid_BD!$V:$V)/($AA36+SUMIF(Grid_BD!$B:$B,$A36,Grid_BD!$V:$V))),"")</f>
        <v>1</v>
      </c>
      <c r="S36" s="9"/>
      <c r="T36" s="231"/>
      <c r="U36" s="232">
        <f t="shared" si="1"/>
        <v>0.83845815765455189</v>
      </c>
      <c r="V36" s="232" t="str">
        <f>IFERROR(_xlfn.XLOOKUP($A36,Input_Raw!$A:$A,Input_Raw!$FG:$FG),"")</f>
        <v/>
      </c>
      <c r="W36" s="233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85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33">
        <f>IFERROR(_xlfn.XLOOKUP($D36,'Modelling New'!$D:$D,'Modelling New'!O:O),"")</f>
        <v>0.806597995656121</v>
      </c>
      <c r="AF36" s="233">
        <f>IFERROR(_xlfn.XLOOKUP($D36,'Modelling New'!$D:$D,'Modelling New'!W:W),"")</f>
        <v>0.23157168262385408</v>
      </c>
      <c r="AG36" s="233">
        <f>IFERROR(_xlfn.XLOOKUP($D36,'Modelling New'!$D:$D,'Modelling New'!AE:AE),"")</f>
        <v>0.995</v>
      </c>
      <c r="AH36" s="233">
        <f>IFERROR(_xlfn.XLOOKUP($D36,'Modelling New'!$D:$D,'Modelling New'!AF:AF),"")</f>
        <v>0.995</v>
      </c>
      <c r="AI36" s="9"/>
      <c r="AJ36" s="9"/>
      <c r="AK36" s="256"/>
      <c r="AL36" s="256"/>
      <c r="AM36" s="256"/>
      <c r="AN36" s="230"/>
      <c r="AO36" s="233"/>
      <c r="AP36" s="233"/>
      <c r="AQ36" s="233"/>
      <c r="AR36" s="234">
        <f>_xlfn.XLOOKUP(D36,'Modelling New'!$D:$D,'Modelling New'!$N:$N)</f>
        <v>130</v>
      </c>
      <c r="AS36" s="234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29">
        <f>Table13[[#This Row],[Date]]-DAY(Table13[[#This Row],[Date]])+1</f>
        <v>45778</v>
      </c>
      <c r="E37" s="9">
        <f t="shared" si="0"/>
        <v>31</v>
      </c>
      <c r="F37" s="199">
        <f>IFERROR(_xlfn.XLOOKUP($A37,Input_Raw!$A:$A,Input_Raw!$FC:$FC),"")</f>
        <v>12.283333333333335</v>
      </c>
      <c r="G37" s="185">
        <f>IFERROR(_xlfn.XLOOKUP($A37,Input_Raw!$A:$A,Input_Raw!$CY:$CY),"")</f>
        <v>6.7389212499999953</v>
      </c>
      <c r="H37" s="185">
        <f>IFERROR(_xlfn.XLOOKUP($A37,Input_Raw!$A:$A,Input_Raw!$DA:$DA),"")</f>
        <v>1.3062831583333341</v>
      </c>
      <c r="I37" s="185">
        <f>IFERROR(_xlfn.XLOOKUP($A37,Input_Raw!$A:$A,Input_Raw!$CX:$CX),"")</f>
        <v>6.6288632166666588</v>
      </c>
      <c r="J37" s="185">
        <f>IFERROR(_xlfn.XLOOKUP($A37,Input_Raw!$A:$A,Input_Raw!$CZ:$CZ),"")</f>
        <v>1.0335434083333335</v>
      </c>
      <c r="K37" s="201">
        <f>IFERROR(_xlfn.XLOOKUP($A37,Input_Raw!$A:$A,Input_Raw!$DB:$DB),"")</f>
        <v>34.236163194444451</v>
      </c>
      <c r="L37" s="201">
        <f>IFERROR(_xlfn.XLOOKUP($A37,Input_Raw!$A:$A,Input_Raw!$DC:$DC),"")</f>
        <v>45.05058541666665</v>
      </c>
      <c r="M37" s="200">
        <f>IFERROR(_xlfn.XLOOKUP($A37,Input_Raw!$A:$A,Input_Raw!$DF:$DF),"")</f>
        <v>1.3776812499999997</v>
      </c>
      <c r="N37" s="200">
        <f>IFERROR(_xlfn.XLOOKUP($A37,Input_Raw!$A:$A,Input_Raw!$DG:$DG),"")</f>
        <v>3.1379999999999999</v>
      </c>
      <c r="O37" s="230">
        <f>IFERROR(1-(SUMIF(Plant_BD!$B:$B,$A37,Plant_BD!$AL:$AL)/($AA37+SUMIF(Plant_BD!$B:$B,$A37,Plant_BD!$AL:$AL))),"")</f>
        <v>0.99316887281716459</v>
      </c>
      <c r="P37" s="230"/>
      <c r="Q37" s="231">
        <f>IFERROR(1-(SUMIF(Grid_BD!$B:$B,$A37,Grid_BD!$V:$V)/($AA37+SUMIF(Grid_BD!$B:$B,$A37,Grid_BD!$V:$V))),"")</f>
        <v>1</v>
      </c>
      <c r="R37" s="230">
        <f>IFERROR(1-(SUMIF(Grid_BD!$B:$B,$A37,Grid_BD!$V:$V)/($AA37+SUMIF(Grid_BD!$B:$B,$A37,Grid_BD!$V:$V))),"")</f>
        <v>1</v>
      </c>
      <c r="S37" s="9"/>
      <c r="T37" s="231"/>
      <c r="U37" s="232">
        <f t="shared" si="1"/>
        <v>0.8131847633369087</v>
      </c>
      <c r="V37" s="232" t="str">
        <f>IFERROR(_xlfn.XLOOKUP($A37,Input_Raw!$A:$A,Input_Raw!$FG:$FG),"")</f>
        <v/>
      </c>
      <c r="W37" s="233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85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33">
        <f>IFERROR(_xlfn.XLOOKUP($D37,'Modelling New'!$D:$D,'Modelling New'!O:O),"")</f>
        <v>0.806597995656121</v>
      </c>
      <c r="AF37" s="233">
        <f>IFERROR(_xlfn.XLOOKUP($D37,'Modelling New'!$D:$D,'Modelling New'!W:W),"")</f>
        <v>0.23157168262385408</v>
      </c>
      <c r="AG37" s="233">
        <f>IFERROR(_xlfn.XLOOKUP($D37,'Modelling New'!$D:$D,'Modelling New'!AE:AE),"")</f>
        <v>0.995</v>
      </c>
      <c r="AH37" s="233">
        <f>IFERROR(_xlfn.XLOOKUP($D37,'Modelling New'!$D:$D,'Modelling New'!AF:AF),"")</f>
        <v>0.995</v>
      </c>
      <c r="AI37" s="9"/>
      <c r="AJ37" s="9"/>
      <c r="AK37" s="256"/>
      <c r="AL37" s="256"/>
      <c r="AM37" s="256"/>
      <c r="AN37" s="230"/>
      <c r="AO37" s="233"/>
      <c r="AP37" s="233"/>
      <c r="AQ37" s="233"/>
      <c r="AR37" s="234">
        <f>_xlfn.XLOOKUP(D37,'Modelling New'!$D:$D,'Modelling New'!$N:$N)</f>
        <v>130</v>
      </c>
      <c r="AS37" s="234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29">
        <f>Table13[[#This Row],[Date]]-DAY(Table13[[#This Row],[Date]])+1</f>
        <v>45778</v>
      </c>
      <c r="E38" s="9">
        <f t="shared" si="0"/>
        <v>31</v>
      </c>
      <c r="F38" s="199">
        <f>IFERROR(_xlfn.XLOOKUP($A38,Input_Raw!$A:$A,Input_Raw!$FC:$FC),"")</f>
        <v>12.316666666666668</v>
      </c>
      <c r="G38" s="200">
        <f>IFERROR(_xlfn.XLOOKUP($A38,Input_Raw!$A:$A,Input_Raw!$CY:$CY),"")</f>
        <v>7.0226036499999935</v>
      </c>
      <c r="H38" s="200">
        <f>IFERROR(_xlfn.XLOOKUP($A38,Input_Raw!$A:$A,Input_Raw!$DA:$DA),"")</f>
        <v>1.3584885833333318</v>
      </c>
      <c r="I38" s="200">
        <f>IFERROR(_xlfn.XLOOKUP($A38,Input_Raw!$A:$A,Input_Raw!$CX:$CX),"")</f>
        <v>6.9749303999999963</v>
      </c>
      <c r="J38" s="200">
        <f>IFERROR(_xlfn.XLOOKUP($A38,Input_Raw!$A:$A,Input_Raw!$CZ:$CZ),"")</f>
        <v>1.080763658333332</v>
      </c>
      <c r="K38" s="201">
        <f>IFERROR(_xlfn.XLOOKUP($A38,Input_Raw!$A:$A,Input_Raw!$DB:$DB),"")</f>
        <v>32.2476319444444</v>
      </c>
      <c r="L38" s="201">
        <f>IFERROR(_xlfn.XLOOKUP($A38,Input_Raw!$A:$A,Input_Raw!$DC:$DC),"")</f>
        <v>44.457882291666706</v>
      </c>
      <c r="M38" s="200">
        <f>IFERROR(_xlfn.XLOOKUP($A38,Input_Raw!$A:$A,Input_Raw!$DF:$DF),"")</f>
        <v>1.210973958333333</v>
      </c>
      <c r="N38" s="200">
        <f>IFERROR(_xlfn.XLOOKUP($A38,Input_Raw!$A:$A,Input_Raw!$DG:$DG),"")</f>
        <v>3.5339999999999998</v>
      </c>
      <c r="O38" s="230">
        <f>IFERROR(1-(SUMIF(Plant_BD!$B:$B,$A38,Plant_BD!$AL:$AL)/($AA38+SUMIF(Plant_BD!$B:$B,$A38,Plant_BD!$AL:$AL))),"")</f>
        <v>0.99411531900245709</v>
      </c>
      <c r="P38" s="230"/>
      <c r="Q38" s="231">
        <f>IFERROR(1-(SUMIF(Grid_BD!$B:$B,$A38,Grid_BD!$V:$V)/($AA38+SUMIF(Grid_BD!$B:$B,$A38,Grid_BD!$V:$V))),"")</f>
        <v>1</v>
      </c>
      <c r="R38" s="230">
        <f>IFERROR(1-(SUMIF(Grid_BD!$B:$B,$A38,Grid_BD!$V:$V)/($AA38+SUMIF(Grid_BD!$B:$B,$A38,Grid_BD!$V:$V))),"")</f>
        <v>1</v>
      </c>
      <c r="S38" s="9"/>
      <c r="T38" s="231"/>
      <c r="U38" s="232">
        <f t="shared" si="1"/>
        <v>0.83360539664188082</v>
      </c>
      <c r="V38" s="232" t="str">
        <f>IFERROR(_xlfn.XLOOKUP($A38,Input_Raw!$A:$A,Input_Raw!$FG:$FG),"")</f>
        <v/>
      </c>
      <c r="W38" s="233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85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33">
        <f>IFERROR(_xlfn.XLOOKUP($D38,'Modelling New'!$D:$D,'Modelling New'!O:O),"")</f>
        <v>0.806597995656121</v>
      </c>
      <c r="AF38" s="233">
        <f>IFERROR(_xlfn.XLOOKUP($D38,'Modelling New'!$D:$D,'Modelling New'!W:W),"")</f>
        <v>0.23157168262385408</v>
      </c>
      <c r="AG38" s="233">
        <f>IFERROR(_xlfn.XLOOKUP($D38,'Modelling New'!$D:$D,'Modelling New'!AE:AE),"")</f>
        <v>0.995</v>
      </c>
      <c r="AH38" s="233">
        <f>IFERROR(_xlfn.XLOOKUP($D38,'Modelling New'!$D:$D,'Modelling New'!AF:AF),"")</f>
        <v>0.995</v>
      </c>
      <c r="AI38" s="9"/>
      <c r="AJ38" s="9"/>
      <c r="AK38" s="256"/>
      <c r="AL38" s="256"/>
      <c r="AM38" s="256"/>
      <c r="AN38" s="230"/>
      <c r="AO38" s="233"/>
      <c r="AP38" s="233"/>
      <c r="AQ38" s="233"/>
      <c r="AR38" s="234">
        <f>_xlfn.XLOOKUP(D38,'Modelling New'!$D:$D,'Modelling New'!$N:$N)</f>
        <v>130</v>
      </c>
      <c r="AS38" s="234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29">
        <f>Table13[[#This Row],[Date]]-DAY(Table13[[#This Row],[Date]])+1</f>
        <v>45778</v>
      </c>
      <c r="E39" s="9">
        <f t="shared" si="0"/>
        <v>31</v>
      </c>
      <c r="F39" s="199">
        <f>IFERROR(_xlfn.XLOOKUP($A39,Input_Raw!$A:$A,Input_Raw!$FC:$FC),"")</f>
        <v>12.966666666666665</v>
      </c>
      <c r="G39" s="185">
        <f>IFERROR(_xlfn.XLOOKUP($A39,Input_Raw!$A:$A,Input_Raw!$CY:$CY),"")</f>
        <v>6.6341772000000017</v>
      </c>
      <c r="H39" s="185">
        <f>IFERROR(_xlfn.XLOOKUP($A39,Input_Raw!$A:$A,Input_Raw!$DA:$DA),"")</f>
        <v>1.2550928333333338</v>
      </c>
      <c r="I39" s="185">
        <f>IFERROR(_xlfn.XLOOKUP($A39,Input_Raw!$A:$A,Input_Raw!$CX:$CX),"")</f>
        <v>6.5433729500000002</v>
      </c>
      <c r="J39" s="185">
        <f>IFERROR(_xlfn.XLOOKUP($A39,Input_Raw!$A:$A,Input_Raw!$CZ:$CZ),"")</f>
        <v>4.0191772000000014</v>
      </c>
      <c r="K39" s="201">
        <f>IFERROR(_xlfn.XLOOKUP($A39,Input_Raw!$A:$A,Input_Raw!$DB:$DB),"")</f>
        <v>32.477587427143987</v>
      </c>
      <c r="L39" s="201">
        <f>IFERROR(_xlfn.XLOOKUP($A39,Input_Raw!$A:$A,Input_Raw!$DC:$DC),"")</f>
        <v>44.325004995836792</v>
      </c>
      <c r="M39" s="200">
        <f>IFERROR(_xlfn.XLOOKUP($A39,Input_Raw!$A:$A,Input_Raw!$DF:$DF),"")</f>
        <v>1.1245099916736043</v>
      </c>
      <c r="N39" s="200">
        <f>IFERROR(_xlfn.XLOOKUP($A39,Input_Raw!$A:$A,Input_Raw!$DG:$DG),"")</f>
        <v>3.9010000000000002</v>
      </c>
      <c r="O39" s="230">
        <f>IFERROR(1-(SUMIF(Plant_BD!$B:$B,$A39,Plant_BD!$AL:$AL)/($AA39+SUMIF(Plant_BD!$B:$B,$A39,Plant_BD!$AL:$AL))),"")</f>
        <v>1</v>
      </c>
      <c r="P39" s="230"/>
      <c r="Q39" s="231">
        <f>IFERROR(1-(SUMIF(Grid_BD!$B:$B,$A39,Grid_BD!$V:$V)/($AA39+SUMIF(Grid_BD!$B:$B,$A39,Grid_BD!$V:$V))),"")</f>
        <v>1</v>
      </c>
      <c r="R39" s="230">
        <f>IFERROR(1-(SUMIF(Grid_BD!$B:$B,$A39,Grid_BD!$V:$V)/($AA39+SUMIF(Grid_BD!$B:$B,$A39,Grid_BD!$V:$V))),"")</f>
        <v>1</v>
      </c>
      <c r="S39" s="9"/>
      <c r="T39" s="231"/>
      <c r="U39" s="232">
        <f t="shared" si="1"/>
        <v>0.85868817566513223</v>
      </c>
      <c r="V39" s="232" t="str">
        <f>IFERROR(_xlfn.XLOOKUP($A39,Input_Raw!$A:$A,Input_Raw!$FG:$FG),"")</f>
        <v/>
      </c>
      <c r="W39" s="233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85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33">
        <f>IFERROR(_xlfn.XLOOKUP($D39,'Modelling New'!$D:$D,'Modelling New'!O:O),"")</f>
        <v>0.806597995656121</v>
      </c>
      <c r="AF39" s="233">
        <f>IFERROR(_xlfn.XLOOKUP($D39,'Modelling New'!$D:$D,'Modelling New'!W:W),"")</f>
        <v>0.23157168262385408</v>
      </c>
      <c r="AG39" s="233">
        <f>IFERROR(_xlfn.XLOOKUP($D39,'Modelling New'!$D:$D,'Modelling New'!AE:AE),"")</f>
        <v>0.995</v>
      </c>
      <c r="AH39" s="233">
        <f>IFERROR(_xlfn.XLOOKUP($D39,'Modelling New'!$D:$D,'Modelling New'!AF:AF),"")</f>
        <v>0.995</v>
      </c>
      <c r="AI39" s="9"/>
      <c r="AJ39" s="9"/>
      <c r="AK39" s="256"/>
      <c r="AL39" s="256"/>
      <c r="AM39" s="256"/>
      <c r="AN39" s="230"/>
      <c r="AO39" s="233"/>
      <c r="AP39" s="233"/>
      <c r="AQ39" s="233"/>
      <c r="AR39" s="234">
        <f>_xlfn.XLOOKUP(D39,'Modelling New'!$D:$D,'Modelling New'!$N:$N)</f>
        <v>130</v>
      </c>
      <c r="AS39" s="234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29">
        <f>Table13[[#This Row],[Date]]-DAY(Table13[[#This Row],[Date]])+1</f>
        <v>45778</v>
      </c>
      <c r="E40" s="9">
        <f t="shared" ref="E40:E103" si="5">DAY(EOMONTH(A40,0))</f>
        <v>31</v>
      </c>
      <c r="F40" s="199">
        <f>IFERROR(_xlfn.XLOOKUP($A40,Input_Raw!$A:$A,Input_Raw!$FC:$FC),"")</f>
        <v>11.65</v>
      </c>
      <c r="G40" s="200">
        <f>IFERROR(_xlfn.XLOOKUP($A40,Input_Raw!$A:$A,Input_Raw!$CY:$CY),"")</f>
        <v>6.5114990333333385</v>
      </c>
      <c r="H40" s="200">
        <f>IFERROR(_xlfn.XLOOKUP($A40,Input_Raw!$A:$A,Input_Raw!$DA:$DA),"")</f>
        <v>1.1526370333333338</v>
      </c>
      <c r="I40" s="200">
        <f>IFERROR(_xlfn.XLOOKUP($A40,Input_Raw!$A:$A,Input_Raw!$CX:$CX),"")</f>
        <v>6.6249372083333347</v>
      </c>
      <c r="J40" s="200">
        <f>IFERROR(_xlfn.XLOOKUP($A40,Input_Raw!$A:$A,Input_Raw!$CZ:$CZ),"")</f>
        <v>0.91383813333333308</v>
      </c>
      <c r="K40" s="201">
        <f>IFERROR(_xlfn.XLOOKUP($A40,Input_Raw!$A:$A,Input_Raw!$DB:$DB),"")</f>
        <v>28.059817274478693</v>
      </c>
      <c r="L40" s="201">
        <f>IFERROR(_xlfn.XLOOKUP($A40,Input_Raw!$A:$A,Input_Raw!$DC:$DC),"")</f>
        <v>40.513636661906439</v>
      </c>
      <c r="M40" s="200">
        <f>IFERROR(_xlfn.XLOOKUP($A40,Input_Raw!$A:$A,Input_Raw!$DF:$DF),"")</f>
        <v>1.34615974761111</v>
      </c>
      <c r="N40" s="200">
        <f>IFERROR(_xlfn.XLOOKUP($A40,Input_Raw!$A:$A,Input_Raw!$DG:$DG),"")</f>
        <v>5.8740000000000006</v>
      </c>
      <c r="O40" s="230">
        <f>IFERROR(1-(SUMIF(Plant_BD!$B:$B,$A40,Plant_BD!$AL:$AL)/($AA40+SUMIF(Plant_BD!$B:$B,$A40,Plant_BD!$AL:$AL))),"")</f>
        <v>1</v>
      </c>
      <c r="P40" s="230"/>
      <c r="Q40" s="231">
        <f>IFERROR(1-(SUMIF(Grid_BD!$B:$B,$A40,Grid_BD!$V:$V)/($AA40+SUMIF(Grid_BD!$B:$B,$A40,Grid_BD!$V:$V))),"")</f>
        <v>1</v>
      </c>
      <c r="R40" s="230">
        <f>IFERROR(1-(SUMIF(Grid_BD!$B:$B,$A40,Grid_BD!$V:$V)/($AA40+SUMIF(Grid_BD!$B:$B,$A40,Grid_BD!$V:$V))),"")</f>
        <v>1</v>
      </c>
      <c r="S40" s="9"/>
      <c r="T40" s="231"/>
      <c r="U40" s="232">
        <f t="shared" ref="U40:U103" si="6">IFERROR(AA40/I40/AB40/1000,"")</f>
        <v>0.85765141823619007</v>
      </c>
      <c r="V40" s="232" t="str">
        <f>IFERROR(_xlfn.XLOOKUP($A40,Input_Raw!$A:$A,Input_Raw!$FG:$FG),"")</f>
        <v/>
      </c>
      <c r="W40" s="233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85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33">
        <f>IFERROR(_xlfn.XLOOKUP($D40,'Modelling New'!$D:$D,'Modelling New'!O:O),"")</f>
        <v>0.806597995656121</v>
      </c>
      <c r="AF40" s="233">
        <f>IFERROR(_xlfn.XLOOKUP($D40,'Modelling New'!$D:$D,'Modelling New'!W:W),"")</f>
        <v>0.23157168262385408</v>
      </c>
      <c r="AG40" s="233">
        <f>IFERROR(_xlfn.XLOOKUP($D40,'Modelling New'!$D:$D,'Modelling New'!AE:AE),"")</f>
        <v>0.995</v>
      </c>
      <c r="AH40" s="233">
        <f>IFERROR(_xlfn.XLOOKUP($D40,'Modelling New'!$D:$D,'Modelling New'!AF:AF),"")</f>
        <v>0.995</v>
      </c>
      <c r="AI40" s="9"/>
      <c r="AJ40" s="9"/>
      <c r="AK40" s="256"/>
      <c r="AL40" s="256"/>
      <c r="AM40" s="256"/>
      <c r="AN40" s="230"/>
      <c r="AO40" s="233"/>
      <c r="AP40" s="233"/>
      <c r="AQ40" s="233"/>
      <c r="AR40" s="234">
        <f>_xlfn.XLOOKUP(D40,'Modelling New'!$D:$D,'Modelling New'!$N:$N)</f>
        <v>130</v>
      </c>
      <c r="AS40" s="234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29">
        <f>Table13[[#This Row],[Date]]-DAY(Table13[[#This Row],[Date]])+1</f>
        <v>45778</v>
      </c>
      <c r="E41" s="9">
        <f t="shared" si="5"/>
        <v>31</v>
      </c>
      <c r="F41" s="199">
        <f>IFERROR(_xlfn.XLOOKUP($A41,Input_Raw!$A:$A,Input_Raw!$FC:$FC),"")</f>
        <v>12.416666666666668</v>
      </c>
      <c r="G41" s="185">
        <f>IFERROR(_xlfn.XLOOKUP($A41,Input_Raw!$A:$A,Input_Raw!$CY:$CY),"")</f>
        <v>6.9249999999999998</v>
      </c>
      <c r="H41" s="185">
        <f>IFERROR(_xlfn.XLOOKUP($A41,Input_Raw!$A:$A,Input_Raw!$DA:$DA),"")</f>
        <v>1.198</v>
      </c>
      <c r="I41" s="185">
        <f>IFERROR(_xlfn.XLOOKUP($A41,Input_Raw!$A:$A,Input_Raw!$CX:$CX),"")</f>
        <v>6.8324999999999996</v>
      </c>
      <c r="J41" s="185">
        <f>IFERROR(_xlfn.XLOOKUP($A41,Input_Raw!$A:$A,Input_Raw!$CZ:$CZ),"")</f>
        <v>0.95550000000000002</v>
      </c>
      <c r="K41" s="201">
        <f>IFERROR(_xlfn.XLOOKUP($A41,Input_Raw!$A:$A,Input_Raw!$DB:$DB),"")</f>
        <v>26.634</v>
      </c>
      <c r="L41" s="201">
        <f>IFERROR(_xlfn.XLOOKUP($A41,Input_Raw!$A:$A,Input_Raw!$DC:$DC),"")</f>
        <v>39.819499999999998</v>
      </c>
      <c r="M41" s="200">
        <f>IFERROR(_xlfn.XLOOKUP($A41,Input_Raw!$A:$A,Input_Raw!$DF:$DF),"")</f>
        <v>1.1695</v>
      </c>
      <c r="N41" s="200">
        <f>IFERROR(_xlfn.XLOOKUP($A41,Input_Raw!$A:$A,Input_Raw!$DG:$DG),"")</f>
        <v>4.1549999999999994</v>
      </c>
      <c r="O41" s="230">
        <f>IFERROR(1-(SUMIF(Plant_BD!$B:$B,$A41,Plant_BD!$AL:$AL)/($AA41+SUMIF(Plant_BD!$B:$B,$A41,Plant_BD!$AL:$AL))),"")</f>
        <v>0.98473319520529101</v>
      </c>
      <c r="P41" s="230"/>
      <c r="Q41" s="231">
        <f>IFERROR(1-(SUMIF(Grid_BD!$B:$B,$A41,Grid_BD!$V:$V)/($AA41+SUMIF(Grid_BD!$B:$B,$A41,Grid_BD!$V:$V))),"")</f>
        <v>1</v>
      </c>
      <c r="R41" s="230">
        <f>IFERROR(1-(SUMIF(Grid_BD!$B:$B,$A41,Grid_BD!$V:$V)/($AA41+SUMIF(Grid_BD!$B:$B,$A41,Grid_BD!$V:$V))),"")</f>
        <v>1</v>
      </c>
      <c r="S41" s="9"/>
      <c r="T41" s="231"/>
      <c r="U41" s="232">
        <f t="shared" si="6"/>
        <v>0.84879564235860006</v>
      </c>
      <c r="V41" s="232" t="str">
        <f>IFERROR(_xlfn.XLOOKUP($A41,Input_Raw!$A:$A,Input_Raw!$FG:$FG),"")</f>
        <v/>
      </c>
      <c r="W41" s="233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85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33">
        <f>IFERROR(_xlfn.XLOOKUP($D41,'Modelling New'!$D:$D,'Modelling New'!O:O),"")</f>
        <v>0.806597995656121</v>
      </c>
      <c r="AF41" s="233">
        <f>IFERROR(_xlfn.XLOOKUP($D41,'Modelling New'!$D:$D,'Modelling New'!W:W),"")</f>
        <v>0.23157168262385408</v>
      </c>
      <c r="AG41" s="233">
        <f>IFERROR(_xlfn.XLOOKUP($D41,'Modelling New'!$D:$D,'Modelling New'!AE:AE),"")</f>
        <v>0.995</v>
      </c>
      <c r="AH41" s="233">
        <f>IFERROR(_xlfn.XLOOKUP($D41,'Modelling New'!$D:$D,'Modelling New'!AF:AF),"")</f>
        <v>0.995</v>
      </c>
      <c r="AI41" s="9"/>
      <c r="AJ41" s="9"/>
      <c r="AK41" s="256"/>
      <c r="AL41" s="256"/>
      <c r="AM41" s="256"/>
      <c r="AN41" s="230"/>
      <c r="AO41" s="233"/>
      <c r="AP41" s="233"/>
      <c r="AQ41" s="233"/>
      <c r="AR41" s="234">
        <f>_xlfn.XLOOKUP(D41,'Modelling New'!$D:$D,'Modelling New'!$N:$N)</f>
        <v>130</v>
      </c>
      <c r="AS41" s="234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29">
        <f>Table13[[#This Row],[Date]]-DAY(Table13[[#This Row],[Date]])+1</f>
        <v>45778</v>
      </c>
      <c r="E42" s="9">
        <f t="shared" si="5"/>
        <v>31</v>
      </c>
      <c r="F42" s="199">
        <f>IFERROR(_xlfn.XLOOKUP($A42,Input_Raw!$A:$A,Input_Raw!$FC:$FC),"")</f>
        <v>11.716666666666669</v>
      </c>
      <c r="G42" s="200">
        <f>IFERROR(_xlfn.XLOOKUP($A42,Input_Raw!$A:$A,Input_Raw!$CY:$CY),"")</f>
        <v>1.6428539000000013</v>
      </c>
      <c r="H42" s="200">
        <f>IFERROR(_xlfn.XLOOKUP($A42,Input_Raw!$A:$A,Input_Raw!$DA:$DA),"")</f>
        <v>1.6257669416666662</v>
      </c>
      <c r="I42" s="200">
        <f>IFERROR(_xlfn.XLOOKUP($A42,Input_Raw!$A:$A,Input_Raw!$CX:$CX),"")</f>
        <v>2.800439208333334</v>
      </c>
      <c r="J42" s="200">
        <f>IFERROR(_xlfn.XLOOKUP($A42,Input_Raw!$A:$A,Input_Raw!$CZ:$CZ),"")</f>
        <v>1.5419629333333338</v>
      </c>
      <c r="K42" s="201">
        <f>IFERROR(_xlfn.XLOOKUP($A42,Input_Raw!$A:$A,Input_Raw!$DB:$DB),"")</f>
        <v>27.184364197956683</v>
      </c>
      <c r="L42" s="201">
        <f>IFERROR(_xlfn.XLOOKUP($A42,Input_Raw!$A:$A,Input_Raw!$DC:$DC),"")</f>
        <v>36.659014327589929</v>
      </c>
      <c r="M42" s="200">
        <f>IFERROR(_xlfn.XLOOKUP($A42,Input_Raw!$A:$A,Input_Raw!$DF:$DF),"")</f>
        <v>0.76960090907000667</v>
      </c>
      <c r="N42" s="200">
        <f>IFERROR(_xlfn.XLOOKUP($A42,Input_Raw!$A:$A,Input_Raw!$DG:$DG),"")</f>
        <v>1.9379999999999999</v>
      </c>
      <c r="O42" s="230">
        <f>IFERROR(1-(SUMIF(Plant_BD!$B:$B,$A42,Plant_BD!$AL:$AL)/($AA42+SUMIF(Plant_BD!$B:$B,$A42,Plant_BD!$AL:$AL))),"")</f>
        <v>1</v>
      </c>
      <c r="P42" s="230"/>
      <c r="Q42" s="231">
        <f>IFERROR(1-(SUMIF(Grid_BD!$B:$B,$A42,Grid_BD!$V:$V)/($AA42+SUMIF(Grid_BD!$B:$B,$A42,Grid_BD!$V:$V))),"")</f>
        <v>1</v>
      </c>
      <c r="R42" s="230">
        <f>IFERROR(1-(SUMIF(Grid_BD!$B:$B,$A42,Grid_BD!$V:$V)/($AA42+SUMIF(Grid_BD!$B:$B,$A42,Grid_BD!$V:$V))),"")</f>
        <v>1</v>
      </c>
      <c r="S42" s="9"/>
      <c r="T42" s="231"/>
      <c r="U42" s="232">
        <f t="shared" si="6"/>
        <v>0.94456226056174419</v>
      </c>
      <c r="V42" s="232" t="str">
        <f>IFERROR(_xlfn.XLOOKUP($A42,Input_Raw!$A:$A,Input_Raw!$FG:$FG),"")</f>
        <v/>
      </c>
      <c r="W42" s="233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85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33">
        <f>IFERROR(_xlfn.XLOOKUP($D42,'Modelling New'!$D:$D,'Modelling New'!O:O),"")</f>
        <v>0.806597995656121</v>
      </c>
      <c r="AF42" s="233">
        <f>IFERROR(_xlfn.XLOOKUP($D42,'Modelling New'!$D:$D,'Modelling New'!W:W),"")</f>
        <v>0.23157168262385408</v>
      </c>
      <c r="AG42" s="233">
        <f>IFERROR(_xlfn.XLOOKUP($D42,'Modelling New'!$D:$D,'Modelling New'!AE:AE),"")</f>
        <v>0.995</v>
      </c>
      <c r="AH42" s="233">
        <f>IFERROR(_xlfn.XLOOKUP($D42,'Modelling New'!$D:$D,'Modelling New'!AF:AF),"")</f>
        <v>0.995</v>
      </c>
      <c r="AI42" s="9"/>
      <c r="AJ42" s="9"/>
      <c r="AK42" s="256"/>
      <c r="AL42" s="256"/>
      <c r="AM42" s="256"/>
      <c r="AN42" s="230"/>
      <c r="AO42" s="233"/>
      <c r="AP42" s="233"/>
      <c r="AQ42" s="233"/>
      <c r="AR42" s="234">
        <f>_xlfn.XLOOKUP(D42,'Modelling New'!$D:$D,'Modelling New'!$N:$N)</f>
        <v>130</v>
      </c>
      <c r="AS42" s="234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29">
        <f>Table13[[#This Row],[Date]]-DAY(Table13[[#This Row],[Date]])+1</f>
        <v>45778</v>
      </c>
      <c r="E43" s="9">
        <f t="shared" si="5"/>
        <v>31</v>
      </c>
      <c r="F43" s="199">
        <f>IFERROR(_xlfn.XLOOKUP($A43,Input_Raw!$A:$A,Input_Raw!$FC:$FC),"")</f>
        <v>12.333333333333336</v>
      </c>
      <c r="G43" s="185">
        <f>IFERROR(_xlfn.XLOOKUP($A43,Input_Raw!$A:$A,Input_Raw!$CY:$CY),"")</f>
        <v>6.4970219583333346</v>
      </c>
      <c r="H43" s="185">
        <f>IFERROR(_xlfn.XLOOKUP($A43,Input_Raw!$A:$A,Input_Raw!$DA:$DA),"")</f>
        <v>3.7762322500000023</v>
      </c>
      <c r="I43" s="185">
        <f>IFERROR(_xlfn.XLOOKUP($A43,Input_Raw!$A:$A,Input_Raw!$CX:$CX),"")</f>
        <v>6.3926259250000053</v>
      </c>
      <c r="J43" s="185">
        <f>IFERROR(_xlfn.XLOOKUP($A43,Input_Raw!$A:$A,Input_Raw!$CZ:$CZ),"")</f>
        <v>0.91157143333333357</v>
      </c>
      <c r="K43" s="201">
        <f>IFERROR(_xlfn.XLOOKUP($A43,Input_Raw!$A:$A,Input_Raw!$DB:$DB),"")</f>
        <v>30.239728554534416</v>
      </c>
      <c r="L43" s="201">
        <f>IFERROR(_xlfn.XLOOKUP($A43,Input_Raw!$A:$A,Input_Raw!$DC:$DC),"")</f>
        <v>44.218970984930365</v>
      </c>
      <c r="M43" s="200">
        <f>IFERROR(_xlfn.XLOOKUP($A43,Input_Raw!$A:$A,Input_Raw!$DF:$DF),"")</f>
        <v>0.9026263978240302</v>
      </c>
      <c r="N43" s="200">
        <f>IFERROR(_xlfn.XLOOKUP($A43,Input_Raw!$A:$A,Input_Raw!$DG:$DG),"")</f>
        <v>2.6654999999999998</v>
      </c>
      <c r="O43" s="230">
        <f>IFERROR(1-(SUMIF(Plant_BD!$B:$B,$A43,Plant_BD!$AL:$AL)/($AA43+SUMIF(Plant_BD!$B:$B,$A43,Plant_BD!$AL:$AL))),"")</f>
        <v>0.95492549670953808</v>
      </c>
      <c r="P43" s="230"/>
      <c r="Q43" s="231">
        <f>IFERROR(1-(SUMIF(Grid_BD!$B:$B,$A43,Grid_BD!$V:$V)/($AA43+SUMIF(Grid_BD!$B:$B,$A43,Grid_BD!$V:$V))),"")</f>
        <v>1</v>
      </c>
      <c r="R43" s="230">
        <f>IFERROR(1-(SUMIF(Grid_BD!$B:$B,$A43,Grid_BD!$V:$V)/($AA43+SUMIF(Grid_BD!$B:$B,$A43,Grid_BD!$V:$V))),"")</f>
        <v>1</v>
      </c>
      <c r="S43" s="9"/>
      <c r="T43" s="231"/>
      <c r="U43" s="232">
        <f t="shared" si="6"/>
        <v>0.78505995086747216</v>
      </c>
      <c r="V43" s="232" t="str">
        <f>IFERROR(_xlfn.XLOOKUP($A43,Input_Raw!$A:$A,Input_Raw!$FG:$FG),"")</f>
        <v/>
      </c>
      <c r="W43" s="233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85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33">
        <f>IFERROR(_xlfn.XLOOKUP($D43,'Modelling New'!$D:$D,'Modelling New'!O:O),"")</f>
        <v>0.806597995656121</v>
      </c>
      <c r="AF43" s="233">
        <f>IFERROR(_xlfn.XLOOKUP($D43,'Modelling New'!$D:$D,'Modelling New'!W:W),"")</f>
        <v>0.23157168262385408</v>
      </c>
      <c r="AG43" s="233">
        <f>IFERROR(_xlfn.XLOOKUP($D43,'Modelling New'!$D:$D,'Modelling New'!AE:AE),"")</f>
        <v>0.995</v>
      </c>
      <c r="AH43" s="233">
        <f>IFERROR(_xlfn.XLOOKUP($D43,'Modelling New'!$D:$D,'Modelling New'!AF:AF),"")</f>
        <v>0.995</v>
      </c>
      <c r="AI43" s="9"/>
      <c r="AJ43" s="9"/>
      <c r="AK43" s="256"/>
      <c r="AL43" s="256"/>
      <c r="AM43" s="256"/>
      <c r="AN43" s="230"/>
      <c r="AO43" s="233"/>
      <c r="AP43" s="233"/>
      <c r="AQ43" s="233"/>
      <c r="AR43" s="234">
        <f>_xlfn.XLOOKUP(D43,'Modelling New'!$D:$D,'Modelling New'!$N:$N)</f>
        <v>130</v>
      </c>
      <c r="AS43" s="234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29">
        <f>Table13[[#This Row],[Date]]-DAY(Table13[[#This Row],[Date]])+1</f>
        <v>45778</v>
      </c>
      <c r="E44" s="9">
        <f t="shared" si="5"/>
        <v>31</v>
      </c>
      <c r="F44" s="199">
        <f>IFERROR(_xlfn.XLOOKUP($A44,Input_Raw!$A:$A,Input_Raw!$FC:$FC),"")</f>
        <v>12.4</v>
      </c>
      <c r="G44" s="200">
        <f>IFERROR(_xlfn.XLOOKUP($A44,Input_Raw!$A:$A,Input_Raw!$CY:$CY),"")</f>
        <v>6.6508540749999998</v>
      </c>
      <c r="H44" s="200">
        <f>IFERROR(_xlfn.XLOOKUP($A44,Input_Raw!$A:$A,Input_Raw!$DA:$DA),"")</f>
        <v>1.2471075166666643</v>
      </c>
      <c r="I44" s="200">
        <f>IFERROR(_xlfn.XLOOKUP($A44,Input_Raw!$A:$A,Input_Raw!$CX:$CX),"")</f>
        <v>6.6142921249999969</v>
      </c>
      <c r="J44" s="200">
        <f>IFERROR(_xlfn.XLOOKUP($A44,Input_Raw!$A:$A,Input_Raw!$CZ:$CZ),"")</f>
        <v>0.93745178333333334</v>
      </c>
      <c r="K44" s="201">
        <f>IFERROR(_xlfn.XLOOKUP($A44,Input_Raw!$A:$A,Input_Raw!$DB:$DB),"")</f>
        <v>31.312185268101324</v>
      </c>
      <c r="L44" s="201">
        <f>IFERROR(_xlfn.XLOOKUP($A44,Input_Raw!$A:$A,Input_Raw!$DC:$DC),"")</f>
        <v>44.336283204661385</v>
      </c>
      <c r="M44" s="200">
        <f>IFERROR(_xlfn.XLOOKUP($A44,Input_Raw!$A:$A,Input_Raw!$DF:$DF),"")</f>
        <v>1.221730429097577</v>
      </c>
      <c r="N44" s="200">
        <f>IFERROR(_xlfn.XLOOKUP($A44,Input_Raw!$A:$A,Input_Raw!$DG:$DG),"")</f>
        <v>3.5745</v>
      </c>
      <c r="O44" s="230">
        <f>IFERROR(1-(SUMIF(Plant_BD!$B:$B,$A44,Plant_BD!$AL:$AL)/($AA44+SUMIF(Plant_BD!$B:$B,$A44,Plant_BD!$AL:$AL))),"")</f>
        <v>1</v>
      </c>
      <c r="P44" s="230"/>
      <c r="Q44" s="231">
        <f>IFERROR(1-(SUMIF(Grid_BD!$B:$B,$A44,Grid_BD!$V:$V)/($AA44+SUMIF(Grid_BD!$B:$B,$A44,Grid_BD!$V:$V))),"")</f>
        <v>1</v>
      </c>
      <c r="R44" s="230">
        <f>IFERROR(1-(SUMIF(Grid_BD!$B:$B,$A44,Grid_BD!$V:$V)/($AA44+SUMIF(Grid_BD!$B:$B,$A44,Grid_BD!$V:$V))),"")</f>
        <v>1</v>
      </c>
      <c r="S44" s="9"/>
      <c r="T44" s="231"/>
      <c r="U44" s="232">
        <f t="shared" si="6"/>
        <v>0.8248477207655458</v>
      </c>
      <c r="V44" s="232" t="str">
        <f>IFERROR(_xlfn.XLOOKUP($A44,Input_Raw!$A:$A,Input_Raw!$FG:$FG),"")</f>
        <v/>
      </c>
      <c r="W44" s="233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85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33">
        <f>IFERROR(_xlfn.XLOOKUP($D44,'Modelling New'!$D:$D,'Modelling New'!O:O),"")</f>
        <v>0.806597995656121</v>
      </c>
      <c r="AF44" s="233">
        <f>IFERROR(_xlfn.XLOOKUP($D44,'Modelling New'!$D:$D,'Modelling New'!W:W),"")</f>
        <v>0.23157168262385408</v>
      </c>
      <c r="AG44" s="233">
        <f>IFERROR(_xlfn.XLOOKUP($D44,'Modelling New'!$D:$D,'Modelling New'!AE:AE),"")</f>
        <v>0.995</v>
      </c>
      <c r="AH44" s="233">
        <f>IFERROR(_xlfn.XLOOKUP($D44,'Modelling New'!$D:$D,'Modelling New'!AF:AF),"")</f>
        <v>0.995</v>
      </c>
      <c r="AI44" s="9"/>
      <c r="AJ44" s="9"/>
      <c r="AK44" s="256"/>
      <c r="AL44" s="256"/>
      <c r="AM44" s="256"/>
      <c r="AN44" s="230"/>
      <c r="AO44" s="233"/>
      <c r="AP44" s="233"/>
      <c r="AQ44" s="233"/>
      <c r="AR44" s="234">
        <f>_xlfn.XLOOKUP(D44,'Modelling New'!$D:$D,'Modelling New'!$N:$N)</f>
        <v>130</v>
      </c>
      <c r="AS44" s="234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29">
        <f>Table13[[#This Row],[Date]]-DAY(Table13[[#This Row],[Date]])+1</f>
        <v>45778</v>
      </c>
      <c r="E45" s="9">
        <f t="shared" si="5"/>
        <v>31</v>
      </c>
      <c r="F45" s="199">
        <f>IFERROR(_xlfn.XLOOKUP($A45,Input_Raw!$A:$A,Input_Raw!$FC:$FC),"")</f>
        <v>12.4</v>
      </c>
      <c r="G45" s="185">
        <f>IFERROR(_xlfn.XLOOKUP($A45,Input_Raw!$A:$A,Input_Raw!$CY:$CY),"")</f>
        <v>5.0195781416666687</v>
      </c>
      <c r="H45" s="185">
        <f>IFERROR(_xlfn.XLOOKUP($A45,Input_Raw!$A:$A,Input_Raw!$DA:$DA),"")</f>
        <v>3.0195322750000018</v>
      </c>
      <c r="I45" s="185">
        <f>IFERROR(_xlfn.XLOOKUP($A45,Input_Raw!$A:$A,Input_Raw!$CX:$CX),"")</f>
        <v>5.0238358500000047</v>
      </c>
      <c r="J45" s="185">
        <f>IFERROR(_xlfn.XLOOKUP($A45,Input_Raw!$A:$A,Input_Raw!$CZ:$CZ),"")</f>
        <v>0.7255239499999997</v>
      </c>
      <c r="K45" s="201">
        <f>IFERROR(_xlfn.XLOOKUP($A45,Input_Raw!$A:$A,Input_Raw!$DB:$DB),"")</f>
        <v>30.529776591042271</v>
      </c>
      <c r="L45" s="201">
        <f>IFERROR(_xlfn.XLOOKUP($A45,Input_Raw!$A:$A,Input_Raw!$DC:$DC),"")</f>
        <v>42.362846176427553</v>
      </c>
      <c r="M45" s="200">
        <f>IFERROR(_xlfn.XLOOKUP($A45,Input_Raw!$A:$A,Input_Raw!$DF:$DF),"")</f>
        <v>0.9882698066722343</v>
      </c>
      <c r="N45" s="200">
        <f>IFERROR(_xlfn.XLOOKUP($A45,Input_Raw!$A:$A,Input_Raw!$DG:$DG),"")</f>
        <v>4.0949999999999998</v>
      </c>
      <c r="O45" s="230">
        <f>IFERROR(1-(SUMIF(Plant_BD!$B:$B,$A45,Plant_BD!$AL:$AL)/($AA45+SUMIF(Plant_BD!$B:$B,$A45,Plant_BD!$AL:$AL))),"")</f>
        <v>1</v>
      </c>
      <c r="P45" s="230"/>
      <c r="Q45" s="231">
        <f>IFERROR(1-(SUMIF(Grid_BD!$B:$B,$A45,Grid_BD!$V:$V)/($AA45+SUMIF(Grid_BD!$B:$B,$A45,Grid_BD!$V:$V))),"")</f>
        <v>1</v>
      </c>
      <c r="R45" s="230">
        <f>IFERROR(1-(SUMIF(Grid_BD!$B:$B,$A45,Grid_BD!$V:$V)/($AA45+SUMIF(Grid_BD!$B:$B,$A45,Grid_BD!$V:$V))),"")</f>
        <v>1</v>
      </c>
      <c r="S45" s="9"/>
      <c r="T45" s="231"/>
      <c r="U45" s="232">
        <f t="shared" si="6"/>
        <v>0.82955886537725221</v>
      </c>
      <c r="V45" s="232" t="str">
        <f>IFERROR(_xlfn.XLOOKUP($A45,Input_Raw!$A:$A,Input_Raw!$FG:$FG),"")</f>
        <v/>
      </c>
      <c r="W45" s="233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85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33">
        <f>IFERROR(_xlfn.XLOOKUP($D45,'Modelling New'!$D:$D,'Modelling New'!O:O),"")</f>
        <v>0.806597995656121</v>
      </c>
      <c r="AF45" s="233">
        <f>IFERROR(_xlfn.XLOOKUP($D45,'Modelling New'!$D:$D,'Modelling New'!W:W),"")</f>
        <v>0.23157168262385408</v>
      </c>
      <c r="AG45" s="233">
        <f>IFERROR(_xlfn.XLOOKUP($D45,'Modelling New'!$D:$D,'Modelling New'!AE:AE),"")</f>
        <v>0.995</v>
      </c>
      <c r="AH45" s="233">
        <f>IFERROR(_xlfn.XLOOKUP($D45,'Modelling New'!$D:$D,'Modelling New'!AF:AF),"")</f>
        <v>0.995</v>
      </c>
      <c r="AI45" s="9"/>
      <c r="AJ45" s="9"/>
      <c r="AK45" s="256"/>
      <c r="AL45" s="256"/>
      <c r="AM45" s="256"/>
      <c r="AN45" s="230"/>
      <c r="AO45" s="233"/>
      <c r="AP45" s="233"/>
      <c r="AQ45" s="233"/>
      <c r="AR45" s="234">
        <f>_xlfn.XLOOKUP(D45,'Modelling New'!$D:$D,'Modelling New'!$N:$N)</f>
        <v>130</v>
      </c>
      <c r="AS45" s="234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29">
        <f>Table13[[#This Row],[Date]]-DAY(Table13[[#This Row],[Date]])+1</f>
        <v>45778</v>
      </c>
      <c r="E46" s="9">
        <f t="shared" si="5"/>
        <v>31</v>
      </c>
      <c r="F46" s="199">
        <f>IFERROR(_xlfn.XLOOKUP($A46,Input_Raw!$A:$A,Input_Raw!$FC:$FC),"")</f>
        <v>12.4</v>
      </c>
      <c r="G46" s="200">
        <f>IFERROR(_xlfn.XLOOKUP($A46,Input_Raw!$A:$A,Input_Raw!$CY:$CY),"")</f>
        <v>5.0978526583333394</v>
      </c>
      <c r="H46" s="200">
        <f>IFERROR(_xlfn.XLOOKUP($A46,Input_Raw!$A:$A,Input_Raw!$DA:$DA),"")</f>
        <v>0.92995367500000037</v>
      </c>
      <c r="I46" s="200">
        <f>IFERROR(_xlfn.XLOOKUP($A46,Input_Raw!$A:$A,Input_Raw!$CX:$CX),"")</f>
        <v>5.1501863583333325</v>
      </c>
      <c r="J46" s="200">
        <f>IFERROR(_xlfn.XLOOKUP($A46,Input_Raw!$A:$A,Input_Raw!$CZ:$CZ),"")</f>
        <v>0.7325373666666678</v>
      </c>
      <c r="K46" s="201">
        <f>IFERROR(_xlfn.XLOOKUP($A46,Input_Raw!$A:$A,Input_Raw!$DB:$DB),"")</f>
        <v>30.746254753941777</v>
      </c>
      <c r="L46" s="201">
        <f>IFERROR(_xlfn.XLOOKUP($A46,Input_Raw!$A:$A,Input_Raw!$DC:$DC),"")</f>
        <v>42.617459495938824</v>
      </c>
      <c r="M46" s="200">
        <f>IFERROR(_xlfn.XLOOKUP($A46,Input_Raw!$A:$A,Input_Raw!$DF:$DF),"")</f>
        <v>1.2086206282847587</v>
      </c>
      <c r="N46" s="200">
        <f>IFERROR(_xlfn.XLOOKUP($A46,Input_Raw!$A:$A,Input_Raw!$DG:$DG),"")</f>
        <v>3.7679999999999998</v>
      </c>
      <c r="O46" s="230">
        <f>IFERROR(1-(SUMIF(Plant_BD!$B:$B,$A46,Plant_BD!$AL:$AL)/($AA46+SUMIF(Plant_BD!$B:$B,$A46,Plant_BD!$AL:$AL))),"")</f>
        <v>1</v>
      </c>
      <c r="P46" s="230"/>
      <c r="Q46" s="231">
        <f>IFERROR(1-(SUMIF(Grid_BD!$B:$B,$A46,Grid_BD!$V:$V)/($AA46+SUMIF(Grid_BD!$B:$B,$A46,Grid_BD!$V:$V))),"")</f>
        <v>1</v>
      </c>
      <c r="R46" s="230">
        <f>IFERROR(1-(SUMIF(Grid_BD!$B:$B,$A46,Grid_BD!$V:$V)/($AA46+SUMIF(Grid_BD!$B:$B,$A46,Grid_BD!$V:$V))),"")</f>
        <v>1</v>
      </c>
      <c r="S46" s="9"/>
      <c r="T46" s="231"/>
      <c r="U46" s="232">
        <f t="shared" si="6"/>
        <v>0.82860292085440945</v>
      </c>
      <c r="V46" s="232" t="str">
        <f>IFERROR(_xlfn.XLOOKUP($A46,Input_Raw!$A:$A,Input_Raw!$FG:$FG),"")</f>
        <v/>
      </c>
      <c r="W46" s="233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85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33">
        <f>IFERROR(_xlfn.XLOOKUP($D46,'Modelling New'!$D:$D,'Modelling New'!O:O),"")</f>
        <v>0.806597995656121</v>
      </c>
      <c r="AF46" s="233">
        <f>IFERROR(_xlfn.XLOOKUP($D46,'Modelling New'!$D:$D,'Modelling New'!W:W),"")</f>
        <v>0.23157168262385408</v>
      </c>
      <c r="AG46" s="233">
        <f>IFERROR(_xlfn.XLOOKUP($D46,'Modelling New'!$D:$D,'Modelling New'!AE:AE),"")</f>
        <v>0.995</v>
      </c>
      <c r="AH46" s="233">
        <f>IFERROR(_xlfn.XLOOKUP($D46,'Modelling New'!$D:$D,'Modelling New'!AF:AF),"")</f>
        <v>0.995</v>
      </c>
      <c r="AI46" s="9"/>
      <c r="AJ46" s="9"/>
      <c r="AK46" s="256"/>
      <c r="AL46" s="256"/>
      <c r="AM46" s="256"/>
      <c r="AN46" s="230"/>
      <c r="AO46" s="233"/>
      <c r="AP46" s="233"/>
      <c r="AQ46" s="233"/>
      <c r="AR46" s="234">
        <f>_xlfn.XLOOKUP(D46,'Modelling New'!$D:$D,'Modelling New'!$N:$N)</f>
        <v>130</v>
      </c>
      <c r="AS46" s="234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29">
        <f>Table13[[#This Row],[Date]]-DAY(Table13[[#This Row],[Date]])+1</f>
        <v>45778</v>
      </c>
      <c r="E47" s="9">
        <f t="shared" si="5"/>
        <v>31</v>
      </c>
      <c r="F47" s="199">
        <f>IFERROR(_xlfn.XLOOKUP($A47,Input_Raw!$A:$A,Input_Raw!$FC:$FC),"")</f>
        <v>12.4</v>
      </c>
      <c r="G47" s="185">
        <f>IFERROR(_xlfn.XLOOKUP($A47,Input_Raw!$A:$A,Input_Raw!$CY:$CY),"")</f>
        <v>3.4529891666666632</v>
      </c>
      <c r="H47" s="185">
        <f>IFERROR(_xlfn.XLOOKUP($A47,Input_Raw!$A:$A,Input_Raw!$DA:$DA),"")</f>
        <v>0.60197658333333337</v>
      </c>
      <c r="I47" s="185">
        <f>IFERROR(_xlfn.XLOOKUP($A47,Input_Raw!$A:$A,Input_Raw!$CX:$CX),"")</f>
        <v>3.3404308166666681</v>
      </c>
      <c r="J47" s="185">
        <f>IFERROR(_xlfn.XLOOKUP($A47,Input_Raw!$A:$A,Input_Raw!$CZ:$CZ),"")</f>
        <v>0.46789799166666673</v>
      </c>
      <c r="K47" s="201">
        <f>IFERROR(_xlfn.XLOOKUP($A47,Input_Raw!$A:$A,Input_Raw!$DB:$DB),"")</f>
        <v>30.387321987347043</v>
      </c>
      <c r="L47" s="201">
        <f>IFERROR(_xlfn.XLOOKUP($A47,Input_Raw!$A:$A,Input_Raw!$DC:$DC),"")</f>
        <v>40.300776878054343</v>
      </c>
      <c r="M47" s="200">
        <f>IFERROR(_xlfn.XLOOKUP($A47,Input_Raw!$A:$A,Input_Raw!$DF:$DF),"")</f>
        <v>1.1787962097965687</v>
      </c>
      <c r="N47" s="200">
        <f>IFERROR(_xlfn.XLOOKUP($A47,Input_Raw!$A:$A,Input_Raw!$DG:$DG),"")</f>
        <v>1.9893880952380951</v>
      </c>
      <c r="O47" s="230">
        <f>IFERROR(1-(SUMIF(Plant_BD!$B:$B,$A47,Plant_BD!$AL:$AL)/($AA47+SUMIF(Plant_BD!$B:$B,$A47,Plant_BD!$AL:$AL))),"")</f>
        <v>1</v>
      </c>
      <c r="P47" s="230"/>
      <c r="Q47" s="231">
        <f>IFERROR(1-(SUMIF(Grid_BD!$B:$B,$A47,Grid_BD!$V:$V)/($AA47+SUMIF(Grid_BD!$B:$B,$A47,Grid_BD!$V:$V))),"")</f>
        <v>1</v>
      </c>
      <c r="R47" s="230">
        <f>IFERROR(1-(SUMIF(Grid_BD!$B:$B,$A47,Grid_BD!$V:$V)/($AA47+SUMIF(Grid_BD!$B:$B,$A47,Grid_BD!$V:$V))),"")</f>
        <v>1</v>
      </c>
      <c r="S47" s="9"/>
      <c r="T47" s="231"/>
      <c r="U47" s="232">
        <f t="shared" si="6"/>
        <v>0.87031984878654323</v>
      </c>
      <c r="V47" s="232" t="str">
        <f>IFERROR(_xlfn.XLOOKUP($A47,Input_Raw!$A:$A,Input_Raw!$FG:$FG),"")</f>
        <v/>
      </c>
      <c r="W47" s="233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85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33">
        <f>IFERROR(_xlfn.XLOOKUP($D47,'Modelling New'!$D:$D,'Modelling New'!O:O),"")</f>
        <v>0.806597995656121</v>
      </c>
      <c r="AF47" s="233">
        <f>IFERROR(_xlfn.XLOOKUP($D47,'Modelling New'!$D:$D,'Modelling New'!W:W),"")</f>
        <v>0.23157168262385408</v>
      </c>
      <c r="AG47" s="233">
        <f>IFERROR(_xlfn.XLOOKUP($D47,'Modelling New'!$D:$D,'Modelling New'!AE:AE),"")</f>
        <v>0.995</v>
      </c>
      <c r="AH47" s="233">
        <f>IFERROR(_xlfn.XLOOKUP($D47,'Modelling New'!$D:$D,'Modelling New'!AF:AF),"")</f>
        <v>0.995</v>
      </c>
      <c r="AI47" s="9"/>
      <c r="AJ47" s="9"/>
      <c r="AK47" s="256"/>
      <c r="AL47" s="256"/>
      <c r="AM47" s="256"/>
      <c r="AN47" s="230"/>
      <c r="AO47" s="233"/>
      <c r="AP47" s="233"/>
      <c r="AQ47" s="233"/>
      <c r="AR47" s="234">
        <f>_xlfn.XLOOKUP(D47,'Modelling New'!$D:$D,'Modelling New'!$N:$N)</f>
        <v>130</v>
      </c>
      <c r="AS47" s="234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29">
        <f>Table13[[#This Row],[Date]]-DAY(Table13[[#This Row],[Date]])+1</f>
        <v>45778</v>
      </c>
      <c r="E48" s="9">
        <f t="shared" si="5"/>
        <v>31</v>
      </c>
      <c r="F48" s="199">
        <f>IFERROR(_xlfn.XLOOKUP($A48,Input_Raw!$A:$A,Input_Raw!$FC:$FC),"")</f>
        <v>12.4</v>
      </c>
      <c r="G48" s="200">
        <f>IFERROR(_xlfn.XLOOKUP($A48,Input_Raw!$A:$A,Input_Raw!$CY:$CY),"")</f>
        <v>4.5428257333333333</v>
      </c>
      <c r="H48" s="200">
        <f>IFERROR(_xlfn.XLOOKUP($A48,Input_Raw!$A:$A,Input_Raw!$DA:$DA),"")</f>
        <v>0.79799035833333287</v>
      </c>
      <c r="I48" s="200">
        <f>IFERROR(_xlfn.XLOOKUP($A48,Input_Raw!$A:$A,Input_Raw!$CX:$CX),"")</f>
        <v>4.3417617999999969</v>
      </c>
      <c r="J48" s="200">
        <f>IFERROR(_xlfn.XLOOKUP($A48,Input_Raw!$A:$A,Input_Raw!$CZ:$CZ),"")</f>
        <v>0.59314307499999952</v>
      </c>
      <c r="K48" s="201">
        <f>IFERROR(_xlfn.XLOOKUP($A48,Input_Raw!$A:$A,Input_Raw!$DB:$DB),"")</f>
        <v>31.381731924503079</v>
      </c>
      <c r="L48" s="201">
        <f>IFERROR(_xlfn.XLOOKUP($A48,Input_Raw!$A:$A,Input_Raw!$DC:$DC),"")</f>
        <v>42.756110977135386</v>
      </c>
      <c r="M48" s="200">
        <f>IFERROR(_xlfn.XLOOKUP($A48,Input_Raw!$A:$A,Input_Raw!$DF:$DF),"")</f>
        <v>1.2687451611558069</v>
      </c>
      <c r="N48" s="200">
        <f>IFERROR(_xlfn.XLOOKUP($A48,Input_Raw!$A:$A,Input_Raw!$DG:$DG),"")</f>
        <v>2.4630000000000001</v>
      </c>
      <c r="O48" s="230">
        <f>IFERROR(1-(SUMIF(Plant_BD!$B:$B,$A48,Plant_BD!$AL:$AL)/($AA48+SUMIF(Plant_BD!$B:$B,$A48,Plant_BD!$AL:$AL))),"")</f>
        <v>1</v>
      </c>
      <c r="P48" s="230"/>
      <c r="Q48" s="231">
        <f>IFERROR(1-(SUMIF(Grid_BD!$B:$B,$A48,Grid_BD!$V:$V)/($AA48+SUMIF(Grid_BD!$B:$B,$A48,Grid_BD!$V:$V))),"")</f>
        <v>1</v>
      </c>
      <c r="R48" s="230">
        <f>IFERROR(1-(SUMIF(Grid_BD!$B:$B,$A48,Grid_BD!$V:$V)/($AA48+SUMIF(Grid_BD!$B:$B,$A48,Grid_BD!$V:$V))),"")</f>
        <v>1</v>
      </c>
      <c r="S48" s="9"/>
      <c r="T48" s="231"/>
      <c r="U48" s="232">
        <f t="shared" si="6"/>
        <v>0.85126733576215363</v>
      </c>
      <c r="V48" s="232" t="str">
        <f>IFERROR(_xlfn.XLOOKUP($A48,Input_Raw!$A:$A,Input_Raw!$FG:$FG),"")</f>
        <v/>
      </c>
      <c r="W48" s="233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85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33">
        <f>IFERROR(_xlfn.XLOOKUP($D48,'Modelling New'!$D:$D,'Modelling New'!O:O),"")</f>
        <v>0.806597995656121</v>
      </c>
      <c r="AF48" s="233">
        <f>IFERROR(_xlfn.XLOOKUP($D48,'Modelling New'!$D:$D,'Modelling New'!W:W),"")</f>
        <v>0.23157168262385408</v>
      </c>
      <c r="AG48" s="233">
        <f>IFERROR(_xlfn.XLOOKUP($D48,'Modelling New'!$D:$D,'Modelling New'!AE:AE),"")</f>
        <v>0.995</v>
      </c>
      <c r="AH48" s="233">
        <f>IFERROR(_xlfn.XLOOKUP($D48,'Modelling New'!$D:$D,'Modelling New'!AF:AF),"")</f>
        <v>0.995</v>
      </c>
      <c r="AI48" s="9"/>
      <c r="AJ48" s="9"/>
      <c r="AK48" s="256"/>
      <c r="AL48" s="256"/>
      <c r="AM48" s="256"/>
      <c r="AN48" s="230"/>
      <c r="AO48" s="233"/>
      <c r="AP48" s="233"/>
      <c r="AQ48" s="233"/>
      <c r="AR48" s="234">
        <f>_xlfn.XLOOKUP(D48,'Modelling New'!$D:$D,'Modelling New'!$N:$N)</f>
        <v>130</v>
      </c>
      <c r="AS48" s="234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29">
        <f>Table13[[#This Row],[Date]]-DAY(Table13[[#This Row],[Date]])+1</f>
        <v>45778</v>
      </c>
      <c r="E49" s="9">
        <f t="shared" si="5"/>
        <v>31</v>
      </c>
      <c r="F49" s="199">
        <f>IFERROR(_xlfn.XLOOKUP($A49,Input_Raw!$A:$A,Input_Raw!$FC:$FC),"")</f>
        <v>12.9</v>
      </c>
      <c r="G49" s="185">
        <f>IFERROR(_xlfn.XLOOKUP($A49,Input_Raw!$A:$A,Input_Raw!$CY:$CY),"")</f>
        <v>4.2141304166666664</v>
      </c>
      <c r="H49" s="185">
        <f>IFERROR(_xlfn.XLOOKUP($A49,Input_Raw!$A:$A,Input_Raw!$DA:$DA),"")</f>
        <v>0.75503757499999935</v>
      </c>
      <c r="I49" s="185">
        <f>IFERROR(_xlfn.XLOOKUP($A49,Input_Raw!$A:$A,Input_Raw!$CX:$CX),"")</f>
        <v>4.1260593833333328</v>
      </c>
      <c r="J49" s="185">
        <f>IFERROR(_xlfn.XLOOKUP($A49,Input_Raw!$A:$A,Input_Raw!$CZ:$CZ),"")</f>
        <v>0.5693108499999997</v>
      </c>
      <c r="K49" s="201">
        <f>IFERROR(_xlfn.XLOOKUP($A49,Input_Raw!$A:$A,Input_Raw!$DB:$DB),"")</f>
        <v>29.971046001175324</v>
      </c>
      <c r="L49" s="201">
        <f>IFERROR(_xlfn.XLOOKUP($A49,Input_Raw!$A:$A,Input_Raw!$DC:$DC),"")</f>
        <v>40.712753917439265</v>
      </c>
      <c r="M49" s="200">
        <f>IFERROR(_xlfn.XLOOKUP($A49,Input_Raw!$A:$A,Input_Raw!$DF:$DF),"")</f>
        <v>1.3424417482979161</v>
      </c>
      <c r="N49" s="200">
        <f>IFERROR(_xlfn.XLOOKUP($A49,Input_Raw!$A:$A,Input_Raw!$DG:$DG),"")</f>
        <v>5.7359999999999998</v>
      </c>
      <c r="O49" s="230">
        <f>IFERROR(1-(SUMIF(Plant_BD!$B:$B,$A49,Plant_BD!$AL:$AL)/($AA49+SUMIF(Plant_BD!$B:$B,$A49,Plant_BD!$AL:$AL))),"")</f>
        <v>1</v>
      </c>
      <c r="P49" s="230"/>
      <c r="Q49" s="231">
        <f>IFERROR(1-(SUMIF(Grid_BD!$B:$B,$A49,Grid_BD!$V:$V)/($AA49+SUMIF(Grid_BD!$B:$B,$A49,Grid_BD!$V:$V))),"")</f>
        <v>1</v>
      </c>
      <c r="R49" s="230">
        <f>IFERROR(1-(SUMIF(Grid_BD!$B:$B,$A49,Grid_BD!$V:$V)/($AA49+SUMIF(Grid_BD!$B:$B,$A49,Grid_BD!$V:$V))),"")</f>
        <v>1</v>
      </c>
      <c r="S49" s="9"/>
      <c r="T49" s="231"/>
      <c r="U49" s="232">
        <f t="shared" si="6"/>
        <v>0.83255173413469064</v>
      </c>
      <c r="V49" s="232" t="str">
        <f>IFERROR(_xlfn.XLOOKUP($A49,Input_Raw!$A:$A,Input_Raw!$FG:$FG),"")</f>
        <v/>
      </c>
      <c r="W49" s="233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85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33">
        <f>IFERROR(_xlfn.XLOOKUP($D49,'Modelling New'!$D:$D,'Modelling New'!O:O),"")</f>
        <v>0.806597995656121</v>
      </c>
      <c r="AF49" s="233">
        <f>IFERROR(_xlfn.XLOOKUP($D49,'Modelling New'!$D:$D,'Modelling New'!W:W),"")</f>
        <v>0.23157168262385408</v>
      </c>
      <c r="AG49" s="233">
        <f>IFERROR(_xlfn.XLOOKUP($D49,'Modelling New'!$D:$D,'Modelling New'!AE:AE),"")</f>
        <v>0.995</v>
      </c>
      <c r="AH49" s="233">
        <f>IFERROR(_xlfn.XLOOKUP($D49,'Modelling New'!$D:$D,'Modelling New'!AF:AF),"")</f>
        <v>0.995</v>
      </c>
      <c r="AI49" s="9"/>
      <c r="AJ49" s="9"/>
      <c r="AK49" s="256"/>
      <c r="AL49" s="256"/>
      <c r="AM49" s="256"/>
      <c r="AN49" s="230"/>
      <c r="AO49" s="233"/>
      <c r="AP49" s="233"/>
      <c r="AQ49" s="233"/>
      <c r="AR49" s="234">
        <f>_xlfn.XLOOKUP(D49,'Modelling New'!$D:$D,'Modelling New'!$N:$N)</f>
        <v>130</v>
      </c>
      <c r="AS49" s="234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29">
        <f>Table13[[#This Row],[Date]]-DAY(Table13[[#This Row],[Date]])+1</f>
        <v>45778</v>
      </c>
      <c r="E50" s="9">
        <f t="shared" si="5"/>
        <v>31</v>
      </c>
      <c r="F50" s="199">
        <f>IFERROR(_xlfn.XLOOKUP($A50,Input_Raw!$A:$A,Input_Raw!$FC:$FC),"")</f>
        <v>12.9</v>
      </c>
      <c r="G50" s="200">
        <f>IFERROR(_xlfn.XLOOKUP($A50,Input_Raw!$A:$A,Input_Raw!$CY:$CY),"")</f>
        <v>4.7998345249999925</v>
      </c>
      <c r="H50" s="200">
        <f>IFERROR(_xlfn.XLOOKUP($A50,Input_Raw!$A:$A,Input_Raw!$DA:$DA),"")</f>
        <v>0.72242025833283319</v>
      </c>
      <c r="I50" s="200">
        <f>IFERROR(_xlfn.XLOOKUP($A50,Input_Raw!$A:$A,Input_Raw!$CX:$CX),"")</f>
        <v>4.7411628333333358</v>
      </c>
      <c r="J50" s="200">
        <f>IFERROR(_xlfn.XLOOKUP($A50,Input_Raw!$A:$A,Input_Raw!$CZ:$CZ),"")</f>
        <v>0.63962021666666635</v>
      </c>
      <c r="K50" s="201">
        <f>IFERROR(_xlfn.XLOOKUP($A50,Input_Raw!$A:$A,Input_Raw!$DB:$DB),"")</f>
        <v>29.74551437544234</v>
      </c>
      <c r="L50" s="201">
        <f>IFERROR(_xlfn.XLOOKUP($A50,Input_Raw!$A:$A,Input_Raw!$DC:$DC),"")</f>
        <v>40.682402419497471</v>
      </c>
      <c r="M50" s="200">
        <f>IFERROR(_xlfn.XLOOKUP($A50,Input_Raw!$A:$A,Input_Raw!$DF:$DF),"")</f>
        <v>1.2140760483014852</v>
      </c>
      <c r="N50" s="200">
        <f>IFERROR(_xlfn.XLOOKUP($A50,Input_Raw!$A:$A,Input_Raw!$DG:$DG),"")</f>
        <v>4.6814999999999998</v>
      </c>
      <c r="O50" s="230">
        <f>IFERROR(1-(SUMIF(Plant_BD!$B:$B,$A50,Plant_BD!$AL:$AL)/($AA50+SUMIF(Plant_BD!$B:$B,$A50,Plant_BD!$AL:$AL))),"")</f>
        <v>0.97498227075860455</v>
      </c>
      <c r="P50" s="230"/>
      <c r="Q50" s="231">
        <f>IFERROR(1-(SUMIF(Grid_BD!$B:$B,$A50,Grid_BD!$V:$V)/($AA50+SUMIF(Grid_BD!$B:$B,$A50,Grid_BD!$V:$V))),"")</f>
        <v>1</v>
      </c>
      <c r="R50" s="230">
        <f>IFERROR(1-(SUMIF(Grid_BD!$B:$B,$A50,Grid_BD!$V:$V)/($AA50+SUMIF(Grid_BD!$B:$B,$A50,Grid_BD!$V:$V))),"")</f>
        <v>1</v>
      </c>
      <c r="S50" s="9"/>
      <c r="T50" s="231"/>
      <c r="U50" s="232">
        <f t="shared" si="6"/>
        <v>0.84056660738921651</v>
      </c>
      <c r="V50" s="232" t="str">
        <f>IFERROR(_xlfn.XLOOKUP($A50,Input_Raw!$A:$A,Input_Raw!$FG:$FG),"")</f>
        <v/>
      </c>
      <c r="W50" s="233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85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33">
        <f>IFERROR(_xlfn.XLOOKUP($D50,'Modelling New'!$D:$D,'Modelling New'!O:O),"")</f>
        <v>0.806597995656121</v>
      </c>
      <c r="AF50" s="233">
        <f>IFERROR(_xlfn.XLOOKUP($D50,'Modelling New'!$D:$D,'Modelling New'!W:W),"")</f>
        <v>0.23157168262385408</v>
      </c>
      <c r="AG50" s="233">
        <f>IFERROR(_xlfn.XLOOKUP($D50,'Modelling New'!$D:$D,'Modelling New'!AE:AE),"")</f>
        <v>0.995</v>
      </c>
      <c r="AH50" s="233">
        <f>IFERROR(_xlfn.XLOOKUP($D50,'Modelling New'!$D:$D,'Modelling New'!AF:AF),"")</f>
        <v>0.995</v>
      </c>
      <c r="AI50" s="9"/>
      <c r="AJ50" s="9"/>
      <c r="AK50" s="256"/>
      <c r="AL50" s="256"/>
      <c r="AM50" s="256"/>
      <c r="AN50" s="230"/>
      <c r="AO50" s="233"/>
      <c r="AP50" s="233"/>
      <c r="AQ50" s="233"/>
      <c r="AR50" s="234">
        <f>_xlfn.XLOOKUP(D50,'Modelling New'!$D:$D,'Modelling New'!$N:$N)</f>
        <v>130</v>
      </c>
      <c r="AS50" s="234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29">
        <f>Table13[[#This Row],[Date]]-DAY(Table13[[#This Row],[Date]])+1</f>
        <v>45778</v>
      </c>
      <c r="E51" s="9">
        <f t="shared" si="5"/>
        <v>31</v>
      </c>
      <c r="F51" s="199">
        <f>IFERROR(_xlfn.XLOOKUP($A51,Input_Raw!$A:$A,Input_Raw!$FC:$FC),"")</f>
        <v>12.9</v>
      </c>
      <c r="G51" s="185">
        <f>IFERROR(_xlfn.XLOOKUP($A51,Input_Raw!$A:$A,Input_Raw!$CY:$CY),"")</f>
        <v>4.5853345249999897</v>
      </c>
      <c r="H51" s="185">
        <f>IFERROR(_xlfn.XLOOKUP($A51,Input_Raw!$A:$A,Input_Raw!$DA:$DA),"")</f>
        <v>0.66042025833283291</v>
      </c>
      <c r="I51" s="185">
        <f>IFERROR(_xlfn.XLOOKUP($A51,Input_Raw!$A:$A,Input_Raw!$CX:$CX),"")</f>
        <v>4.3351628333333352</v>
      </c>
      <c r="J51" s="185">
        <f>IFERROR(_xlfn.XLOOKUP($A51,Input_Raw!$A:$A,Input_Raw!$CZ:$CZ),"")</f>
        <v>0.57112021666666646</v>
      </c>
      <c r="K51" s="201">
        <f>IFERROR(_xlfn.XLOOKUP($A51,Input_Raw!$A:$A,Input_Raw!$DB:$DB),"")</f>
        <v>29.745014375442349</v>
      </c>
      <c r="L51" s="201">
        <f>IFERROR(_xlfn.XLOOKUP($A51,Input_Raw!$A:$A,Input_Raw!$DC:$DC),"")</f>
        <v>40.640402419497448</v>
      </c>
      <c r="M51" s="200">
        <f>IFERROR(_xlfn.XLOOKUP($A51,Input_Raw!$A:$A,Input_Raw!$DF:$DF),"")</f>
        <v>1.2005760483014849</v>
      </c>
      <c r="N51" s="200">
        <f>IFERROR(_xlfn.XLOOKUP($A51,Input_Raw!$A:$A,Input_Raw!$DG:$DG),"")</f>
        <v>4.58</v>
      </c>
      <c r="O51" s="230">
        <f>IFERROR(1-(SUMIF(Plant_BD!$B:$B,$A51,Plant_BD!$AL:$AL)/($AA51+SUMIF(Plant_BD!$B:$B,$A51,Plant_BD!$AL:$AL))),"")</f>
        <v>1</v>
      </c>
      <c r="P51" s="230"/>
      <c r="Q51" s="231">
        <f>IFERROR(1-(SUMIF(Grid_BD!$B:$B,$A51,Grid_BD!$V:$V)/($AA51+SUMIF(Grid_BD!$B:$B,$A51,Grid_BD!$V:$V))),"")</f>
        <v>1</v>
      </c>
      <c r="R51" s="230">
        <f>IFERROR(1-(SUMIF(Grid_BD!$B:$B,$A51,Grid_BD!$V:$V)/($AA51+SUMIF(Grid_BD!$B:$B,$A51,Grid_BD!$V:$V))),"")</f>
        <v>1</v>
      </c>
      <c r="S51" s="9"/>
      <c r="T51" s="231"/>
      <c r="U51" s="232">
        <f t="shared" si="6"/>
        <v>1.1995907080225623</v>
      </c>
      <c r="V51" s="232" t="str">
        <f>IFERROR(_xlfn.XLOOKUP($A51,Input_Raw!$A:$A,Input_Raw!$FG:$FG),"")</f>
        <v/>
      </c>
      <c r="W51" s="233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85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33">
        <f>IFERROR(_xlfn.XLOOKUP($D51,'Modelling New'!$D:$D,'Modelling New'!O:O),"")</f>
        <v>0.806597995656121</v>
      </c>
      <c r="AF51" s="233">
        <f>IFERROR(_xlfn.XLOOKUP($D51,'Modelling New'!$D:$D,'Modelling New'!W:W),"")</f>
        <v>0.23157168262385408</v>
      </c>
      <c r="AG51" s="233">
        <f>IFERROR(_xlfn.XLOOKUP($D51,'Modelling New'!$D:$D,'Modelling New'!AE:AE),"")</f>
        <v>0.995</v>
      </c>
      <c r="AH51" s="233">
        <f>IFERROR(_xlfn.XLOOKUP($D51,'Modelling New'!$D:$D,'Modelling New'!AF:AF),"")</f>
        <v>0.995</v>
      </c>
      <c r="AI51" s="9"/>
      <c r="AJ51" s="9"/>
      <c r="AK51" s="256"/>
      <c r="AL51" s="256"/>
      <c r="AM51" s="256"/>
      <c r="AN51" s="230"/>
      <c r="AO51" s="233"/>
      <c r="AP51" s="233"/>
      <c r="AQ51" s="233"/>
      <c r="AR51" s="234">
        <f>_xlfn.XLOOKUP(D51,'Modelling New'!$D:$D,'Modelling New'!$N:$N)</f>
        <v>130</v>
      </c>
      <c r="AS51" s="234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29">
        <f>Table13[[#This Row],[Date]]-DAY(Table13[[#This Row],[Date]])+1</f>
        <v>45778</v>
      </c>
      <c r="E52" s="9">
        <f t="shared" si="5"/>
        <v>31</v>
      </c>
      <c r="F52" s="199">
        <f>IFERROR(_xlfn.XLOOKUP($A52,Input_Raw!$A:$A,Input_Raw!$FC:$FC),"")</f>
        <v>12.9</v>
      </c>
      <c r="G52" s="200">
        <f>IFERROR(_xlfn.XLOOKUP($A52,Input_Raw!$A:$A,Input_Raw!$CY:$CY),"")</f>
        <v>5.8417184000000013</v>
      </c>
      <c r="H52" s="200">
        <f>IFERROR(_xlfn.XLOOKUP($A52,Input_Raw!$A:$A,Input_Raw!$DA:$DA),"")</f>
        <v>1.0630442583333319</v>
      </c>
      <c r="I52" s="200">
        <f>IFERROR(_xlfn.XLOOKUP($A52,Input_Raw!$A:$A,Input_Raw!$CX:$CX),"")</f>
        <v>5.7215290083333281</v>
      </c>
      <c r="J52" s="200">
        <f>IFERROR(_xlfn.XLOOKUP($A52,Input_Raw!$A:$A,Input_Raw!$CZ:$CZ),"")</f>
        <v>0.80572659166666649</v>
      </c>
      <c r="K52" s="201">
        <f>IFERROR(_xlfn.XLOOKUP($A52,Input_Raw!$A:$A,Input_Raw!$DB:$DB),"")</f>
        <v>30.909737474224279</v>
      </c>
      <c r="L52" s="201">
        <f>IFERROR(_xlfn.XLOOKUP($A52,Input_Raw!$A:$A,Input_Raw!$DC:$DC),"")</f>
        <v>44.789630650408462</v>
      </c>
      <c r="M52" s="200">
        <f>IFERROR(_xlfn.XLOOKUP($A52,Input_Raw!$A:$A,Input_Raw!$DF:$DF),"")</f>
        <v>1.3010270344375765</v>
      </c>
      <c r="N52" s="200">
        <f>IFERROR(_xlfn.XLOOKUP($A52,Input_Raw!$A:$A,Input_Raw!$DG:$DG),"")</f>
        <v>6.1890000000000001</v>
      </c>
      <c r="O52" s="230">
        <f>IFERROR(1-(SUMIF(Plant_BD!$B:$B,$A52,Plant_BD!$AL:$AL)/($AA52+SUMIF(Plant_BD!$B:$B,$A52,Plant_BD!$AL:$AL))),"")</f>
        <v>0.99123751560253615</v>
      </c>
      <c r="P52" s="230"/>
      <c r="Q52" s="231">
        <f>IFERROR(1-(SUMIF(Grid_BD!$B:$B,$A52,Grid_BD!$V:$V)/($AA52+SUMIF(Grid_BD!$B:$B,$A52,Grid_BD!$V:$V))),"")</f>
        <v>1</v>
      </c>
      <c r="R52" s="230">
        <f>IFERROR(1-(SUMIF(Grid_BD!$B:$B,$A52,Grid_BD!$V:$V)/($AA52+SUMIF(Grid_BD!$B:$B,$A52,Grid_BD!$V:$V))),"")</f>
        <v>1</v>
      </c>
      <c r="S52" s="9"/>
      <c r="T52" s="231"/>
      <c r="U52" s="232">
        <f t="shared" si="6"/>
        <v>0.87370829740446387</v>
      </c>
      <c r="V52" s="232" t="str">
        <f>IFERROR(_xlfn.XLOOKUP($A52,Input_Raw!$A:$A,Input_Raw!$FG:$FG),"")</f>
        <v/>
      </c>
      <c r="W52" s="233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85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33">
        <f>IFERROR(_xlfn.XLOOKUP($D52,'Modelling New'!$D:$D,'Modelling New'!O:O),"")</f>
        <v>0.806597995656121</v>
      </c>
      <c r="AF52" s="233">
        <f>IFERROR(_xlfn.XLOOKUP($D52,'Modelling New'!$D:$D,'Modelling New'!W:W),"")</f>
        <v>0.23157168262385408</v>
      </c>
      <c r="AG52" s="233">
        <f>IFERROR(_xlfn.XLOOKUP($D52,'Modelling New'!$D:$D,'Modelling New'!AE:AE),"")</f>
        <v>0.995</v>
      </c>
      <c r="AH52" s="233">
        <f>IFERROR(_xlfn.XLOOKUP($D52,'Modelling New'!$D:$D,'Modelling New'!AF:AF),"")</f>
        <v>0.995</v>
      </c>
      <c r="AI52" s="9"/>
      <c r="AJ52" s="9"/>
      <c r="AK52" s="256"/>
      <c r="AL52" s="256"/>
      <c r="AM52" s="256"/>
      <c r="AN52" s="230"/>
      <c r="AO52" s="233"/>
      <c r="AP52" s="233"/>
      <c r="AQ52" s="233"/>
      <c r="AR52" s="234">
        <f>_xlfn.XLOOKUP(D52,'Modelling New'!$D:$D,'Modelling New'!$N:$N)</f>
        <v>130</v>
      </c>
      <c r="AS52" s="234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29">
        <f>Table13[[#This Row],[Date]]-DAY(Table13[[#This Row],[Date]])+1</f>
        <v>45778</v>
      </c>
      <c r="E53" s="9">
        <f t="shared" si="5"/>
        <v>31</v>
      </c>
      <c r="F53" s="199">
        <f>IFERROR(_xlfn.XLOOKUP($A53,Input_Raw!$A:$A,Input_Raw!$FC:$FC),"")</f>
        <v>12.9</v>
      </c>
      <c r="G53" s="185">
        <f>IFERROR(_xlfn.XLOOKUP($A53,Input_Raw!$A:$A,Input_Raw!$CY:$CY),"")</f>
        <v>5.4376280416666631</v>
      </c>
      <c r="H53" s="185">
        <f>IFERROR(_xlfn.XLOOKUP($A53,Input_Raw!$A:$A,Input_Raw!$DA:$DA),"")</f>
        <v>0.97585424166666601</v>
      </c>
      <c r="I53" s="185">
        <f>IFERROR(_xlfn.XLOOKUP($A53,Input_Raw!$A:$A,Input_Raw!$CX:$CX),"")</f>
        <v>5.3823629666666601</v>
      </c>
      <c r="J53" s="185">
        <f>IFERROR(_xlfn.XLOOKUP($A53,Input_Raw!$A:$A,Input_Raw!$CZ:$CZ),"")</f>
        <v>0.73666378333333382</v>
      </c>
      <c r="K53" s="201">
        <f>IFERROR(_xlfn.XLOOKUP($A53,Input_Raw!$A:$A,Input_Raw!$DB:$DB),"")</f>
        <v>31.407776614500797</v>
      </c>
      <c r="L53" s="201">
        <f>IFERROR(_xlfn.XLOOKUP($A53,Input_Raw!$A:$A,Input_Raw!$DC:$DC),"")</f>
        <v>44.880390433424921</v>
      </c>
      <c r="M53" s="200">
        <f>IFERROR(_xlfn.XLOOKUP($A53,Input_Raw!$A:$A,Input_Raw!$DF:$DF),"")</f>
        <v>1.142311446242481</v>
      </c>
      <c r="N53" s="200">
        <f>IFERROR(_xlfn.XLOOKUP($A53,Input_Raw!$A:$A,Input_Raw!$DG:$DG),"")</f>
        <v>4.5194999999999999</v>
      </c>
      <c r="O53" s="230">
        <f>IFERROR(1-(SUMIF(Plant_BD!$B:$B,$A53,Plant_BD!$AL:$AL)/($AA53+SUMIF(Plant_BD!$B:$B,$A53,Plant_BD!$AL:$AL))),"")</f>
        <v>0.99309735501694152</v>
      </c>
      <c r="P53" s="230"/>
      <c r="Q53" s="231">
        <f>IFERROR(1-(SUMIF(Grid_BD!$B:$B,$A53,Grid_BD!$V:$V)/($AA53+SUMIF(Grid_BD!$B:$B,$A53,Grid_BD!$V:$V))),"")</f>
        <v>1</v>
      </c>
      <c r="R53" s="230">
        <f>IFERROR(1-(SUMIF(Grid_BD!$B:$B,$A53,Grid_BD!$V:$V)/($AA53+SUMIF(Grid_BD!$B:$B,$A53,Grid_BD!$V:$V))),"")</f>
        <v>1</v>
      </c>
      <c r="S53" s="9"/>
      <c r="T53" s="231"/>
      <c r="U53" s="232">
        <f t="shared" si="6"/>
        <v>0.81996624150685649</v>
      </c>
      <c r="V53" s="232" t="str">
        <f>IFERROR(_xlfn.XLOOKUP($A53,Input_Raw!$A:$A,Input_Raw!$FG:$FG),"")</f>
        <v/>
      </c>
      <c r="W53" s="233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85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33">
        <f>IFERROR(_xlfn.XLOOKUP($D53,'Modelling New'!$D:$D,'Modelling New'!O:O),"")</f>
        <v>0.806597995656121</v>
      </c>
      <c r="AF53" s="233">
        <f>IFERROR(_xlfn.XLOOKUP($D53,'Modelling New'!$D:$D,'Modelling New'!W:W),"")</f>
        <v>0.23157168262385408</v>
      </c>
      <c r="AG53" s="233">
        <f>IFERROR(_xlfn.XLOOKUP($D53,'Modelling New'!$D:$D,'Modelling New'!AE:AE),"")</f>
        <v>0.995</v>
      </c>
      <c r="AH53" s="233">
        <f>IFERROR(_xlfn.XLOOKUP($D53,'Modelling New'!$D:$D,'Modelling New'!AF:AF),"")</f>
        <v>0.995</v>
      </c>
      <c r="AI53" s="9"/>
      <c r="AJ53" s="9"/>
      <c r="AK53" s="256"/>
      <c r="AL53" s="256"/>
      <c r="AM53" s="256"/>
      <c r="AN53" s="230"/>
      <c r="AO53" s="233"/>
      <c r="AP53" s="233"/>
      <c r="AQ53" s="233"/>
      <c r="AR53" s="234">
        <f>_xlfn.XLOOKUP(D53,'Modelling New'!$D:$D,'Modelling New'!$N:$N)</f>
        <v>130</v>
      </c>
      <c r="AS53" s="234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29">
        <f>Table13[[#This Row],[Date]]-DAY(Table13[[#This Row],[Date]])+1</f>
        <v>45778</v>
      </c>
      <c r="E54" s="9">
        <f t="shared" si="5"/>
        <v>31</v>
      </c>
      <c r="F54" s="199">
        <f>IFERROR(_xlfn.XLOOKUP($A54,Input_Raw!$A:$A,Input_Raw!$FC:$FC),"")</f>
        <v>12.9</v>
      </c>
      <c r="G54" s="200">
        <f>IFERROR(_xlfn.XLOOKUP($A54,Input_Raw!$A:$A,Input_Raw!$CY:$CY),"")</f>
        <v>4.4093042916666647</v>
      </c>
      <c r="H54" s="200">
        <f>IFERROR(_xlfn.XLOOKUP($A54,Input_Raw!$A:$A,Input_Raw!$DA:$DA),"")</f>
        <v>0.74484316666666617</v>
      </c>
      <c r="I54" s="200">
        <f>IFERROR(_xlfn.XLOOKUP($A54,Input_Raw!$A:$A,Input_Raw!$CX:$CX),"")</f>
        <v>4.2949318333333331</v>
      </c>
      <c r="J54" s="200">
        <f>IFERROR(_xlfn.XLOOKUP($A54,Input_Raw!$A:$A,Input_Raw!$CZ:$CZ),"")</f>
        <v>0.55376820833333373</v>
      </c>
      <c r="K54" s="201">
        <f>IFERROR(_xlfn.XLOOKUP($A54,Input_Raw!$A:$A,Input_Raw!$DB:$DB),"")</f>
        <v>30.98289087205039</v>
      </c>
      <c r="L54" s="201">
        <f>IFERROR(_xlfn.XLOOKUP($A54,Input_Raw!$A:$A,Input_Raw!$DC:$DC),"")</f>
        <v>41.981150643283982</v>
      </c>
      <c r="M54" s="200">
        <f>IFERROR(_xlfn.XLOOKUP($A54,Input_Raw!$A:$A,Input_Raw!$DF:$DF),"")</f>
        <v>0.94515163108005584</v>
      </c>
      <c r="N54" s="200">
        <f>IFERROR(_xlfn.XLOOKUP($A54,Input_Raw!$A:$A,Input_Raw!$DG:$DG),"")</f>
        <v>2.3985000000000003</v>
      </c>
      <c r="O54" s="230">
        <f>IFERROR(1-(SUMIF(Plant_BD!$B:$B,$A54,Plant_BD!$AL:$AL)/($AA54+SUMIF(Plant_BD!$B:$B,$A54,Plant_BD!$AL:$AL))),"")</f>
        <v>1</v>
      </c>
      <c r="P54" s="230"/>
      <c r="Q54" s="231">
        <f>IFERROR(1-(SUMIF(Grid_BD!$B:$B,$A54,Grid_BD!$V:$V)/($AA54+SUMIF(Grid_BD!$B:$B,$A54,Grid_BD!$V:$V))),"")</f>
        <v>1</v>
      </c>
      <c r="R54" s="230">
        <f>IFERROR(1-(SUMIF(Grid_BD!$B:$B,$A54,Grid_BD!$V:$V)/($AA54+SUMIF(Grid_BD!$B:$B,$A54,Grid_BD!$V:$V))),"")</f>
        <v>1</v>
      </c>
      <c r="S54" s="9"/>
      <c r="T54" s="231"/>
      <c r="U54" s="232">
        <f t="shared" si="6"/>
        <v>0.86447969374418887</v>
      </c>
      <c r="V54" s="232" t="str">
        <f>IFERROR(_xlfn.XLOOKUP($A54,Input_Raw!$A:$A,Input_Raw!$FG:$FG),"")</f>
        <v/>
      </c>
      <c r="W54" s="233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85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33">
        <f>IFERROR(_xlfn.XLOOKUP($D54,'Modelling New'!$D:$D,'Modelling New'!O:O),"")</f>
        <v>0.806597995656121</v>
      </c>
      <c r="AF54" s="233">
        <f>IFERROR(_xlfn.XLOOKUP($D54,'Modelling New'!$D:$D,'Modelling New'!W:W),"")</f>
        <v>0.23157168262385408</v>
      </c>
      <c r="AG54" s="233">
        <f>IFERROR(_xlfn.XLOOKUP($D54,'Modelling New'!$D:$D,'Modelling New'!AE:AE),"")</f>
        <v>0.995</v>
      </c>
      <c r="AH54" s="233">
        <f>IFERROR(_xlfn.XLOOKUP($D54,'Modelling New'!$D:$D,'Modelling New'!AF:AF),"")</f>
        <v>0.995</v>
      </c>
      <c r="AI54" s="9"/>
      <c r="AJ54" s="9"/>
      <c r="AK54" s="256"/>
      <c r="AL54" s="256"/>
      <c r="AM54" s="256"/>
      <c r="AN54" s="230"/>
      <c r="AO54" s="233"/>
      <c r="AP54" s="233"/>
      <c r="AQ54" s="233"/>
      <c r="AR54" s="234">
        <f>_xlfn.XLOOKUP(D54,'Modelling New'!$D:$D,'Modelling New'!$N:$N)</f>
        <v>130</v>
      </c>
      <c r="AS54" s="234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29">
        <f>Table13[[#This Row],[Date]]-DAY(Table13[[#This Row],[Date]])+1</f>
        <v>45778</v>
      </c>
      <c r="E55" s="9">
        <f t="shared" si="5"/>
        <v>31</v>
      </c>
      <c r="F55" s="199">
        <f>IFERROR(_xlfn.XLOOKUP($A55,Input_Raw!$A:$A,Input_Raw!$FC:$FC),"")</f>
        <v>12.9</v>
      </c>
      <c r="G55" s="185">
        <f>IFERROR(_xlfn.XLOOKUP($A55,Input_Raw!$A:$A,Input_Raw!$CY:$CY),"")</f>
        <v>5.06894934166667</v>
      </c>
      <c r="H55" s="185">
        <f>IFERROR(_xlfn.XLOOKUP($A55,Input_Raw!$A:$A,Input_Raw!$DA:$DA),"")</f>
        <v>0.74667409999999923</v>
      </c>
      <c r="I55" s="185">
        <f>IFERROR(_xlfn.XLOOKUP($A55,Input_Raw!$A:$A,Input_Raw!$CX:$CX),"")</f>
        <v>4.938241274999994</v>
      </c>
      <c r="J55" s="185">
        <f>IFERROR(_xlfn.XLOOKUP($A55,Input_Raw!$A:$A,Input_Raw!$CZ:$CZ),"")</f>
        <v>0.54250147499999968</v>
      </c>
      <c r="K55" s="201">
        <f>IFERROR(_xlfn.XLOOKUP($A55,Input_Raw!$A:$A,Input_Raw!$DB:$DB),"")</f>
        <v>28.752469992060163</v>
      </c>
      <c r="L55" s="201">
        <f>IFERROR(_xlfn.XLOOKUP($A55,Input_Raw!$A:$A,Input_Raw!$DC:$DC),"")</f>
        <v>40.333250780785207</v>
      </c>
      <c r="M55" s="200">
        <f>IFERROR(_xlfn.XLOOKUP($A55,Input_Raw!$A:$A,Input_Raw!$DF:$DF),"")</f>
        <v>1.0779089504480626</v>
      </c>
      <c r="N55" s="200">
        <f>IFERROR(_xlfn.XLOOKUP($A55,Input_Raw!$A:$A,Input_Raw!$DG:$DG),"")</f>
        <v>5.6594999999999995</v>
      </c>
      <c r="O55" s="230">
        <f>IFERROR(1-(SUMIF(Plant_BD!$B:$B,$A55,Plant_BD!$AL:$AL)/($AA55+SUMIF(Plant_BD!$B:$B,$A55,Plant_BD!$AL:$AL))),"")</f>
        <v>0.95546352301678494</v>
      </c>
      <c r="P55" s="230"/>
      <c r="Q55" s="231">
        <f>IFERROR(1-(SUMIF(Grid_BD!$B:$B,$A55,Grid_BD!$V:$V)/($AA55+SUMIF(Grid_BD!$B:$B,$A55,Grid_BD!$V:$V))),"")</f>
        <v>1</v>
      </c>
      <c r="R55" s="230">
        <f>IFERROR(1-(SUMIF(Grid_BD!$B:$B,$A55,Grid_BD!$V:$V)/($AA55+SUMIF(Grid_BD!$B:$B,$A55,Grid_BD!$V:$V))),"")</f>
        <v>1</v>
      </c>
      <c r="S55" s="9"/>
      <c r="T55" s="231"/>
      <c r="U55" s="232">
        <f t="shared" si="6"/>
        <v>0.79980440377410233</v>
      </c>
      <c r="V55" s="232" t="str">
        <f>IFERROR(_xlfn.XLOOKUP($A55,Input_Raw!$A:$A,Input_Raw!$FG:$FG),"")</f>
        <v/>
      </c>
      <c r="W55" s="233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85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33">
        <f>IFERROR(_xlfn.XLOOKUP($D55,'Modelling New'!$D:$D,'Modelling New'!O:O),"")</f>
        <v>0.806597995656121</v>
      </c>
      <c r="AF55" s="233">
        <f>IFERROR(_xlfn.XLOOKUP($D55,'Modelling New'!$D:$D,'Modelling New'!W:W),"")</f>
        <v>0.23157168262385408</v>
      </c>
      <c r="AG55" s="233">
        <f>IFERROR(_xlfn.XLOOKUP($D55,'Modelling New'!$D:$D,'Modelling New'!AE:AE),"")</f>
        <v>0.995</v>
      </c>
      <c r="AH55" s="233">
        <f>IFERROR(_xlfn.XLOOKUP($D55,'Modelling New'!$D:$D,'Modelling New'!AF:AF),"")</f>
        <v>0.995</v>
      </c>
      <c r="AI55" s="9"/>
      <c r="AJ55" s="9"/>
      <c r="AK55" s="256"/>
      <c r="AL55" s="256"/>
      <c r="AM55" s="256"/>
      <c r="AN55" s="230"/>
      <c r="AO55" s="233"/>
      <c r="AP55" s="233"/>
      <c r="AQ55" s="233"/>
      <c r="AR55" s="234">
        <f>_xlfn.XLOOKUP(D55,'Modelling New'!$D:$D,'Modelling New'!$N:$N)</f>
        <v>130</v>
      </c>
      <c r="AS55" s="234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29">
        <f>Table13[[#This Row],[Date]]-DAY(Table13[[#This Row],[Date]])+1</f>
        <v>45778</v>
      </c>
      <c r="E56" s="9">
        <f t="shared" si="5"/>
        <v>31</v>
      </c>
      <c r="F56" s="199">
        <f>IFERROR(_xlfn.XLOOKUP($A56,Input_Raw!$A:$A,Input_Raw!$FC:$FC),"")</f>
        <v>12.533333333333335</v>
      </c>
      <c r="G56" s="200">
        <f>IFERROR(_xlfn.XLOOKUP($A56,Input_Raw!$A:$A,Input_Raw!$CY:$CY),"")</f>
        <v>6.3728733750000046</v>
      </c>
      <c r="H56" s="200">
        <f>IFERROR(_xlfn.XLOOKUP($A56,Input_Raw!$A:$A,Input_Raw!$DA:$DA),"")</f>
        <v>0.87286632500000061</v>
      </c>
      <c r="I56" s="200">
        <f>IFERROR(_xlfn.XLOOKUP($A56,Input_Raw!$A:$A,Input_Raw!$CX:$CX),"")</f>
        <v>6.2420594250000008</v>
      </c>
      <c r="J56" s="200">
        <f>IFERROR(_xlfn.XLOOKUP($A56,Input_Raw!$A:$A,Input_Raw!$CZ:$CZ),"")</f>
        <v>0.6650737166666667</v>
      </c>
      <c r="K56" s="201">
        <f>IFERROR(_xlfn.XLOOKUP($A56,Input_Raw!$A:$A,Input_Raw!$DB:$DB),"")</f>
        <v>27.727643723159545</v>
      </c>
      <c r="L56" s="201">
        <f>IFERROR(_xlfn.XLOOKUP($A56,Input_Raw!$A:$A,Input_Raw!$DC:$DC),"")</f>
        <v>40.738590036882627</v>
      </c>
      <c r="M56" s="200">
        <f>IFERROR(_xlfn.XLOOKUP($A56,Input_Raw!$A:$A,Input_Raw!$DF:$DF),"")</f>
        <v>0.91528808794035244</v>
      </c>
      <c r="N56" s="200">
        <f>IFERROR(_xlfn.XLOOKUP($A56,Input_Raw!$A:$A,Input_Raw!$DG:$DG),"")</f>
        <v>3.4965000000000002</v>
      </c>
      <c r="O56" s="230">
        <f>IFERROR(1-(SUMIF(Plant_BD!$B:$B,$A56,Plant_BD!$AL:$AL)/($AA56+SUMIF(Plant_BD!$B:$B,$A56,Plant_BD!$AL:$AL))),"")</f>
        <v>0.95336677741639175</v>
      </c>
      <c r="P56" s="230"/>
      <c r="Q56" s="231">
        <f>IFERROR(1-(SUMIF(Grid_BD!$B:$B,$A56,Grid_BD!$V:$V)/($AA56+SUMIF(Grid_BD!$B:$B,$A56,Grid_BD!$V:$V))),"")</f>
        <v>1</v>
      </c>
      <c r="R56" s="230">
        <f>IFERROR(1-(SUMIF(Grid_BD!$B:$B,$A56,Grid_BD!$V:$V)/($AA56+SUMIF(Grid_BD!$B:$B,$A56,Grid_BD!$V:$V))),"")</f>
        <v>1</v>
      </c>
      <c r="S56" s="9"/>
      <c r="T56" s="231"/>
      <c r="U56" s="232">
        <f t="shared" si="6"/>
        <v>0.76216697110725806</v>
      </c>
      <c r="V56" s="232" t="str">
        <f>IFERROR(_xlfn.XLOOKUP($A56,Input_Raw!$A:$A,Input_Raw!$FG:$FG),"")</f>
        <v/>
      </c>
      <c r="W56" s="233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85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33">
        <f>IFERROR(_xlfn.XLOOKUP($D56,'Modelling New'!$D:$D,'Modelling New'!O:O),"")</f>
        <v>0.806597995656121</v>
      </c>
      <c r="AF56" s="233">
        <f>IFERROR(_xlfn.XLOOKUP($D56,'Modelling New'!$D:$D,'Modelling New'!W:W),"")</f>
        <v>0.23157168262385408</v>
      </c>
      <c r="AG56" s="233">
        <f>IFERROR(_xlfn.XLOOKUP($D56,'Modelling New'!$D:$D,'Modelling New'!AE:AE),"")</f>
        <v>0.995</v>
      </c>
      <c r="AH56" s="233">
        <f>IFERROR(_xlfn.XLOOKUP($D56,'Modelling New'!$D:$D,'Modelling New'!AF:AF),"")</f>
        <v>0.995</v>
      </c>
      <c r="AI56" s="9"/>
      <c r="AJ56" s="9"/>
      <c r="AK56" s="256"/>
      <c r="AL56" s="256"/>
      <c r="AM56" s="256"/>
      <c r="AN56" s="230"/>
      <c r="AO56" s="233"/>
      <c r="AP56" s="233"/>
      <c r="AQ56" s="233"/>
      <c r="AR56" s="234">
        <f>_xlfn.XLOOKUP(D56,'Modelling New'!$D:$D,'Modelling New'!$N:$N)</f>
        <v>130</v>
      </c>
      <c r="AS56" s="234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29">
        <f>Table13[[#This Row],[Date]]-DAY(Table13[[#This Row],[Date]])+1</f>
        <v>45778</v>
      </c>
      <c r="E57" s="9">
        <f t="shared" si="5"/>
        <v>31</v>
      </c>
      <c r="F57" s="199">
        <f>IFERROR(_xlfn.XLOOKUP($A57,Input_Raw!$A:$A,Input_Raw!$FC:$FC),"")</f>
        <v>11.35</v>
      </c>
      <c r="G57" s="185">
        <f>IFERROR(_xlfn.XLOOKUP($A57,Input_Raw!$A:$A,Input_Raw!$CY:$CY),"")</f>
        <v>2.6958045833333331</v>
      </c>
      <c r="H57" s="185">
        <f>IFERROR(_xlfn.XLOOKUP($A57,Input_Raw!$A:$A,Input_Raw!$DA:$DA),"")</f>
        <v>0.37131239999999988</v>
      </c>
      <c r="I57" s="185">
        <f>IFERROR(_xlfn.XLOOKUP($A57,Input_Raw!$A:$A,Input_Raw!$CX:$CX),"")</f>
        <v>2.6424233416666665</v>
      </c>
      <c r="J57" s="185">
        <f>IFERROR(_xlfn.XLOOKUP($A57,Input_Raw!$A:$A,Input_Raw!$CZ:$CZ),"")</f>
        <v>0.2955788750000003</v>
      </c>
      <c r="K57" s="201">
        <f>IFERROR(_xlfn.XLOOKUP($A57,Input_Raw!$A:$A,Input_Raw!$DB:$DB),"")</f>
        <v>28.223681738524618</v>
      </c>
      <c r="L57" s="201">
        <f>IFERROR(_xlfn.XLOOKUP($A57,Input_Raw!$A:$A,Input_Raw!$DC:$DC),"")</f>
        <v>37.248613896141258</v>
      </c>
      <c r="M57" s="200">
        <f>IFERROR(_xlfn.XLOOKUP($A57,Input_Raw!$A:$A,Input_Raw!$DF:$DF),"")</f>
        <v>0.70151290862961069</v>
      </c>
      <c r="N57" s="200">
        <f>IFERROR(_xlfn.XLOOKUP($A57,Input_Raw!$A:$A,Input_Raw!$DG:$DG),"")</f>
        <v>2.0324999999999998</v>
      </c>
      <c r="O57" s="230">
        <f>IFERROR(1-(SUMIF(Plant_BD!$B:$B,$A57,Plant_BD!$AL:$AL)/($AA57+SUMIF(Plant_BD!$B:$B,$A57,Plant_BD!$AL:$AL))),"")</f>
        <v>0.95849020951193908</v>
      </c>
      <c r="P57" s="230"/>
      <c r="Q57" s="231">
        <f>IFERROR(1-(SUMIF(Grid_BD!$B:$B,$A57,Grid_BD!$V:$V)/($AA57+SUMIF(Grid_BD!$B:$B,$A57,Grid_BD!$V:$V))),"")</f>
        <v>1</v>
      </c>
      <c r="R57" s="230">
        <f>IFERROR(1-(SUMIF(Grid_BD!$B:$B,$A57,Grid_BD!$V:$V)/($AA57+SUMIF(Grid_BD!$B:$B,$A57,Grid_BD!$V:$V))),"")</f>
        <v>1</v>
      </c>
      <c r="S57" s="9"/>
      <c r="T57" s="231"/>
      <c r="U57" s="232">
        <f t="shared" si="6"/>
        <v>0.86569225591460064</v>
      </c>
      <c r="V57" s="232" t="str">
        <f>IFERROR(_xlfn.XLOOKUP($A57,Input_Raw!$A:$A,Input_Raw!$FG:$FG),"")</f>
        <v/>
      </c>
      <c r="W57" s="233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85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33">
        <f>IFERROR(_xlfn.XLOOKUP($D57,'Modelling New'!$D:$D,'Modelling New'!O:O),"")</f>
        <v>0.806597995656121</v>
      </c>
      <c r="AF57" s="233">
        <f>IFERROR(_xlfn.XLOOKUP($D57,'Modelling New'!$D:$D,'Modelling New'!W:W),"")</f>
        <v>0.23157168262385408</v>
      </c>
      <c r="AG57" s="233">
        <f>IFERROR(_xlfn.XLOOKUP($D57,'Modelling New'!$D:$D,'Modelling New'!AE:AE),"")</f>
        <v>0.995</v>
      </c>
      <c r="AH57" s="233">
        <f>IFERROR(_xlfn.XLOOKUP($D57,'Modelling New'!$D:$D,'Modelling New'!AF:AF),"")</f>
        <v>0.995</v>
      </c>
      <c r="AI57" s="9"/>
      <c r="AJ57" s="9"/>
      <c r="AK57" s="256"/>
      <c r="AL57" s="256"/>
      <c r="AM57" s="256"/>
      <c r="AN57" s="230"/>
      <c r="AO57" s="233"/>
      <c r="AP57" s="233"/>
      <c r="AQ57" s="233"/>
      <c r="AR57" s="234">
        <f>_xlfn.XLOOKUP(D57,'Modelling New'!$D:$D,'Modelling New'!$N:$N)</f>
        <v>130</v>
      </c>
      <c r="AS57" s="234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29">
        <f>Table13[[#This Row],[Date]]-DAY(Table13[[#This Row],[Date]])+1</f>
        <v>45778</v>
      </c>
      <c r="E58" s="9">
        <f t="shared" si="5"/>
        <v>31</v>
      </c>
      <c r="F58" s="199">
        <f>IFERROR(_xlfn.XLOOKUP($A58,Input_Raw!$A:$A,Input_Raw!$FC:$FC),"")</f>
        <v>12.116666666666669</v>
      </c>
      <c r="G58" s="200">
        <f>IFERROR(_xlfn.XLOOKUP($A58,Input_Raw!$A:$A,Input_Raw!$CY:$CY),"")</f>
        <v>3.6094144499999992</v>
      </c>
      <c r="H58" s="200">
        <f>IFERROR(_xlfn.XLOOKUP($A58,Input_Raw!$A:$A,Input_Raw!$DA:$DA),"")</f>
        <v>0.51330055833333366</v>
      </c>
      <c r="I58" s="200">
        <f>IFERROR(_xlfn.XLOOKUP($A58,Input_Raw!$A:$A,Input_Raw!$CX:$CX),"")</f>
        <v>3.5202772916666696</v>
      </c>
      <c r="J58" s="200">
        <f>IFERROR(_xlfn.XLOOKUP($A58,Input_Raw!$A:$A,Input_Raw!$CZ:$CZ),"")</f>
        <v>0.39291635833333372</v>
      </c>
      <c r="K58" s="201">
        <f>IFERROR(_xlfn.XLOOKUP($A58,Input_Raw!$A:$A,Input_Raw!$DB:$DB),"")</f>
        <v>27.923654524969159</v>
      </c>
      <c r="L58" s="201">
        <f>IFERROR(_xlfn.XLOOKUP($A58,Input_Raw!$A:$A,Input_Raw!$DC:$DC),"")</f>
        <v>37.924574397609675</v>
      </c>
      <c r="M58" s="200">
        <f>IFERROR(_xlfn.XLOOKUP($A58,Input_Raw!$A:$A,Input_Raw!$DF:$DF),"")</f>
        <v>0.89796076789084067</v>
      </c>
      <c r="N58" s="200">
        <f>IFERROR(_xlfn.XLOOKUP($A58,Input_Raw!$A:$A,Input_Raw!$DG:$DG),"")</f>
        <v>2.2845</v>
      </c>
      <c r="O58" s="230">
        <f>IFERROR(1-(SUMIF(Plant_BD!$B:$B,$A58,Plant_BD!$AL:$AL)/($AA58+SUMIF(Plant_BD!$B:$B,$A58,Plant_BD!$AL:$AL))),"")</f>
        <v>0.93605455638243662</v>
      </c>
      <c r="P58" s="230"/>
      <c r="Q58" s="231">
        <f>IFERROR(1-(SUMIF(Grid_BD!$B:$B,$A58,Grid_BD!$V:$V)/($AA58+SUMIF(Grid_BD!$B:$B,$A58,Grid_BD!$V:$V))),"")</f>
        <v>1</v>
      </c>
      <c r="R58" s="230">
        <f>IFERROR(1-(SUMIF(Grid_BD!$B:$B,$A58,Grid_BD!$V:$V)/($AA58+SUMIF(Grid_BD!$B:$B,$A58,Grid_BD!$V:$V))),"")</f>
        <v>1</v>
      </c>
      <c r="S58" s="9"/>
      <c r="T58" s="231"/>
      <c r="U58" s="232">
        <f t="shared" si="6"/>
        <v>0.83146377638387348</v>
      </c>
      <c r="V58" s="232" t="str">
        <f>IFERROR(_xlfn.XLOOKUP($A58,Input_Raw!$A:$A,Input_Raw!$FG:$FG),"")</f>
        <v/>
      </c>
      <c r="W58" s="233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85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33">
        <f>IFERROR(_xlfn.XLOOKUP($D58,'Modelling New'!$D:$D,'Modelling New'!O:O),"")</f>
        <v>0.806597995656121</v>
      </c>
      <c r="AF58" s="233">
        <f>IFERROR(_xlfn.XLOOKUP($D58,'Modelling New'!$D:$D,'Modelling New'!W:W),"")</f>
        <v>0.23157168262385408</v>
      </c>
      <c r="AG58" s="233">
        <f>IFERROR(_xlfn.XLOOKUP($D58,'Modelling New'!$D:$D,'Modelling New'!AE:AE),"")</f>
        <v>0.995</v>
      </c>
      <c r="AH58" s="233">
        <f>IFERROR(_xlfn.XLOOKUP($D58,'Modelling New'!$D:$D,'Modelling New'!AF:AF),"")</f>
        <v>0.995</v>
      </c>
      <c r="AI58" s="9"/>
      <c r="AJ58" s="9"/>
      <c r="AK58" s="256"/>
      <c r="AL58" s="256"/>
      <c r="AM58" s="256"/>
      <c r="AN58" s="230"/>
      <c r="AO58" s="233"/>
      <c r="AP58" s="233"/>
      <c r="AQ58" s="233"/>
      <c r="AR58" s="234">
        <f>_xlfn.XLOOKUP(D58,'Modelling New'!$D:$D,'Modelling New'!$N:$N)</f>
        <v>130</v>
      </c>
      <c r="AS58" s="234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29">
        <f>Table13[[#This Row],[Date]]-DAY(Table13[[#This Row],[Date]])+1</f>
        <v>45778</v>
      </c>
      <c r="E59" s="9">
        <f t="shared" si="5"/>
        <v>31</v>
      </c>
      <c r="F59" s="199">
        <f>IFERROR(_xlfn.XLOOKUP($A59,Input_Raw!$A:$A,Input_Raw!$FC:$FC),"")</f>
        <v>11.850000000000001</v>
      </c>
      <c r="G59" s="185">
        <f>IFERROR(_xlfn.XLOOKUP($A59,Input_Raw!$A:$A,Input_Raw!$CY:$CY),"")</f>
        <v>1.9565985666666661</v>
      </c>
      <c r="H59" s="185">
        <f>IFERROR(_xlfn.XLOOKUP($A59,Input_Raw!$A:$A,Input_Raw!$DA:$DA),"")</f>
        <v>0.24761743333333364</v>
      </c>
      <c r="I59" s="185">
        <f>IFERROR(_xlfn.XLOOKUP($A59,Input_Raw!$A:$A,Input_Raw!$CX:$CX),"")</f>
        <v>1.9297837499999995</v>
      </c>
      <c r="J59" s="185">
        <f>IFERROR(_xlfn.XLOOKUP($A59,Input_Raw!$A:$A,Input_Raw!$CZ:$CZ),"")</f>
        <v>0.19268006666666687</v>
      </c>
      <c r="K59" s="201">
        <f>IFERROR(_xlfn.XLOOKUP($A59,Input_Raw!$A:$A,Input_Raw!$DB:$DB),"")</f>
        <v>26.680776542092325</v>
      </c>
      <c r="L59" s="201">
        <f>IFERROR(_xlfn.XLOOKUP($A59,Input_Raw!$A:$A,Input_Raw!$DC:$DC),"")</f>
        <v>34.042662228087934</v>
      </c>
      <c r="M59" s="200">
        <f>IFERROR(_xlfn.XLOOKUP($A59,Input_Raw!$A:$A,Input_Raw!$DF:$DF),"")</f>
        <v>0.83718705927993897</v>
      </c>
      <c r="N59" s="200">
        <f>IFERROR(_xlfn.XLOOKUP($A59,Input_Raw!$A:$A,Input_Raw!$DG:$DG),"")</f>
        <v>2.3864999999999998</v>
      </c>
      <c r="O59" s="230">
        <f>IFERROR(1-(SUMIF(Plant_BD!$B:$B,$A59,Plant_BD!$AL:$AL)/($AA59+SUMIF(Plant_BD!$B:$B,$A59,Plant_BD!$AL:$AL))),"")</f>
        <v>0.95557144797816018</v>
      </c>
      <c r="P59" s="230"/>
      <c r="Q59" s="231">
        <f>IFERROR(1-(SUMIF(Grid_BD!$B:$B,$A59,Grid_BD!$V:$V)/($AA59+SUMIF(Grid_BD!$B:$B,$A59,Grid_BD!$V:$V))),"")</f>
        <v>1</v>
      </c>
      <c r="R59" s="230">
        <f>IFERROR(1-(SUMIF(Grid_BD!$B:$B,$A59,Grid_BD!$V:$V)/($AA59+SUMIF(Grid_BD!$B:$B,$A59,Grid_BD!$V:$V))),"")</f>
        <v>1</v>
      </c>
      <c r="S59" s="9"/>
      <c r="T59" s="231"/>
      <c r="U59" s="232">
        <f t="shared" si="6"/>
        <v>0.82533040106415989</v>
      </c>
      <c r="V59" s="232" t="str">
        <f>IFERROR(_xlfn.XLOOKUP($A59,Input_Raw!$A:$A,Input_Raw!$FG:$FG),"")</f>
        <v/>
      </c>
      <c r="W59" s="233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85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33">
        <f>IFERROR(_xlfn.XLOOKUP($D59,'Modelling New'!$D:$D,'Modelling New'!O:O),"")</f>
        <v>0.806597995656121</v>
      </c>
      <c r="AF59" s="233">
        <f>IFERROR(_xlfn.XLOOKUP($D59,'Modelling New'!$D:$D,'Modelling New'!W:W),"")</f>
        <v>0.23157168262385408</v>
      </c>
      <c r="AG59" s="233">
        <f>IFERROR(_xlfn.XLOOKUP($D59,'Modelling New'!$D:$D,'Modelling New'!AE:AE),"")</f>
        <v>0.995</v>
      </c>
      <c r="AH59" s="233">
        <f>IFERROR(_xlfn.XLOOKUP($D59,'Modelling New'!$D:$D,'Modelling New'!AF:AF),"")</f>
        <v>0.995</v>
      </c>
      <c r="AI59" s="9"/>
      <c r="AJ59" s="9"/>
      <c r="AK59" s="256"/>
      <c r="AL59" s="256"/>
      <c r="AM59" s="256"/>
      <c r="AN59" s="230"/>
      <c r="AO59" s="233"/>
      <c r="AP59" s="233"/>
      <c r="AQ59" s="233"/>
      <c r="AR59" s="234">
        <f>_xlfn.XLOOKUP(D59,'Modelling New'!$D:$D,'Modelling New'!$N:$N)</f>
        <v>130</v>
      </c>
      <c r="AS59" s="234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29">
        <f>Table13[[#This Row],[Date]]-DAY(Table13[[#This Row],[Date]])+1</f>
        <v>45778</v>
      </c>
      <c r="E60" s="9">
        <f t="shared" si="5"/>
        <v>31</v>
      </c>
      <c r="F60" s="199">
        <f>IFERROR(_xlfn.XLOOKUP($A60,Input_Raw!$A:$A,Input_Raw!$FC:$FC),"")</f>
        <v>12.266666666666666</v>
      </c>
      <c r="G60" s="200">
        <f>IFERROR(_xlfn.XLOOKUP($A60,Input_Raw!$A:$A,Input_Raw!$CY:$CY),"")</f>
        <v>7.042258866666665</v>
      </c>
      <c r="H60" s="200">
        <f>IFERROR(_xlfn.XLOOKUP($A60,Input_Raw!$A:$A,Input_Raw!$DA:$DA),"")</f>
        <v>0.91303183333333393</v>
      </c>
      <c r="I60" s="200">
        <f>IFERROR(_xlfn.XLOOKUP($A60,Input_Raw!$A:$A,Input_Raw!$CX:$CX),"")</f>
        <v>6.7432472583333318</v>
      </c>
      <c r="J60" s="200">
        <f>IFERROR(_xlfn.XLOOKUP($A60,Input_Raw!$A:$A,Input_Raw!$CZ:$CZ),"")</f>
        <v>0.69532872500000009</v>
      </c>
      <c r="K60" s="201">
        <f>IFERROR(_xlfn.XLOOKUP($A60,Input_Raw!$A:$A,Input_Raw!$DB:$DB),"")</f>
        <v>29.609042941775925</v>
      </c>
      <c r="L60" s="201">
        <f>IFERROR(_xlfn.XLOOKUP($A60,Input_Raw!$A:$A,Input_Raw!$DC:$DC),"")</f>
        <v>43.12478589114334</v>
      </c>
      <c r="M60" s="200">
        <f>IFERROR(_xlfn.XLOOKUP($A60,Input_Raw!$A:$A,Input_Raw!$DF:$DF),"")</f>
        <v>0.63661943811006028</v>
      </c>
      <c r="N60" s="200">
        <f>IFERROR(_xlfn.XLOOKUP($A60,Input_Raw!$A:$A,Input_Raw!$DG:$DG),"")</f>
        <v>5.3175000000000008</v>
      </c>
      <c r="O60" s="230">
        <f>IFERROR(1-(SUMIF(Plant_BD!$B:$B,$A60,Plant_BD!$AL:$AL)/($AA60+SUMIF(Plant_BD!$B:$B,$A60,Plant_BD!$AL:$AL))),"")</f>
        <v>0.95389365927427072</v>
      </c>
      <c r="P60" s="230"/>
      <c r="Q60" s="231">
        <f>IFERROR(1-(SUMIF(Grid_BD!$B:$B,$A60,Grid_BD!$V:$V)/($AA60+SUMIF(Grid_BD!$B:$B,$A60,Grid_BD!$V:$V))),"")</f>
        <v>1</v>
      </c>
      <c r="R60" s="230">
        <f>IFERROR(1-(SUMIF(Grid_BD!$B:$B,$A60,Grid_BD!$V:$V)/($AA60+SUMIF(Grid_BD!$B:$B,$A60,Grid_BD!$V:$V))),"")</f>
        <v>1</v>
      </c>
      <c r="S60" s="9"/>
      <c r="T60" s="231"/>
      <c r="U60" s="232">
        <f t="shared" si="6"/>
        <v>0.75404902528017226</v>
      </c>
      <c r="V60" s="232" t="str">
        <f>IFERROR(_xlfn.XLOOKUP($A60,Input_Raw!$A:$A,Input_Raw!$FG:$FG),"")</f>
        <v/>
      </c>
      <c r="W60" s="233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85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33">
        <f>IFERROR(_xlfn.XLOOKUP($D60,'Modelling New'!$D:$D,'Modelling New'!O:O),"")</f>
        <v>0.806597995656121</v>
      </c>
      <c r="AF60" s="233">
        <f>IFERROR(_xlfn.XLOOKUP($D60,'Modelling New'!$D:$D,'Modelling New'!W:W),"")</f>
        <v>0.23157168262385408</v>
      </c>
      <c r="AG60" s="233">
        <f>IFERROR(_xlfn.XLOOKUP($D60,'Modelling New'!$D:$D,'Modelling New'!AE:AE),"")</f>
        <v>0.995</v>
      </c>
      <c r="AH60" s="233">
        <f>IFERROR(_xlfn.XLOOKUP($D60,'Modelling New'!$D:$D,'Modelling New'!AF:AF),"")</f>
        <v>0.995</v>
      </c>
      <c r="AI60" s="9"/>
      <c r="AJ60" s="9"/>
      <c r="AK60" s="256"/>
      <c r="AL60" s="256"/>
      <c r="AM60" s="256"/>
      <c r="AN60" s="230"/>
      <c r="AO60" s="233"/>
      <c r="AP60" s="233"/>
      <c r="AQ60" s="233"/>
      <c r="AR60" s="234">
        <f>_xlfn.XLOOKUP(D60,'Modelling New'!$D:$D,'Modelling New'!$N:$N)</f>
        <v>130</v>
      </c>
      <c r="AS60" s="234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29">
        <f>Table13[[#This Row],[Date]]-DAY(Table13[[#This Row],[Date]])+1</f>
        <v>45778</v>
      </c>
      <c r="E61" s="9">
        <f t="shared" si="5"/>
        <v>31</v>
      </c>
      <c r="F61" s="199">
        <f>IFERROR(_xlfn.XLOOKUP($A61,Input_Raw!$A:$A,Input_Raw!$FC:$FC),"")</f>
        <v>12.616666666666667</v>
      </c>
      <c r="G61" s="185">
        <f>IFERROR(_xlfn.XLOOKUP($A61,Input_Raw!$A:$A,Input_Raw!$CY:$CY),"")</f>
        <v>5.7729960416666675</v>
      </c>
      <c r="H61" s="185">
        <f>IFERROR(_xlfn.XLOOKUP($A61,Input_Raw!$A:$A,Input_Raw!$DA:$DA),"")</f>
        <v>0.83936645833333379</v>
      </c>
      <c r="I61" s="185">
        <f>IFERROR(_xlfn.XLOOKUP($A61,Input_Raw!$A:$A,Input_Raw!$CX:$CX),"")</f>
        <v>5.5893830666666684</v>
      </c>
      <c r="J61" s="185">
        <f>IFERROR(_xlfn.XLOOKUP($A61,Input_Raw!$A:$A,Input_Raw!$CZ:$CZ),"")</f>
        <v>0.63960322499999944</v>
      </c>
      <c r="K61" s="201">
        <f>IFERROR(_xlfn.XLOOKUP($A61,Input_Raw!$A:$A,Input_Raw!$DB:$DB),"")</f>
        <v>29.684560444721285</v>
      </c>
      <c r="L61" s="201">
        <f>IFERROR(_xlfn.XLOOKUP($A61,Input_Raw!$A:$A,Input_Raw!$DC:$DC),"")</f>
        <v>40.738698078561598</v>
      </c>
      <c r="M61" s="200">
        <f>IFERROR(_xlfn.XLOOKUP($A61,Input_Raw!$A:$A,Input_Raw!$DF:$DF),"")</f>
        <v>1.4352887349348162</v>
      </c>
      <c r="N61" s="200">
        <f>IFERROR(_xlfn.XLOOKUP($A61,Input_Raw!$A:$A,Input_Raw!$DG:$DG),"")</f>
        <v>4.8104999999999993</v>
      </c>
      <c r="O61" s="230">
        <f>IFERROR(1-(SUMIF(Plant_BD!$B:$B,$A61,Plant_BD!$AL:$AL)/($AA61+SUMIF(Plant_BD!$B:$B,$A61,Plant_BD!$AL:$AL))),"")</f>
        <v>0.9747437683453487</v>
      </c>
      <c r="P61" s="230"/>
      <c r="Q61" s="231">
        <f>IFERROR(1-(SUMIF(Grid_BD!$B:$B,$A61,Grid_BD!$V:$V)/($AA61+SUMIF(Grid_BD!$B:$B,$A61,Grid_BD!$V:$V))),"")</f>
        <v>1</v>
      </c>
      <c r="R61" s="230">
        <f>IFERROR(1-(SUMIF(Grid_BD!$B:$B,$A61,Grid_BD!$V:$V)/($AA61+SUMIF(Grid_BD!$B:$B,$A61,Grid_BD!$V:$V))),"")</f>
        <v>1</v>
      </c>
      <c r="S61" s="9"/>
      <c r="T61" s="231"/>
      <c r="U61" s="232">
        <f t="shared" si="6"/>
        <v>0.79882777387452231</v>
      </c>
      <c r="V61" s="232" t="str">
        <f>IFERROR(_xlfn.XLOOKUP($A61,Input_Raw!$A:$A,Input_Raw!$FG:$FG),"")</f>
        <v/>
      </c>
      <c r="W61" s="233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85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33">
        <f>IFERROR(_xlfn.XLOOKUP($D61,'Modelling New'!$D:$D,'Modelling New'!O:O),"")</f>
        <v>0.806597995656121</v>
      </c>
      <c r="AF61" s="233">
        <f>IFERROR(_xlfn.XLOOKUP($D61,'Modelling New'!$D:$D,'Modelling New'!W:W),"")</f>
        <v>0.23157168262385408</v>
      </c>
      <c r="AG61" s="233">
        <f>IFERROR(_xlfn.XLOOKUP($D61,'Modelling New'!$D:$D,'Modelling New'!AE:AE),"")</f>
        <v>0.995</v>
      </c>
      <c r="AH61" s="233">
        <f>IFERROR(_xlfn.XLOOKUP($D61,'Modelling New'!$D:$D,'Modelling New'!AF:AF),"")</f>
        <v>0.995</v>
      </c>
      <c r="AI61" s="9"/>
      <c r="AJ61" s="9"/>
      <c r="AK61" s="256"/>
      <c r="AL61" s="256"/>
      <c r="AM61" s="256"/>
      <c r="AN61" s="230"/>
      <c r="AO61" s="233"/>
      <c r="AP61" s="233"/>
      <c r="AQ61" s="233"/>
      <c r="AR61" s="234">
        <f>_xlfn.XLOOKUP(D61,'Modelling New'!$D:$D,'Modelling New'!$N:$N)</f>
        <v>130</v>
      </c>
      <c r="AS61" s="234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29">
        <f>Table13[[#This Row],[Date]]-DAY(Table13[[#This Row],[Date]])+1</f>
        <v>45778</v>
      </c>
      <c r="E62" s="9">
        <f t="shared" si="5"/>
        <v>31</v>
      </c>
      <c r="F62" s="199">
        <f>IFERROR(_xlfn.XLOOKUP($A62,Input_Raw!$A:$A,Input_Raw!$FC:$FC),"")</f>
        <v>11.433333333333334</v>
      </c>
      <c r="G62" s="200">
        <f>IFERROR(_xlfn.XLOOKUP($A62,Input_Raw!$A:$A,Input_Raw!$CY:$CY),"")</f>
        <v>2.6981947833333306</v>
      </c>
      <c r="H62" s="200">
        <f>IFERROR(_xlfn.XLOOKUP($A62,Input_Raw!$A:$A,Input_Raw!$DA:$DA),"")</f>
        <v>0.34551070000000023</v>
      </c>
      <c r="I62" s="200">
        <f>IFERROR(_xlfn.XLOOKUP($A62,Input_Raw!$A:$A,Input_Raw!$CX:$CX),"")</f>
        <v>2.6786335083333332</v>
      </c>
      <c r="J62" s="200">
        <f>IFERROR(_xlfn.XLOOKUP($A62,Input_Raw!$A:$A,Input_Raw!$CZ:$CZ),"")</f>
        <v>0.25623871666666653</v>
      </c>
      <c r="K62" s="201">
        <f>IFERROR(_xlfn.XLOOKUP($A62,Input_Raw!$A:$A,Input_Raw!$DB:$DB),"")</f>
        <v>26.114432434473095</v>
      </c>
      <c r="L62" s="201">
        <f>IFERROR(_xlfn.XLOOKUP($A62,Input_Raw!$A:$A,Input_Raw!$DC:$DC),"")</f>
        <v>34.734700454406607</v>
      </c>
      <c r="M62" s="200">
        <f>IFERROR(_xlfn.XLOOKUP($A62,Input_Raw!$A:$A,Input_Raw!$DF:$DF),"")</f>
        <v>1.2448140090400837</v>
      </c>
      <c r="N62" s="200">
        <f>IFERROR(_xlfn.XLOOKUP($A62,Input_Raw!$A:$A,Input_Raw!$DG:$DG),"")</f>
        <v>3.1274999999999999</v>
      </c>
      <c r="O62" s="230">
        <f>IFERROR(1-(SUMIF(Plant_BD!$B:$B,$A62,Plant_BD!$AL:$AL)/($AA62+SUMIF(Plant_BD!$B:$B,$A62,Plant_BD!$AL:$AL))),"")</f>
        <v>0.9762582021749886</v>
      </c>
      <c r="P62" s="230"/>
      <c r="Q62" s="231">
        <f>IFERROR(1-(SUMIF(Grid_BD!$B:$B,$A62,Grid_BD!$V:$V)/($AA62+SUMIF(Grid_BD!$B:$B,$A62,Grid_BD!$V:$V))),"")</f>
        <v>1</v>
      </c>
      <c r="R62" s="230">
        <f>IFERROR(1-(SUMIF(Grid_BD!$B:$B,$A62,Grid_BD!$V:$V)/($AA62+SUMIF(Grid_BD!$B:$B,$A62,Grid_BD!$V:$V))),"")</f>
        <v>1</v>
      </c>
      <c r="S62" s="9"/>
      <c r="T62" s="231"/>
      <c r="U62" s="232">
        <f t="shared" si="6"/>
        <v>0.84245802245716783</v>
      </c>
      <c r="V62" s="232" t="str">
        <f>IFERROR(_xlfn.XLOOKUP($A62,Input_Raw!$A:$A,Input_Raw!$FG:$FG),"")</f>
        <v/>
      </c>
      <c r="W62" s="233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85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33">
        <f>IFERROR(_xlfn.XLOOKUP($D62,'Modelling New'!$D:$D,'Modelling New'!O:O),"")</f>
        <v>0.806597995656121</v>
      </c>
      <c r="AF62" s="233">
        <f>IFERROR(_xlfn.XLOOKUP($D62,'Modelling New'!$D:$D,'Modelling New'!W:W),"")</f>
        <v>0.23157168262385408</v>
      </c>
      <c r="AG62" s="233">
        <f>IFERROR(_xlfn.XLOOKUP($D62,'Modelling New'!$D:$D,'Modelling New'!AE:AE),"")</f>
        <v>0.995</v>
      </c>
      <c r="AH62" s="233">
        <f>IFERROR(_xlfn.XLOOKUP($D62,'Modelling New'!$D:$D,'Modelling New'!AF:AF),"")</f>
        <v>0.995</v>
      </c>
      <c r="AI62" s="9"/>
      <c r="AJ62" s="9"/>
      <c r="AK62" s="256"/>
      <c r="AL62" s="256"/>
      <c r="AM62" s="256"/>
      <c r="AN62" s="230"/>
      <c r="AO62" s="233"/>
      <c r="AP62" s="233"/>
      <c r="AQ62" s="233"/>
      <c r="AR62" s="234">
        <f>_xlfn.XLOOKUP(D62,'Modelling New'!$D:$D,'Modelling New'!$N:$N)</f>
        <v>130</v>
      </c>
      <c r="AS62" s="234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29">
        <f>Table13[[#This Row],[Date]]-DAY(Table13[[#This Row],[Date]])+1</f>
        <v>45778</v>
      </c>
      <c r="E63" s="9">
        <f t="shared" si="5"/>
        <v>31</v>
      </c>
      <c r="F63" s="199">
        <f>IFERROR(_xlfn.XLOOKUP($A63,Input_Raw!$A:$A,Input_Raw!$FC:$FC),"")</f>
        <v>12.450000000000001</v>
      </c>
      <c r="G63" s="185">
        <f>IFERROR(_xlfn.XLOOKUP($A63,Input_Raw!$A:$A,Input_Raw!$CY:$CY),"")</f>
        <v>5.5338341583333328</v>
      </c>
      <c r="H63" s="185">
        <f>IFERROR(_xlfn.XLOOKUP($A63,Input_Raw!$A:$A,Input_Raw!$DA:$DA),"")</f>
        <v>0.77423939166666655</v>
      </c>
      <c r="I63" s="185">
        <f>IFERROR(_xlfn.XLOOKUP($A63,Input_Raw!$A:$A,Input_Raw!$CX:$CX),"")</f>
        <v>5.3923668666666593</v>
      </c>
      <c r="J63" s="185">
        <f>IFERROR(_xlfn.XLOOKUP($A63,Input_Raw!$A:$A,Input_Raw!$CZ:$CZ),"")</f>
        <v>0.59009989999999934</v>
      </c>
      <c r="K63" s="201">
        <f>IFERROR(_xlfn.XLOOKUP($A63,Input_Raw!$A:$A,Input_Raw!$DB:$DB),"")</f>
        <v>29.994979868529178</v>
      </c>
      <c r="L63" s="201">
        <f>IFERROR(_xlfn.XLOOKUP($A63,Input_Raw!$A:$A,Input_Raw!$DC:$DC),"")</f>
        <v>42.430004519646502</v>
      </c>
      <c r="M63" s="200">
        <f>IFERROR(_xlfn.XLOOKUP($A63,Input_Raw!$A:$A,Input_Raw!$DF:$DF),"")</f>
        <v>1.493704434109675</v>
      </c>
      <c r="N63" s="200">
        <f>IFERROR(_xlfn.XLOOKUP($A63,Input_Raw!$A:$A,Input_Raw!$DG:$DG),"")</f>
        <v>3.3105000000000002</v>
      </c>
      <c r="O63" s="230">
        <f>IFERROR(1-(SUMIF(Plant_BD!$B:$B,$A63,Plant_BD!$AL:$AL)/($AA63+SUMIF(Plant_BD!$B:$B,$A63,Plant_BD!$AL:$AL))),"")</f>
        <v>0.97414863902494442</v>
      </c>
      <c r="P63" s="230"/>
      <c r="Q63" s="231">
        <f>IFERROR(1-(SUMIF(Grid_BD!$B:$B,$A63,Grid_BD!$V:$V)/($AA63+SUMIF(Grid_BD!$B:$B,$A63,Grid_BD!$V:$V))),"")</f>
        <v>1</v>
      </c>
      <c r="R63" s="230">
        <f>IFERROR(1-(SUMIF(Grid_BD!$B:$B,$A63,Grid_BD!$V:$V)/($AA63+SUMIF(Grid_BD!$B:$B,$A63,Grid_BD!$V:$V))),"")</f>
        <v>1</v>
      </c>
      <c r="S63" s="9"/>
      <c r="T63" s="231"/>
      <c r="U63" s="232">
        <f t="shared" si="6"/>
        <v>0.77203856200740129</v>
      </c>
      <c r="V63" s="232" t="str">
        <f>IFERROR(_xlfn.XLOOKUP($A63,Input_Raw!$A:$A,Input_Raw!$FG:$FG),"")</f>
        <v/>
      </c>
      <c r="W63" s="233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85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33">
        <f>IFERROR(_xlfn.XLOOKUP($D63,'Modelling New'!$D:$D,'Modelling New'!O:O),"")</f>
        <v>0.806597995656121</v>
      </c>
      <c r="AF63" s="233">
        <f>IFERROR(_xlfn.XLOOKUP($D63,'Modelling New'!$D:$D,'Modelling New'!W:W),"")</f>
        <v>0.23157168262385408</v>
      </c>
      <c r="AG63" s="233">
        <f>IFERROR(_xlfn.XLOOKUP($D63,'Modelling New'!$D:$D,'Modelling New'!AE:AE),"")</f>
        <v>0.995</v>
      </c>
      <c r="AH63" s="233">
        <f>IFERROR(_xlfn.XLOOKUP($D63,'Modelling New'!$D:$D,'Modelling New'!AF:AF),"")</f>
        <v>0.995</v>
      </c>
      <c r="AI63" s="9"/>
      <c r="AJ63" s="9"/>
      <c r="AK63" s="256"/>
      <c r="AL63" s="256"/>
      <c r="AM63" s="256"/>
      <c r="AN63" s="230"/>
      <c r="AO63" s="233"/>
      <c r="AP63" s="233"/>
      <c r="AQ63" s="233"/>
      <c r="AR63" s="234">
        <f>_xlfn.XLOOKUP(D63,'Modelling New'!$D:$D,'Modelling New'!$N:$N)</f>
        <v>130</v>
      </c>
      <c r="AS63" s="234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29">
        <f>Table13[[#This Row],[Date]]-DAY(Table13[[#This Row],[Date]])+1</f>
        <v>45778</v>
      </c>
      <c r="E64" s="9">
        <f t="shared" si="5"/>
        <v>31</v>
      </c>
      <c r="F64" s="199">
        <f>IFERROR(_xlfn.XLOOKUP($A64,Input_Raw!$A:$A,Input_Raw!$FC:$FC),"")</f>
        <v>12.400000000000002</v>
      </c>
      <c r="G64" s="200">
        <f>IFERROR(_xlfn.XLOOKUP($A64,Input_Raw!$A:$A,Input_Raw!$CY:$CY),"")</f>
        <v>5.5908978666666691</v>
      </c>
      <c r="H64" s="200">
        <f>IFERROR(_xlfn.XLOOKUP($A64,Input_Raw!$A:$A,Input_Raw!$DA:$DA),"")</f>
        <v>0.82703409166666664</v>
      </c>
      <c r="I64" s="200">
        <f>IFERROR(_xlfn.XLOOKUP($A64,Input_Raw!$A:$A,Input_Raw!$CX:$CX),"")</f>
        <v>5.3922111416666638</v>
      </c>
      <c r="J64" s="200">
        <f>IFERROR(_xlfn.XLOOKUP($A64,Input_Raw!$A:$A,Input_Raw!$CZ:$CZ),"")</f>
        <v>0.63643433333333355</v>
      </c>
      <c r="K64" s="201">
        <f>IFERROR(_xlfn.XLOOKUP($A64,Input_Raw!$A:$A,Input_Raw!$DB:$DB),"")</f>
        <v>30.625556349803126</v>
      </c>
      <c r="L64" s="201">
        <f>IFERROR(_xlfn.XLOOKUP($A64,Input_Raw!$A:$A,Input_Raw!$DC:$DC),"")</f>
        <v>41.244398264871222</v>
      </c>
      <c r="M64" s="200">
        <f>IFERROR(_xlfn.XLOOKUP($A64,Input_Raw!$A:$A,Input_Raw!$DF:$DF),"")</f>
        <v>1.6668485617893514</v>
      </c>
      <c r="N64" s="200">
        <f>IFERROR(_xlfn.XLOOKUP($A64,Input_Raw!$A:$A,Input_Raw!$DG:$DG),"")</f>
        <v>3.2744999999999997</v>
      </c>
      <c r="O64" s="230">
        <f>IFERROR(1-(SUMIF(Plant_BD!$B:$B,$A64,Plant_BD!$AL:$AL)/($AA64+SUMIF(Plant_BD!$B:$B,$A64,Plant_BD!$AL:$AL))),"")</f>
        <v>0.97477950900047705</v>
      </c>
      <c r="P64" s="230"/>
      <c r="Q64" s="231">
        <f>IFERROR(1-(SUMIF(Grid_BD!$B:$B,$A64,Grid_BD!$V:$V)/($AA64+SUMIF(Grid_BD!$B:$B,$A64,Grid_BD!$V:$V))),"")</f>
        <v>1</v>
      </c>
      <c r="R64" s="230">
        <f>IFERROR(1-(SUMIF(Grid_BD!$B:$B,$A64,Grid_BD!$V:$V)/($AA64+SUMIF(Grid_BD!$B:$B,$A64,Grid_BD!$V:$V))),"")</f>
        <v>1</v>
      </c>
      <c r="S64" s="9"/>
      <c r="T64" s="231"/>
      <c r="U64" s="232">
        <f t="shared" si="6"/>
        <v>0.79186296359054364</v>
      </c>
      <c r="V64" s="232" t="str">
        <f>IFERROR(_xlfn.XLOOKUP($A64,Input_Raw!$A:$A,Input_Raw!$FG:$FG),"")</f>
        <v/>
      </c>
      <c r="W64" s="233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85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33">
        <f>IFERROR(_xlfn.XLOOKUP($D64,'Modelling New'!$D:$D,'Modelling New'!O:O),"")</f>
        <v>0.806597995656121</v>
      </c>
      <c r="AF64" s="233">
        <f>IFERROR(_xlfn.XLOOKUP($D64,'Modelling New'!$D:$D,'Modelling New'!W:W),"")</f>
        <v>0.23157168262385408</v>
      </c>
      <c r="AG64" s="233">
        <f>IFERROR(_xlfn.XLOOKUP($D64,'Modelling New'!$D:$D,'Modelling New'!AE:AE),"")</f>
        <v>0.995</v>
      </c>
      <c r="AH64" s="233">
        <f>IFERROR(_xlfn.XLOOKUP($D64,'Modelling New'!$D:$D,'Modelling New'!AF:AF),"")</f>
        <v>0.995</v>
      </c>
      <c r="AI64" s="9"/>
      <c r="AJ64" s="9"/>
      <c r="AK64" s="256"/>
      <c r="AL64" s="256"/>
      <c r="AM64" s="256"/>
      <c r="AN64" s="230"/>
      <c r="AO64" s="233"/>
      <c r="AP64" s="233"/>
      <c r="AQ64" s="233"/>
      <c r="AR64" s="234">
        <f>_xlfn.XLOOKUP(D64,'Modelling New'!$D:$D,'Modelling New'!$N:$N)</f>
        <v>130</v>
      </c>
      <c r="AS64" s="234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29">
        <f>Table13[[#This Row],[Date]]-DAY(Table13[[#This Row],[Date]])+1</f>
        <v>45778</v>
      </c>
      <c r="E65" s="9">
        <f t="shared" si="5"/>
        <v>31</v>
      </c>
      <c r="F65" s="199">
        <f>IFERROR(_xlfn.XLOOKUP($A65,Input_Raw!$A:$A,Input_Raw!$FC:$FC),"")</f>
        <v>12.833333333333332</v>
      </c>
      <c r="G65" s="185">
        <f>IFERROR(_xlfn.XLOOKUP($A65,Input_Raw!$A:$A,Input_Raw!$CY:$CY),"")</f>
        <v>7.2675136583333311</v>
      </c>
      <c r="H65" s="185">
        <f>IFERROR(_xlfn.XLOOKUP($A65,Input_Raw!$A:$A,Input_Raw!$DA:$DA),"")</f>
        <v>1.1054926916666656</v>
      </c>
      <c r="I65" s="185">
        <f>IFERROR(_xlfn.XLOOKUP($A65,Input_Raw!$A:$A,Input_Raw!$CX:$CX),"")</f>
        <v>7.0123685166666618</v>
      </c>
      <c r="J65" s="185">
        <f>IFERROR(_xlfn.XLOOKUP($A65,Input_Raw!$A:$A,Input_Raw!$CZ:$CZ),"")</f>
        <v>0.8618371916666665</v>
      </c>
      <c r="K65" s="201">
        <f>IFERROR(_xlfn.XLOOKUP($A65,Input_Raw!$A:$A,Input_Raw!$DB:$DB),"")</f>
        <v>31.269463035572205</v>
      </c>
      <c r="L65" s="201">
        <f>IFERROR(_xlfn.XLOOKUP($A65,Input_Raw!$A:$A,Input_Raw!$DC:$DC),"")</f>
        <v>43.527358278402836</v>
      </c>
      <c r="M65" s="200">
        <f>IFERROR(_xlfn.XLOOKUP($A65,Input_Raw!$A:$A,Input_Raw!$DF:$DF),"")</f>
        <v>1.8753166070007974</v>
      </c>
      <c r="N65" s="200">
        <f>IFERROR(_xlfn.XLOOKUP($A65,Input_Raw!$A:$A,Input_Raw!$DG:$DG),"")</f>
        <v>3.8775000000000004</v>
      </c>
      <c r="O65" s="230">
        <f>IFERROR(1-(SUMIF(Plant_BD!$B:$B,$A65,Plant_BD!$AL:$AL)/($AA65+SUMIF(Plant_BD!$B:$B,$A65,Plant_BD!$AL:$AL))),"")</f>
        <v>0.97420217610206861</v>
      </c>
      <c r="P65" s="230"/>
      <c r="Q65" s="231">
        <f>IFERROR(1-(SUMIF(Grid_BD!$B:$B,$A65,Grid_BD!$V:$V)/($AA65+SUMIF(Grid_BD!$B:$B,$A65,Grid_BD!$V:$V))),"")</f>
        <v>1</v>
      </c>
      <c r="R65" s="230">
        <f>IFERROR(1-(SUMIF(Grid_BD!$B:$B,$A65,Grid_BD!$V:$V)/($AA65+SUMIF(Grid_BD!$B:$B,$A65,Grid_BD!$V:$V))),"")</f>
        <v>1</v>
      </c>
      <c r="S65" s="9"/>
      <c r="T65" s="231"/>
      <c r="U65" s="232">
        <f t="shared" si="6"/>
        <v>0.77368325691689022</v>
      </c>
      <c r="V65" s="232" t="str">
        <f>IFERROR(_xlfn.XLOOKUP($A65,Input_Raw!$A:$A,Input_Raw!$FG:$FG),"")</f>
        <v/>
      </c>
      <c r="W65" s="233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85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33">
        <f>IFERROR(_xlfn.XLOOKUP($D65,'Modelling New'!$D:$D,'Modelling New'!O:O),"")</f>
        <v>0.806597995656121</v>
      </c>
      <c r="AF65" s="233">
        <f>IFERROR(_xlfn.XLOOKUP($D65,'Modelling New'!$D:$D,'Modelling New'!W:W),"")</f>
        <v>0.23157168262385408</v>
      </c>
      <c r="AG65" s="233">
        <f>IFERROR(_xlfn.XLOOKUP($D65,'Modelling New'!$D:$D,'Modelling New'!AE:AE),"")</f>
        <v>0.995</v>
      </c>
      <c r="AH65" s="233">
        <f>IFERROR(_xlfn.XLOOKUP($D65,'Modelling New'!$D:$D,'Modelling New'!AF:AF),"")</f>
        <v>0.995</v>
      </c>
      <c r="AI65" s="9"/>
      <c r="AJ65" s="9"/>
      <c r="AK65" s="256"/>
      <c r="AL65" s="256"/>
      <c r="AM65" s="256"/>
      <c r="AN65" s="230"/>
      <c r="AO65" s="233"/>
      <c r="AP65" s="233"/>
      <c r="AQ65" s="233"/>
      <c r="AR65" s="234">
        <f>_xlfn.XLOOKUP(D65,'Modelling New'!$D:$D,'Modelling New'!$N:$N)</f>
        <v>130</v>
      </c>
      <c r="AS65" s="234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29">
        <f>Table13[[#This Row],[Date]]-DAY(Table13[[#This Row],[Date]])+1</f>
        <v>45809</v>
      </c>
      <c r="E66" s="9">
        <f t="shared" si="5"/>
        <v>30</v>
      </c>
      <c r="F66" s="199">
        <f>IFERROR(_xlfn.XLOOKUP($A66,Input_Raw!$A:$A,Input_Raw!$FC:$FC),"")</f>
        <v>12.766666666666666</v>
      </c>
      <c r="G66" s="200">
        <f>IFERROR(_xlfn.XLOOKUP($A66,Input_Raw!$A:$A,Input_Raw!$CY:$CY),"")</f>
        <v>6.7692399416666653</v>
      </c>
      <c r="H66" s="200">
        <f>IFERROR(_xlfn.XLOOKUP($A66,Input_Raw!$A:$A,Input_Raw!$DA:$DA),"")</f>
        <v>1.0381673500000002</v>
      </c>
      <c r="I66" s="200">
        <f>IFERROR(_xlfn.XLOOKUP($A66,Input_Raw!$A:$A,Input_Raw!$CX:$CX),"")</f>
        <v>6.493747975000014</v>
      </c>
      <c r="J66" s="200">
        <f>IFERROR(_xlfn.XLOOKUP($A66,Input_Raw!$A:$A,Input_Raw!$CZ:$CZ),"")</f>
        <v>0.806364566666667</v>
      </c>
      <c r="K66" s="201">
        <f>IFERROR(_xlfn.XLOOKUP($A66,Input_Raw!$A:$A,Input_Raw!$DB:$DB),"")</f>
        <v>31.093324034542</v>
      </c>
      <c r="L66" s="201">
        <f>IFERROR(_xlfn.XLOOKUP($A66,Input_Raw!$A:$A,Input_Raw!$DC:$DC),"")</f>
        <v>45.248843960823379</v>
      </c>
      <c r="M66" s="200">
        <f>IFERROR(_xlfn.XLOOKUP($A66,Input_Raw!$A:$A,Input_Raw!$DF:$DF),"")</f>
        <v>1.7245391588267145</v>
      </c>
      <c r="N66" s="200">
        <f>IFERROR(_xlfn.XLOOKUP($A66,Input_Raw!$A:$A,Input_Raw!$DG:$DG),"")</f>
        <v>3.831</v>
      </c>
      <c r="O66" s="230">
        <f>IFERROR(1-(SUMIF(Plant_BD!$B:$B,$A66,Plant_BD!$AL:$AL)/($AA66+SUMIF(Plant_BD!$B:$B,$A66,Plant_BD!$AL:$AL))),"")</f>
        <v>0.42255955324124606</v>
      </c>
      <c r="P66" s="230"/>
      <c r="Q66" s="231">
        <f>IFERROR(1-(SUMIF(Grid_BD!$B:$B,$A66,Grid_BD!$V:$V)/($AA66+SUMIF(Grid_BD!$B:$B,$A66,Grid_BD!$V:$V))),"")</f>
        <v>0.40530095835738755</v>
      </c>
      <c r="R66" s="230">
        <f>IFERROR(1-(SUMIF(Grid_BD!$B:$B,$A66,Grid_BD!$V:$V)/($AA66+SUMIF(Grid_BD!$B:$B,$A66,Grid_BD!$V:$V))),"")</f>
        <v>0.40530095835738755</v>
      </c>
      <c r="S66" s="9"/>
      <c r="T66" s="231"/>
      <c r="U66" s="232">
        <f t="shared" si="6"/>
        <v>0.33758810852311266</v>
      </c>
      <c r="V66" s="232" t="str">
        <f>IFERROR(_xlfn.XLOOKUP($A66,Input_Raw!$A:$A,Input_Raw!$FG:$FG),"")</f>
        <v/>
      </c>
      <c r="W66" s="233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85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33">
        <f>IFERROR(_xlfn.XLOOKUP($D66,'Modelling New'!$D:$D,'Modelling New'!O:O),"")</f>
        <v>0.84205181214283342</v>
      </c>
      <c r="AF66" s="233">
        <f>IFERROR(_xlfn.XLOOKUP($D66,'Modelling New'!$D:$D,'Modelling New'!W:W),"")</f>
        <v>0.17437489609791174</v>
      </c>
      <c r="AG66" s="233">
        <f>IFERROR(_xlfn.XLOOKUP($D66,'Modelling New'!$D:$D,'Modelling New'!AE:AE),"")</f>
        <v>0.995</v>
      </c>
      <c r="AH66" s="233">
        <f>IFERROR(_xlfn.XLOOKUP($D66,'Modelling New'!$D:$D,'Modelling New'!AF:AF),"")</f>
        <v>0.995</v>
      </c>
      <c r="AI66" s="9"/>
      <c r="AJ66" s="9"/>
      <c r="AK66" s="256"/>
      <c r="AL66" s="256"/>
      <c r="AM66" s="256"/>
      <c r="AN66" s="230"/>
      <c r="AO66" s="233"/>
      <c r="AP66" s="233"/>
      <c r="AQ66" s="233"/>
      <c r="AR66" s="234">
        <f>_xlfn.XLOOKUP(D66,'Modelling New'!$D:$D,'Modelling New'!$N:$N)</f>
        <v>130</v>
      </c>
      <c r="AS66" s="234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29">
        <f>Table13[[#This Row],[Date]]-DAY(Table13[[#This Row],[Date]])+1</f>
        <v>45809</v>
      </c>
      <c r="E67" s="9">
        <f t="shared" si="5"/>
        <v>30</v>
      </c>
      <c r="F67" s="199">
        <f>IFERROR(_xlfn.XLOOKUP($A67,Input_Raw!$A:$A,Input_Raw!$FC:$FC),"")</f>
        <v>12.666666666666668</v>
      </c>
      <c r="G67" s="185">
        <f>IFERROR(_xlfn.XLOOKUP($A67,Input_Raw!$A:$A,Input_Raw!$CY:$CY),"")</f>
        <v>7.0219489750000044</v>
      </c>
      <c r="H67" s="185">
        <f>IFERROR(_xlfn.XLOOKUP($A67,Input_Raw!$A:$A,Input_Raw!$DA:$DA),"")</f>
        <v>1.0898763083333334</v>
      </c>
      <c r="I67" s="185">
        <f>IFERROR(_xlfn.XLOOKUP($A67,Input_Raw!$A:$A,Input_Raw!$CX:$CX),"")</f>
        <v>6.7173931833333285</v>
      </c>
      <c r="J67" s="185">
        <f>IFERROR(_xlfn.XLOOKUP($A67,Input_Raw!$A:$A,Input_Raw!$CZ:$CZ),"")</f>
        <v>0.87432039166666597</v>
      </c>
      <c r="K67" s="201">
        <f>IFERROR(_xlfn.XLOOKUP($A67,Input_Raw!$A:$A,Input_Raw!$DB:$DB),"")</f>
        <v>31.057029657846712</v>
      </c>
      <c r="L67" s="201">
        <f>IFERROR(_xlfn.XLOOKUP($A67,Input_Raw!$A:$A,Input_Raw!$DC:$DC),"")</f>
        <v>44.380076954483783</v>
      </c>
      <c r="M67" s="200">
        <f>IFERROR(_xlfn.XLOOKUP($A67,Input_Raw!$A:$A,Input_Raw!$DF:$DF),"")</f>
        <v>1.666497183851571</v>
      </c>
      <c r="N67" s="200">
        <f>IFERROR(_xlfn.XLOOKUP($A67,Input_Raw!$A:$A,Input_Raw!$DG:$DG),"")</f>
        <v>3.2984999999999998</v>
      </c>
      <c r="O67" s="230">
        <f>IFERROR(1-(SUMIF(Plant_BD!$B:$B,$A67,Plant_BD!$AL:$AL)/($AA67+SUMIF(Plant_BD!$B:$B,$A67,Plant_BD!$AL:$AL))),"")</f>
        <v>1</v>
      </c>
      <c r="P67" s="230"/>
      <c r="Q67" s="231">
        <f>IFERROR(1-(SUMIF(Grid_BD!$B:$B,$A67,Grid_BD!$V:$V)/($AA67+SUMIF(Grid_BD!$B:$B,$A67,Grid_BD!$V:$V))),"")</f>
        <v>1</v>
      </c>
      <c r="R67" s="230">
        <f>IFERROR(1-(SUMIF(Grid_BD!$B:$B,$A67,Grid_BD!$V:$V)/($AA67+SUMIF(Grid_BD!$B:$B,$A67,Grid_BD!$V:$V))),"")</f>
        <v>1</v>
      </c>
      <c r="S67" s="9"/>
      <c r="T67" s="231"/>
      <c r="U67" s="232">
        <f t="shared" si="6"/>
        <v>0.7491366217192843</v>
      </c>
      <c r="V67" s="232" t="str">
        <f>IFERROR(_xlfn.XLOOKUP($A67,Input_Raw!$A:$A,Input_Raw!$FG:$FG),"")</f>
        <v/>
      </c>
      <c r="W67" s="233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85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33">
        <f>IFERROR(_xlfn.XLOOKUP($D67,'Modelling New'!$D:$D,'Modelling New'!O:O),"")</f>
        <v>0.84205181214283342</v>
      </c>
      <c r="AF67" s="233">
        <f>IFERROR(_xlfn.XLOOKUP($D67,'Modelling New'!$D:$D,'Modelling New'!W:W),"")</f>
        <v>0.17437489609791174</v>
      </c>
      <c r="AG67" s="233">
        <f>IFERROR(_xlfn.XLOOKUP($D67,'Modelling New'!$D:$D,'Modelling New'!AE:AE),"")</f>
        <v>0.995</v>
      </c>
      <c r="AH67" s="233">
        <f>IFERROR(_xlfn.XLOOKUP($D67,'Modelling New'!$D:$D,'Modelling New'!AF:AF),"")</f>
        <v>0.995</v>
      </c>
      <c r="AI67" s="9"/>
      <c r="AJ67" s="9"/>
      <c r="AK67" s="256"/>
      <c r="AL67" s="256"/>
      <c r="AM67" s="256"/>
      <c r="AN67" s="230"/>
      <c r="AO67" s="233"/>
      <c r="AP67" s="233"/>
      <c r="AQ67" s="233"/>
      <c r="AR67" s="234">
        <f>_xlfn.XLOOKUP(D67,'Modelling New'!$D:$D,'Modelling New'!$N:$N)</f>
        <v>130</v>
      </c>
      <c r="AS67" s="234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29">
        <f>Table13[[#This Row],[Date]]-DAY(Table13[[#This Row],[Date]])+1</f>
        <v>45809</v>
      </c>
      <c r="E68" s="9">
        <f t="shared" si="5"/>
        <v>30</v>
      </c>
      <c r="F68" s="199">
        <f>IFERROR(_xlfn.XLOOKUP($A68,Input_Raw!$A:$A,Input_Raw!$FC:$FC),"")</f>
        <v>12.65</v>
      </c>
      <c r="G68" s="200">
        <f>IFERROR(_xlfn.XLOOKUP($A68,Input_Raw!$A:$A,Input_Raw!$CY:$CY),"")</f>
        <v>6.5985606749999945</v>
      </c>
      <c r="H68" s="200">
        <f>IFERROR(_xlfn.XLOOKUP($A68,Input_Raw!$A:$A,Input_Raw!$DA:$DA),"")</f>
        <v>1.0414837833333332</v>
      </c>
      <c r="I68" s="200">
        <f>IFERROR(_xlfn.XLOOKUP($A68,Input_Raw!$A:$A,Input_Raw!$CX:$CX),"")</f>
        <v>6.2993572666666671</v>
      </c>
      <c r="J68" s="200">
        <f>IFERROR(_xlfn.XLOOKUP($A68,Input_Raw!$A:$A,Input_Raw!$CZ:$CZ),"")</f>
        <v>0.83345265833333237</v>
      </c>
      <c r="K68" s="201">
        <f>IFERROR(_xlfn.XLOOKUP($A68,Input_Raw!$A:$A,Input_Raw!$DB:$DB),"")</f>
        <v>30.885080437781902</v>
      </c>
      <c r="L68" s="201">
        <f>IFERROR(_xlfn.XLOOKUP($A68,Input_Raw!$A:$A,Input_Raw!$DC:$DC),"")</f>
        <v>42.526407222069111</v>
      </c>
      <c r="M68" s="200">
        <f>IFERROR(_xlfn.XLOOKUP($A68,Input_Raw!$A:$A,Input_Raw!$DF:$DF),"")</f>
        <v>1.7956576993172271</v>
      </c>
      <c r="N68" s="200">
        <f>IFERROR(_xlfn.XLOOKUP($A68,Input_Raw!$A:$A,Input_Raw!$DG:$DG),"")</f>
        <v>3.6509999999999998</v>
      </c>
      <c r="O68" s="230">
        <f>IFERROR(1-(SUMIF(Plant_BD!$B:$B,$A68,Plant_BD!$AL:$AL)/($AA68+SUMIF(Plant_BD!$B:$B,$A68,Plant_BD!$AL:$AL))),"")</f>
        <v>0.99995385488677169</v>
      </c>
      <c r="P68" s="230"/>
      <c r="Q68" s="231">
        <f>IFERROR(1-(SUMIF(Grid_BD!$B:$B,$A68,Grid_BD!$V:$V)/($AA68+SUMIF(Grid_BD!$B:$B,$A68,Grid_BD!$V:$V))),"")</f>
        <v>1</v>
      </c>
      <c r="R68" s="230">
        <f>IFERROR(1-(SUMIF(Grid_BD!$B:$B,$A68,Grid_BD!$V:$V)/($AA68+SUMIF(Grid_BD!$B:$B,$A68,Grid_BD!$V:$V))),"")</f>
        <v>1</v>
      </c>
      <c r="S68" s="9"/>
      <c r="T68" s="231"/>
      <c r="U68" s="232">
        <f t="shared" si="6"/>
        <v>0.78350058796730648</v>
      </c>
      <c r="V68" s="232" t="str">
        <f>IFERROR(_xlfn.XLOOKUP($A68,Input_Raw!$A:$A,Input_Raw!$FG:$FG),"")</f>
        <v/>
      </c>
      <c r="W68" s="233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85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33">
        <f>IFERROR(_xlfn.XLOOKUP($D68,'Modelling New'!$D:$D,'Modelling New'!O:O),"")</f>
        <v>0.84205181214283342</v>
      </c>
      <c r="AF68" s="233">
        <f>IFERROR(_xlfn.XLOOKUP($D68,'Modelling New'!$D:$D,'Modelling New'!W:W),"")</f>
        <v>0.17437489609791174</v>
      </c>
      <c r="AG68" s="233">
        <f>IFERROR(_xlfn.XLOOKUP($D68,'Modelling New'!$D:$D,'Modelling New'!AE:AE),"")</f>
        <v>0.995</v>
      </c>
      <c r="AH68" s="233">
        <f>IFERROR(_xlfn.XLOOKUP($D68,'Modelling New'!$D:$D,'Modelling New'!AF:AF),"")</f>
        <v>0.995</v>
      </c>
      <c r="AI68" s="9"/>
      <c r="AJ68" s="9"/>
      <c r="AK68" s="256"/>
      <c r="AL68" s="256"/>
      <c r="AM68" s="256"/>
      <c r="AN68" s="230"/>
      <c r="AO68" s="233"/>
      <c r="AP68" s="233"/>
      <c r="AQ68" s="233"/>
      <c r="AR68" s="234">
        <f>_xlfn.XLOOKUP(D68,'Modelling New'!$D:$D,'Modelling New'!$N:$N)</f>
        <v>130</v>
      </c>
      <c r="AS68" s="234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29">
        <f>Table13[[#This Row],[Date]]-DAY(Table13[[#This Row],[Date]])+1</f>
        <v>45809</v>
      </c>
      <c r="E69" s="9">
        <f t="shared" si="5"/>
        <v>30</v>
      </c>
      <c r="F69" s="199">
        <f>IFERROR(_xlfn.XLOOKUP($A69,Input_Raw!$A:$A,Input_Raw!$FC:$FC),"")</f>
        <v>12.65</v>
      </c>
      <c r="G69" s="185">
        <f>IFERROR(_xlfn.XLOOKUP($A69,Input_Raw!$A:$A,Input_Raw!$CY:$CY),"")</f>
        <v>6.5699017833333357</v>
      </c>
      <c r="H69" s="185">
        <f>IFERROR(_xlfn.XLOOKUP($A69,Input_Raw!$A:$A,Input_Raw!$DA:$DA),"")</f>
        <v>1.0372255666666674</v>
      </c>
      <c r="I69" s="185">
        <f>IFERROR(_xlfn.XLOOKUP($A69,Input_Raw!$A:$A,Input_Raw!$CX:$CX),"")</f>
        <v>6.2918486750000024</v>
      </c>
      <c r="J69" s="185">
        <f>IFERROR(_xlfn.XLOOKUP($A69,Input_Raw!$A:$A,Input_Raw!$CZ:$CZ),"")</f>
        <v>0.83294176666666675</v>
      </c>
      <c r="K69" s="201">
        <f>IFERROR(_xlfn.XLOOKUP($A69,Input_Raw!$A:$A,Input_Raw!$DB:$DB),"")</f>
        <v>30.282020360473169</v>
      </c>
      <c r="L69" s="201">
        <f>IFERROR(_xlfn.XLOOKUP($A69,Input_Raw!$A:$A,Input_Raw!$DC:$DC),"")</f>
        <v>43.583758445583122</v>
      </c>
      <c r="M69" s="200">
        <f>IFERROR(_xlfn.XLOOKUP($A69,Input_Raw!$A:$A,Input_Raw!$DF:$DF),"")</f>
        <v>1.1870609252135982</v>
      </c>
      <c r="N69" s="200">
        <f>IFERROR(_xlfn.XLOOKUP($A69,Input_Raw!$A:$A,Input_Raw!$DG:$DG),"")</f>
        <v>3.2489999999999997</v>
      </c>
      <c r="O69" s="230">
        <f>IFERROR(1-(SUMIF(Plant_BD!$B:$B,$A69,Plant_BD!$AL:$AL)/($AA69+SUMIF(Plant_BD!$B:$B,$A69,Plant_BD!$AL:$AL))),"")</f>
        <v>0.99995982657185589</v>
      </c>
      <c r="P69" s="230"/>
      <c r="Q69" s="231">
        <f>IFERROR(1-(SUMIF(Grid_BD!$B:$B,$A69,Grid_BD!$V:$V)/($AA69+SUMIF(Grid_BD!$B:$B,$A69,Grid_BD!$V:$V))),"")</f>
        <v>1</v>
      </c>
      <c r="R69" s="230">
        <f>IFERROR(1-(SUMIF(Grid_BD!$B:$B,$A69,Grid_BD!$V:$V)/($AA69+SUMIF(Grid_BD!$B:$B,$A69,Grid_BD!$V:$V))),"")</f>
        <v>1</v>
      </c>
      <c r="S69" s="9"/>
      <c r="T69" s="231"/>
      <c r="U69" s="232">
        <f t="shared" si="6"/>
        <v>0.76279857492503178</v>
      </c>
      <c r="V69" s="232" t="str">
        <f>IFERROR(_xlfn.XLOOKUP($A69,Input_Raw!$A:$A,Input_Raw!$FG:$FG),"")</f>
        <v/>
      </c>
      <c r="W69" s="233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85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33">
        <f>IFERROR(_xlfn.XLOOKUP($D69,'Modelling New'!$D:$D,'Modelling New'!O:O),"")</f>
        <v>0.84205181214283342</v>
      </c>
      <c r="AF69" s="233">
        <f>IFERROR(_xlfn.XLOOKUP($D69,'Modelling New'!$D:$D,'Modelling New'!W:W),"")</f>
        <v>0.17437489609791174</v>
      </c>
      <c r="AG69" s="233">
        <f>IFERROR(_xlfn.XLOOKUP($D69,'Modelling New'!$D:$D,'Modelling New'!AE:AE),"")</f>
        <v>0.995</v>
      </c>
      <c r="AH69" s="233">
        <f>IFERROR(_xlfn.XLOOKUP($D69,'Modelling New'!$D:$D,'Modelling New'!AF:AF),"")</f>
        <v>0.995</v>
      </c>
      <c r="AI69" s="9"/>
      <c r="AJ69" s="9"/>
      <c r="AK69" s="256"/>
      <c r="AL69" s="256"/>
      <c r="AM69" s="256"/>
      <c r="AN69" s="230"/>
      <c r="AO69" s="233"/>
      <c r="AP69" s="233"/>
      <c r="AQ69" s="233"/>
      <c r="AR69" s="234">
        <f>_xlfn.XLOOKUP(D69,'Modelling New'!$D:$D,'Modelling New'!$N:$N)</f>
        <v>130</v>
      </c>
      <c r="AS69" s="234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29">
        <f>Table13[[#This Row],[Date]]-DAY(Table13[[#This Row],[Date]])+1</f>
        <v>45809</v>
      </c>
      <c r="E70" s="9">
        <f t="shared" si="5"/>
        <v>30</v>
      </c>
      <c r="F70" s="199">
        <f>IFERROR(_xlfn.XLOOKUP($A70,Input_Raw!$A:$A,Input_Raw!$FC:$FC),"")</f>
        <v>12.533333333333335</v>
      </c>
      <c r="G70" s="200">
        <f>IFERROR(_xlfn.XLOOKUP($A70,Input_Raw!$A:$A,Input_Raw!$CY:$CY),"")</f>
        <v>6.5917211166666672</v>
      </c>
      <c r="H70" s="200">
        <f>IFERROR(_xlfn.XLOOKUP($A70,Input_Raw!$A:$A,Input_Raw!$DA:$DA),"")</f>
        <v>1.0270025250000001</v>
      </c>
      <c r="I70" s="200">
        <f>IFERROR(_xlfn.XLOOKUP($A70,Input_Raw!$A:$A,Input_Raw!$CX:$CX),"")</f>
        <v>6.2965364250000029</v>
      </c>
      <c r="J70" s="200">
        <f>IFERROR(_xlfn.XLOOKUP($A70,Input_Raw!$A:$A,Input_Raw!$CZ:$CZ),"")</f>
        <v>0.83163194166666665</v>
      </c>
      <c r="K70" s="201">
        <f>IFERROR(_xlfn.XLOOKUP($A70,Input_Raw!$A:$A,Input_Raw!$DB:$DB),"")</f>
        <v>29.909802423105514</v>
      </c>
      <c r="L70" s="201">
        <f>IFERROR(_xlfn.XLOOKUP($A70,Input_Raw!$A:$A,Input_Raw!$DC:$DC),"")</f>
        <v>43.463974574492667</v>
      </c>
      <c r="M70" s="200">
        <f>IFERROR(_xlfn.XLOOKUP($A70,Input_Raw!$A:$A,Input_Raw!$DF:$DF),"")</f>
        <v>0.98651597482581943</v>
      </c>
      <c r="N70" s="200">
        <f>IFERROR(_xlfn.XLOOKUP($A70,Input_Raw!$A:$A,Input_Raw!$DG:$DG),"")</f>
        <v>2.9355000000000002</v>
      </c>
      <c r="O70" s="230">
        <f>IFERROR(1-(SUMIF(Plant_BD!$B:$B,$A70,Plant_BD!$AL:$AL)/($AA70+SUMIF(Plant_BD!$B:$B,$A70,Plant_BD!$AL:$AL))),"")</f>
        <v>1</v>
      </c>
      <c r="P70" s="230"/>
      <c r="Q70" s="231">
        <f>IFERROR(1-(SUMIF(Grid_BD!$B:$B,$A70,Grid_BD!$V:$V)/($AA70+SUMIF(Grid_BD!$B:$B,$A70,Grid_BD!$V:$V))),"")</f>
        <v>1</v>
      </c>
      <c r="R70" s="230">
        <f>IFERROR(1-(SUMIF(Grid_BD!$B:$B,$A70,Grid_BD!$V:$V)/($AA70+SUMIF(Grid_BD!$B:$B,$A70,Grid_BD!$V:$V))),"")</f>
        <v>1</v>
      </c>
      <c r="S70" s="9"/>
      <c r="T70" s="231"/>
      <c r="U70" s="232">
        <f t="shared" si="6"/>
        <v>0.81358036236693398</v>
      </c>
      <c r="V70" s="232" t="str">
        <f>IFERROR(_xlfn.XLOOKUP($A70,Input_Raw!$A:$A,Input_Raw!$FG:$FG),"")</f>
        <v/>
      </c>
      <c r="W70" s="233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85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33">
        <f>IFERROR(_xlfn.XLOOKUP($D70,'Modelling New'!$D:$D,'Modelling New'!O:O),"")</f>
        <v>0.84205181214283342</v>
      </c>
      <c r="AF70" s="233">
        <f>IFERROR(_xlfn.XLOOKUP($D70,'Modelling New'!$D:$D,'Modelling New'!W:W),"")</f>
        <v>0.17437489609791174</v>
      </c>
      <c r="AG70" s="233">
        <f>IFERROR(_xlfn.XLOOKUP($D70,'Modelling New'!$D:$D,'Modelling New'!AE:AE),"")</f>
        <v>0.995</v>
      </c>
      <c r="AH70" s="233">
        <f>IFERROR(_xlfn.XLOOKUP($D70,'Modelling New'!$D:$D,'Modelling New'!AF:AF),"")</f>
        <v>0.995</v>
      </c>
      <c r="AI70" s="9"/>
      <c r="AJ70" s="9"/>
      <c r="AK70" s="256"/>
      <c r="AL70" s="256"/>
      <c r="AM70" s="256"/>
      <c r="AN70" s="230"/>
      <c r="AO70" s="233"/>
      <c r="AP70" s="233"/>
      <c r="AQ70" s="233"/>
      <c r="AR70" s="234">
        <f>_xlfn.XLOOKUP(D70,'Modelling New'!$D:$D,'Modelling New'!$N:$N)</f>
        <v>130</v>
      </c>
      <c r="AS70" s="234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29">
        <f>Table13[[#This Row],[Date]]-DAY(Table13[[#This Row],[Date]])+1</f>
        <v>45809</v>
      </c>
      <c r="E71" s="9">
        <f t="shared" si="5"/>
        <v>30</v>
      </c>
      <c r="F71" s="199">
        <f>IFERROR(_xlfn.XLOOKUP($A71,Input_Raw!$A:$A,Input_Raw!$FC:$FC),"")</f>
        <v>12.483333333333334</v>
      </c>
      <c r="G71" s="185">
        <f>IFERROR(_xlfn.XLOOKUP($A71,Input_Raw!$A:$A,Input_Raw!$CY:$CY),"")</f>
        <v>6.5675335499999923</v>
      </c>
      <c r="H71" s="185">
        <f>IFERROR(_xlfn.XLOOKUP($A71,Input_Raw!$A:$A,Input_Raw!$DA:$DA),"")</f>
        <v>1.051207716666666</v>
      </c>
      <c r="I71" s="185">
        <f>IFERROR(_xlfn.XLOOKUP($A71,Input_Raw!$A:$A,Input_Raw!$CX:$CX),"")</f>
        <v>6.2742636083333334</v>
      </c>
      <c r="J71" s="185">
        <f>IFERROR(_xlfn.XLOOKUP($A71,Input_Raw!$A:$A,Input_Raw!$CZ:$CZ),"")</f>
        <v>3.6134784833333273</v>
      </c>
      <c r="K71" s="201">
        <f>IFERROR(_xlfn.XLOOKUP($A71,Input_Raw!$A:$A,Input_Raw!$DB:$DB),"")</f>
        <v>32.00739104745648</v>
      </c>
      <c r="L71" s="201">
        <f>IFERROR(_xlfn.XLOOKUP($A71,Input_Raw!$A:$A,Input_Raw!$DC:$DC),"")</f>
        <v>44.284493395337456</v>
      </c>
      <c r="M71" s="200">
        <f>IFERROR(_xlfn.XLOOKUP($A71,Input_Raw!$A:$A,Input_Raw!$DF:$DF),"")</f>
        <v>1.2471338239532641</v>
      </c>
      <c r="N71" s="200">
        <f>IFERROR(_xlfn.XLOOKUP($A71,Input_Raw!$A:$A,Input_Raw!$DG:$DG),"")</f>
        <v>2.8215000000000003</v>
      </c>
      <c r="O71" s="230">
        <f>IFERROR(1-(SUMIF(Plant_BD!$B:$B,$A71,Plant_BD!$AL:$AL)/($AA71+SUMIF(Plant_BD!$B:$B,$A71,Plant_BD!$AL:$AL))),"")</f>
        <v>1</v>
      </c>
      <c r="P71" s="230"/>
      <c r="Q71" s="231">
        <f>IFERROR(1-(SUMIF(Grid_BD!$B:$B,$A71,Grid_BD!$V:$V)/($AA71+SUMIF(Grid_BD!$B:$B,$A71,Grid_BD!$V:$V))),"")</f>
        <v>1</v>
      </c>
      <c r="R71" s="230">
        <f>IFERROR(1-(SUMIF(Grid_BD!$B:$B,$A71,Grid_BD!$V:$V)/($AA71+SUMIF(Grid_BD!$B:$B,$A71,Grid_BD!$V:$V))),"")</f>
        <v>1</v>
      </c>
      <c r="S71" s="9"/>
      <c r="T71" s="231"/>
      <c r="U71" s="232">
        <f t="shared" si="6"/>
        <v>0.80814479020265506</v>
      </c>
      <c r="V71" s="232" t="str">
        <f>IFERROR(_xlfn.XLOOKUP($A71,Input_Raw!$A:$A,Input_Raw!$FG:$FG),"")</f>
        <v/>
      </c>
      <c r="W71" s="233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85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33">
        <f>IFERROR(_xlfn.XLOOKUP($D71,'Modelling New'!$D:$D,'Modelling New'!O:O),"")</f>
        <v>0.84205181214283342</v>
      </c>
      <c r="AF71" s="233">
        <f>IFERROR(_xlfn.XLOOKUP($D71,'Modelling New'!$D:$D,'Modelling New'!W:W),"")</f>
        <v>0.17437489609791174</v>
      </c>
      <c r="AG71" s="233">
        <f>IFERROR(_xlfn.XLOOKUP($D71,'Modelling New'!$D:$D,'Modelling New'!AE:AE),"")</f>
        <v>0.995</v>
      </c>
      <c r="AH71" s="233">
        <f>IFERROR(_xlfn.XLOOKUP($D71,'Modelling New'!$D:$D,'Modelling New'!AF:AF),"")</f>
        <v>0.995</v>
      </c>
      <c r="AI71" s="9"/>
      <c r="AJ71" s="9"/>
      <c r="AK71" s="256"/>
      <c r="AL71" s="256"/>
      <c r="AM71" s="256"/>
      <c r="AN71" s="230"/>
      <c r="AO71" s="233"/>
      <c r="AP71" s="233"/>
      <c r="AQ71" s="233"/>
      <c r="AR71" s="234">
        <f>_xlfn.XLOOKUP(D71,'Modelling New'!$D:$D,'Modelling New'!$N:$N)</f>
        <v>130</v>
      </c>
      <c r="AS71" s="234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29">
        <f>Table13[[#This Row],[Date]]-DAY(Table13[[#This Row],[Date]])+1</f>
        <v>45809</v>
      </c>
      <c r="E72" s="9">
        <f t="shared" si="5"/>
        <v>30</v>
      </c>
      <c r="F72" s="199">
        <f>IFERROR(_xlfn.XLOOKUP($A72,Input_Raw!$A:$A,Input_Raw!$FC:$FC),"")</f>
        <v>12.600000000000001</v>
      </c>
      <c r="G72" s="200">
        <f>IFERROR(_xlfn.XLOOKUP($A72,Input_Raw!$A:$A,Input_Raw!$CY:$CY),"")</f>
        <v>6.1929848249999964</v>
      </c>
      <c r="H72" s="200">
        <f>IFERROR(_xlfn.XLOOKUP($A72,Input_Raw!$A:$A,Input_Raw!$DA:$DA),"")</f>
        <v>0.99153400833333338</v>
      </c>
      <c r="I72" s="200">
        <f>IFERROR(_xlfn.XLOOKUP($A72,Input_Raw!$A:$A,Input_Raw!$CX:$CX),"")</f>
        <v>5.9320743500000006</v>
      </c>
      <c r="J72" s="200">
        <f>IFERROR(_xlfn.XLOOKUP($A72,Input_Raw!$A:$A,Input_Raw!$CZ:$CZ),"")</f>
        <v>0.80910324166666703</v>
      </c>
      <c r="K72" s="201">
        <f>IFERROR(_xlfn.XLOOKUP($A72,Input_Raw!$A:$A,Input_Raw!$DB:$DB),"")</f>
        <v>32.817607632779414</v>
      </c>
      <c r="L72" s="201">
        <f>IFERROR(_xlfn.XLOOKUP($A72,Input_Raw!$A:$A,Input_Raw!$DC:$DC),"")</f>
        <v>45.429663202294293</v>
      </c>
      <c r="M72" s="200">
        <f>IFERROR(_xlfn.XLOOKUP($A72,Input_Raw!$A:$A,Input_Raw!$DF:$DF),"")</f>
        <v>1.4968167254823947</v>
      </c>
      <c r="N72" s="200">
        <f>IFERROR(_xlfn.XLOOKUP($A72,Input_Raw!$A:$A,Input_Raw!$DG:$DG),"")</f>
        <v>3.0585</v>
      </c>
      <c r="O72" s="230">
        <f>IFERROR(1-(SUMIF(Plant_BD!$B:$B,$A72,Plant_BD!$AL:$AL)/($AA72+SUMIF(Plant_BD!$B:$B,$A72,Plant_BD!$AL:$AL))),"")</f>
        <v>1</v>
      </c>
      <c r="P72" s="230"/>
      <c r="Q72" s="231">
        <f>IFERROR(1-(SUMIF(Grid_BD!$B:$B,$A72,Grid_BD!$V:$V)/($AA72+SUMIF(Grid_BD!$B:$B,$A72,Grid_BD!$V:$V))),"")</f>
        <v>1</v>
      </c>
      <c r="R72" s="230">
        <f>IFERROR(1-(SUMIF(Grid_BD!$B:$B,$A72,Grid_BD!$V:$V)/($AA72+SUMIF(Grid_BD!$B:$B,$A72,Grid_BD!$V:$V))),"")</f>
        <v>1</v>
      </c>
      <c r="S72" s="9"/>
      <c r="T72" s="231"/>
      <c r="U72" s="232">
        <f t="shared" si="6"/>
        <v>0.807577748404957</v>
      </c>
      <c r="V72" s="232" t="str">
        <f>IFERROR(_xlfn.XLOOKUP($A72,Input_Raw!$A:$A,Input_Raw!$FG:$FG),"")</f>
        <v/>
      </c>
      <c r="W72" s="233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85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33">
        <f>IFERROR(_xlfn.XLOOKUP($D72,'Modelling New'!$D:$D,'Modelling New'!O:O),"")</f>
        <v>0.84205181214283342</v>
      </c>
      <c r="AF72" s="233">
        <f>IFERROR(_xlfn.XLOOKUP($D72,'Modelling New'!$D:$D,'Modelling New'!W:W),"")</f>
        <v>0.17437489609791174</v>
      </c>
      <c r="AG72" s="233">
        <f>IFERROR(_xlfn.XLOOKUP($D72,'Modelling New'!$D:$D,'Modelling New'!AE:AE),"")</f>
        <v>0.995</v>
      </c>
      <c r="AH72" s="233">
        <f>IFERROR(_xlfn.XLOOKUP($D72,'Modelling New'!$D:$D,'Modelling New'!AF:AF),"")</f>
        <v>0.995</v>
      </c>
      <c r="AI72" s="9"/>
      <c r="AJ72" s="9"/>
      <c r="AK72" s="256"/>
      <c r="AL72" s="256"/>
      <c r="AM72" s="256"/>
      <c r="AN72" s="230"/>
      <c r="AO72" s="233"/>
      <c r="AP72" s="233"/>
      <c r="AQ72" s="233"/>
      <c r="AR72" s="234">
        <f>_xlfn.XLOOKUP(D72,'Modelling New'!$D:$D,'Modelling New'!$N:$N)</f>
        <v>130</v>
      </c>
      <c r="AS72" s="234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29">
        <f>Table13[[#This Row],[Date]]-DAY(Table13[[#This Row],[Date]])+1</f>
        <v>45809</v>
      </c>
      <c r="E73" s="9">
        <f t="shared" si="5"/>
        <v>30</v>
      </c>
      <c r="F73" s="199">
        <f>IFERROR(_xlfn.XLOOKUP($A73,Input_Raw!$A:$A,Input_Raw!$FC:$FC),"")</f>
        <v>12.616666666666667</v>
      </c>
      <c r="G73" s="185">
        <f>IFERROR(_xlfn.XLOOKUP($A73,Input_Raw!$A:$A,Input_Raw!$CY:$CY),"")</f>
        <v>6.609232816666669</v>
      </c>
      <c r="H73" s="185">
        <f>IFERROR(_xlfn.XLOOKUP($A73,Input_Raw!$A:$A,Input_Raw!$DA:$DA),"")</f>
        <v>1.0600962666666678</v>
      </c>
      <c r="I73" s="185">
        <f>IFERROR(_xlfn.XLOOKUP($A73,Input_Raw!$A:$A,Input_Raw!$CX:$CX),"")</f>
        <v>6.3258972916666742</v>
      </c>
      <c r="J73" s="185">
        <f>IFERROR(_xlfn.XLOOKUP($A73,Input_Raw!$A:$A,Input_Raw!$CZ:$CZ),"")</f>
        <v>0.85359059999999964</v>
      </c>
      <c r="K73" s="201">
        <f>IFERROR(_xlfn.XLOOKUP($A73,Input_Raw!$A:$A,Input_Raw!$DB:$DB),"")</f>
        <v>32.870781546991971</v>
      </c>
      <c r="L73" s="201">
        <f>IFERROR(_xlfn.XLOOKUP($A73,Input_Raw!$A:$A,Input_Raw!$DC:$DC),"")</f>
        <v>45.386171672191089</v>
      </c>
      <c r="M73" s="200">
        <f>IFERROR(_xlfn.XLOOKUP($A73,Input_Raw!$A:$A,Input_Raw!$DF:$DF),"")</f>
        <v>1.8950747023862462</v>
      </c>
      <c r="N73" s="200">
        <f>IFERROR(_xlfn.XLOOKUP($A73,Input_Raw!$A:$A,Input_Raw!$DG:$DG),"")</f>
        <v>3.4380000000000002</v>
      </c>
      <c r="O73" s="230">
        <f>IFERROR(1-(SUMIF(Plant_BD!$B:$B,$A73,Plant_BD!$AL:$AL)/($AA73+SUMIF(Plant_BD!$B:$B,$A73,Plant_BD!$AL:$AL))),"")</f>
        <v>1</v>
      </c>
      <c r="P73" s="230"/>
      <c r="Q73" s="231">
        <f>IFERROR(1-(SUMIF(Grid_BD!$B:$B,$A73,Grid_BD!$V:$V)/($AA73+SUMIF(Grid_BD!$B:$B,$A73,Grid_BD!$V:$V))),"")</f>
        <v>1</v>
      </c>
      <c r="R73" s="230">
        <f>IFERROR(1-(SUMIF(Grid_BD!$B:$B,$A73,Grid_BD!$V:$V)/($AA73+SUMIF(Grid_BD!$B:$B,$A73,Grid_BD!$V:$V))),"")</f>
        <v>1</v>
      </c>
      <c r="S73" s="9"/>
      <c r="T73" s="231"/>
      <c r="U73" s="232">
        <f t="shared" si="6"/>
        <v>0.79644663460456</v>
      </c>
      <c r="V73" s="232" t="str">
        <f>IFERROR(_xlfn.XLOOKUP($A73,Input_Raw!$A:$A,Input_Raw!$FG:$FG),"")</f>
        <v/>
      </c>
      <c r="W73" s="233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85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33">
        <f>IFERROR(_xlfn.XLOOKUP($D73,'Modelling New'!$D:$D,'Modelling New'!O:O),"")</f>
        <v>0.84205181214283342</v>
      </c>
      <c r="AF73" s="233">
        <f>IFERROR(_xlfn.XLOOKUP($D73,'Modelling New'!$D:$D,'Modelling New'!W:W),"")</f>
        <v>0.17437489609791174</v>
      </c>
      <c r="AG73" s="233">
        <f>IFERROR(_xlfn.XLOOKUP($D73,'Modelling New'!$D:$D,'Modelling New'!AE:AE),"")</f>
        <v>0.995</v>
      </c>
      <c r="AH73" s="233">
        <f>IFERROR(_xlfn.XLOOKUP($D73,'Modelling New'!$D:$D,'Modelling New'!AF:AF),"")</f>
        <v>0.995</v>
      </c>
      <c r="AI73" s="9"/>
      <c r="AJ73" s="9"/>
      <c r="AK73" s="256"/>
      <c r="AL73" s="256"/>
      <c r="AM73" s="256"/>
      <c r="AN73" s="230"/>
      <c r="AO73" s="233"/>
      <c r="AP73" s="233"/>
      <c r="AQ73" s="233"/>
      <c r="AR73" s="234">
        <f>_xlfn.XLOOKUP(D73,'Modelling New'!$D:$D,'Modelling New'!$N:$N)</f>
        <v>130</v>
      </c>
      <c r="AS73" s="234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29">
        <f>Table13[[#This Row],[Date]]-DAY(Table13[[#This Row],[Date]])+1</f>
        <v>45809</v>
      </c>
      <c r="E74" s="9">
        <f t="shared" si="5"/>
        <v>30</v>
      </c>
      <c r="F74" s="199">
        <f>IFERROR(_xlfn.XLOOKUP($A74,Input_Raw!$A:$A,Input_Raw!$FC:$FC),"")</f>
        <v>12.75</v>
      </c>
      <c r="G74" s="200">
        <f>IFERROR(_xlfn.XLOOKUP($A74,Input_Raw!$A:$A,Input_Raw!$CY:$CY),"")</f>
        <v>6.8831551416666663</v>
      </c>
      <c r="H74" s="200">
        <f>IFERROR(_xlfn.XLOOKUP($A74,Input_Raw!$A:$A,Input_Raw!$DA:$DA),"")</f>
        <v>1.1205029000000006</v>
      </c>
      <c r="I74" s="200">
        <f>IFERROR(_xlfn.XLOOKUP($A74,Input_Raw!$A:$A,Input_Raw!$CX:$CX),"")</f>
        <v>6.8251041666666676</v>
      </c>
      <c r="J74" s="200">
        <f>IFERROR(_xlfn.XLOOKUP($A74,Input_Raw!$A:$A,Input_Raw!$CZ:$CZ),"")</f>
        <v>0.89520774166666661</v>
      </c>
      <c r="K74" s="201">
        <f>IFERROR(_xlfn.XLOOKUP($A74,Input_Raw!$A:$A,Input_Raw!$DB:$DB),"")</f>
        <v>33.125388386775526</v>
      </c>
      <c r="L74" s="201">
        <f>IFERROR(_xlfn.XLOOKUP($A74,Input_Raw!$A:$A,Input_Raw!$DC:$DC),"")</f>
        <v>45.170192668453325</v>
      </c>
      <c r="M74" s="200">
        <f>IFERROR(_xlfn.XLOOKUP($A74,Input_Raw!$A:$A,Input_Raw!$DF:$DF),"")</f>
        <v>2.3859634033343</v>
      </c>
      <c r="N74" s="200">
        <f>IFERROR(_xlfn.XLOOKUP($A74,Input_Raw!$A:$A,Input_Raw!$DG:$DG),"")</f>
        <v>4.2449999999999992</v>
      </c>
      <c r="O74" s="230">
        <f>IFERROR(1-(SUMIF(Plant_BD!$B:$B,$A74,Plant_BD!$AL:$AL)/($AA74+SUMIF(Plant_BD!$B:$B,$A74,Plant_BD!$AL:$AL))),"")</f>
        <v>1</v>
      </c>
      <c r="P74" s="230"/>
      <c r="Q74" s="231">
        <f>IFERROR(1-(SUMIF(Grid_BD!$B:$B,$A74,Grid_BD!$V:$V)/($AA74+SUMIF(Grid_BD!$B:$B,$A74,Grid_BD!$V:$V))),"")</f>
        <v>1</v>
      </c>
      <c r="R74" s="230">
        <f>IFERROR(1-(SUMIF(Grid_BD!$B:$B,$A74,Grid_BD!$V:$V)/($AA74+SUMIF(Grid_BD!$B:$B,$A74,Grid_BD!$V:$V))),"")</f>
        <v>1</v>
      </c>
      <c r="S74" s="9"/>
      <c r="T74" s="231"/>
      <c r="U74" s="232">
        <f t="shared" si="6"/>
        <v>0.76983161000770362</v>
      </c>
      <c r="V74" s="232" t="str">
        <f>IFERROR(_xlfn.XLOOKUP($A74,Input_Raw!$A:$A,Input_Raw!$FG:$FG),"")</f>
        <v/>
      </c>
      <c r="W74" s="233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85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33">
        <f>IFERROR(_xlfn.XLOOKUP($D74,'Modelling New'!$D:$D,'Modelling New'!O:O),"")</f>
        <v>0.84205181214283342</v>
      </c>
      <c r="AF74" s="233">
        <f>IFERROR(_xlfn.XLOOKUP($D74,'Modelling New'!$D:$D,'Modelling New'!W:W),"")</f>
        <v>0.17437489609791174</v>
      </c>
      <c r="AG74" s="233">
        <f>IFERROR(_xlfn.XLOOKUP($D74,'Modelling New'!$D:$D,'Modelling New'!AE:AE),"")</f>
        <v>0.995</v>
      </c>
      <c r="AH74" s="233">
        <f>IFERROR(_xlfn.XLOOKUP($D74,'Modelling New'!$D:$D,'Modelling New'!AF:AF),"")</f>
        <v>0.995</v>
      </c>
      <c r="AI74" s="9"/>
      <c r="AJ74" s="9"/>
      <c r="AK74" s="256"/>
      <c r="AL74" s="256"/>
      <c r="AM74" s="256"/>
      <c r="AN74" s="230"/>
      <c r="AO74" s="233"/>
      <c r="AP74" s="233"/>
      <c r="AQ74" s="233"/>
      <c r="AR74" s="234">
        <f>_xlfn.XLOOKUP(D74,'Modelling New'!$D:$D,'Modelling New'!$N:$N)</f>
        <v>130</v>
      </c>
      <c r="AS74" s="234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29">
        <f>Table13[[#This Row],[Date]]-DAY(Table13[[#This Row],[Date]])+1</f>
        <v>45809</v>
      </c>
      <c r="E75" s="9">
        <f t="shared" si="5"/>
        <v>30</v>
      </c>
      <c r="F75" s="199">
        <f>IFERROR(_xlfn.XLOOKUP($A75,Input_Raw!$A:$A,Input_Raw!$FC:$FC),"")</f>
        <v>12.7</v>
      </c>
      <c r="G75" s="185">
        <f>IFERROR(_xlfn.XLOOKUP($A75,Input_Raw!$A:$A,Input_Raw!$CY:$CY),"")</f>
        <v>5.7528031666666699</v>
      </c>
      <c r="H75" s="185">
        <f>IFERROR(_xlfn.XLOOKUP($A75,Input_Raw!$A:$A,Input_Raw!$DA:$DA),"")</f>
        <v>0.99789378333333356</v>
      </c>
      <c r="I75" s="185">
        <f>IFERROR(_xlfn.XLOOKUP($A75,Input_Raw!$A:$A,Input_Raw!$CX:$CX),"")</f>
        <v>6.5441856999999999</v>
      </c>
      <c r="J75" s="185">
        <f>IFERROR(_xlfn.XLOOKUP($A75,Input_Raw!$A:$A,Input_Raw!$CZ:$CZ),"")</f>
        <v>0.79911924166666659</v>
      </c>
      <c r="K75" s="201">
        <f>IFERROR(_xlfn.XLOOKUP($A75,Input_Raw!$A:$A,Input_Raw!$DB:$DB),"")</f>
        <v>33.093377966251957</v>
      </c>
      <c r="L75" s="201">
        <f>IFERROR(_xlfn.XLOOKUP($A75,Input_Raw!$A:$A,Input_Raw!$DC:$DC),"")</f>
        <v>45.139695383367652</v>
      </c>
      <c r="M75" s="200">
        <f>IFERROR(_xlfn.XLOOKUP($A75,Input_Raw!$A:$A,Input_Raw!$DF:$DF),"")</f>
        <v>2.1301889319030325</v>
      </c>
      <c r="N75" s="200">
        <f>IFERROR(_xlfn.XLOOKUP($A75,Input_Raw!$A:$A,Input_Raw!$DG:$DG),"")</f>
        <v>3.8849999999999998</v>
      </c>
      <c r="O75" s="230">
        <f>IFERROR(1-(SUMIF(Plant_BD!$B:$B,$A75,Plant_BD!$AL:$AL)/($AA75+SUMIF(Plant_BD!$B:$B,$A75,Plant_BD!$AL:$AL))),"")</f>
        <v>0.99797865398210706</v>
      </c>
      <c r="P75" s="230"/>
      <c r="Q75" s="231">
        <f>IFERROR(1-(SUMIF(Grid_BD!$B:$B,$A75,Grid_BD!$V:$V)/($AA75+SUMIF(Grid_BD!$B:$B,$A75,Grid_BD!$V:$V))),"")</f>
        <v>1</v>
      </c>
      <c r="R75" s="230">
        <f>IFERROR(1-(SUMIF(Grid_BD!$B:$B,$A75,Grid_BD!$V:$V)/($AA75+SUMIF(Grid_BD!$B:$B,$A75,Grid_BD!$V:$V))),"")</f>
        <v>1</v>
      </c>
      <c r="S75" s="9"/>
      <c r="T75" s="231"/>
      <c r="U75" s="232">
        <f t="shared" si="6"/>
        <v>0.73204084764034638</v>
      </c>
      <c r="V75" s="232" t="str">
        <f>IFERROR(_xlfn.XLOOKUP($A75,Input_Raw!$A:$A,Input_Raw!$FG:$FG),"")</f>
        <v/>
      </c>
      <c r="W75" s="233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85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33">
        <f>IFERROR(_xlfn.XLOOKUP($D75,'Modelling New'!$D:$D,'Modelling New'!O:O),"")</f>
        <v>0.84205181214283342</v>
      </c>
      <c r="AF75" s="233">
        <f>IFERROR(_xlfn.XLOOKUP($D75,'Modelling New'!$D:$D,'Modelling New'!W:W),"")</f>
        <v>0.17437489609791174</v>
      </c>
      <c r="AG75" s="233">
        <f>IFERROR(_xlfn.XLOOKUP($D75,'Modelling New'!$D:$D,'Modelling New'!AE:AE),"")</f>
        <v>0.995</v>
      </c>
      <c r="AH75" s="233">
        <f>IFERROR(_xlfn.XLOOKUP($D75,'Modelling New'!$D:$D,'Modelling New'!AF:AF),"")</f>
        <v>0.995</v>
      </c>
      <c r="AI75" s="9"/>
      <c r="AJ75" s="9"/>
      <c r="AK75" s="256"/>
      <c r="AL75" s="256"/>
      <c r="AM75" s="256"/>
      <c r="AN75" s="230"/>
      <c r="AO75" s="233"/>
      <c r="AP75" s="233"/>
      <c r="AQ75" s="233"/>
      <c r="AR75" s="234">
        <f>_xlfn.XLOOKUP(D75,'Modelling New'!$D:$D,'Modelling New'!$N:$N)</f>
        <v>130</v>
      </c>
      <c r="AS75" s="234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29">
        <f>Table13[[#This Row],[Date]]-DAY(Table13[[#This Row],[Date]])+1</f>
        <v>45809</v>
      </c>
      <c r="E76" s="9">
        <f t="shared" si="5"/>
        <v>30</v>
      </c>
      <c r="F76" s="199">
        <f>IFERROR(_xlfn.XLOOKUP($A76,Input_Raw!$A:$A,Input_Raw!$FC:$FC),"")</f>
        <v>12.216666666666665</v>
      </c>
      <c r="G76" s="200">
        <f>IFERROR(_xlfn.XLOOKUP($A76,Input_Raw!$A:$A,Input_Raw!$CY:$CY),"")</f>
        <v>3.3668184583333325</v>
      </c>
      <c r="H76" s="200">
        <f>IFERROR(_xlfn.XLOOKUP($A76,Input_Raw!$A:$A,Input_Raw!$DA:$DA),"")</f>
        <v>0.59825905833333326</v>
      </c>
      <c r="I76" s="200">
        <f>IFERROR(_xlfn.XLOOKUP($A76,Input_Raw!$A:$A,Input_Raw!$CX:$CX),"")</f>
        <v>3.8328738083333382</v>
      </c>
      <c r="J76" s="200">
        <f>IFERROR(_xlfn.XLOOKUP($A76,Input_Raw!$A:$A,Input_Raw!$CZ:$CZ),"")</f>
        <v>0.47267730833333377</v>
      </c>
      <c r="K76" s="201">
        <f>IFERROR(_xlfn.XLOOKUP($A76,Input_Raw!$A:$A,Input_Raw!$DB:$DB),"")</f>
        <v>30.428994666714051</v>
      </c>
      <c r="L76" s="201">
        <f>IFERROR(_xlfn.XLOOKUP($A76,Input_Raw!$A:$A,Input_Raw!$DC:$DC),"")</f>
        <v>39.886981735785653</v>
      </c>
      <c r="M76" s="200">
        <f>IFERROR(_xlfn.XLOOKUP($A76,Input_Raw!$A:$A,Input_Raw!$DF:$DF),"")</f>
        <v>1.9157555158016211</v>
      </c>
      <c r="N76" s="200">
        <f>IFERROR(_xlfn.XLOOKUP($A76,Input_Raw!$A:$A,Input_Raw!$DG:$DG),"")</f>
        <v>3.5205000000000002</v>
      </c>
      <c r="O76" s="230">
        <f>IFERROR(1-(SUMIF(Plant_BD!$B:$B,$A76,Plant_BD!$AL:$AL)/($AA76+SUMIF(Plant_BD!$B:$B,$A76,Plant_BD!$AL:$AL))),"")</f>
        <v>1</v>
      </c>
      <c r="P76" s="230"/>
      <c r="Q76" s="231">
        <f>IFERROR(1-(SUMIF(Grid_BD!$B:$B,$A76,Grid_BD!$V:$V)/($AA76+SUMIF(Grid_BD!$B:$B,$A76,Grid_BD!$V:$V))),"")</f>
        <v>1</v>
      </c>
      <c r="R76" s="230">
        <f>IFERROR(1-(SUMIF(Grid_BD!$B:$B,$A76,Grid_BD!$V:$V)/($AA76+SUMIF(Grid_BD!$B:$B,$A76,Grid_BD!$V:$V))),"")</f>
        <v>1</v>
      </c>
      <c r="S76" s="9"/>
      <c r="T76" s="231"/>
      <c r="U76" s="232">
        <f t="shared" si="6"/>
        <v>0.76823496533061353</v>
      </c>
      <c r="V76" s="232" t="str">
        <f>IFERROR(_xlfn.XLOOKUP($A76,Input_Raw!$A:$A,Input_Raw!$FG:$FG),"")</f>
        <v/>
      </c>
      <c r="W76" s="233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85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33">
        <f>IFERROR(_xlfn.XLOOKUP($D76,'Modelling New'!$D:$D,'Modelling New'!O:O),"")</f>
        <v>0.84205181214283342</v>
      </c>
      <c r="AF76" s="233">
        <f>IFERROR(_xlfn.XLOOKUP($D76,'Modelling New'!$D:$D,'Modelling New'!W:W),"")</f>
        <v>0.17437489609791174</v>
      </c>
      <c r="AG76" s="233">
        <f>IFERROR(_xlfn.XLOOKUP($D76,'Modelling New'!$D:$D,'Modelling New'!AE:AE),"")</f>
        <v>0.995</v>
      </c>
      <c r="AH76" s="233">
        <f>IFERROR(_xlfn.XLOOKUP($D76,'Modelling New'!$D:$D,'Modelling New'!AF:AF),"")</f>
        <v>0.995</v>
      </c>
      <c r="AI76" s="9"/>
      <c r="AJ76" s="9"/>
      <c r="AK76" s="256"/>
      <c r="AL76" s="256"/>
      <c r="AM76" s="256"/>
      <c r="AN76" s="230"/>
      <c r="AO76" s="233"/>
      <c r="AP76" s="233"/>
      <c r="AQ76" s="233"/>
      <c r="AR76" s="234">
        <f>_xlfn.XLOOKUP(D76,'Modelling New'!$D:$D,'Modelling New'!$N:$N)</f>
        <v>130</v>
      </c>
      <c r="AS76" s="234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29">
        <f>Table13[[#This Row],[Date]]-DAY(Table13[[#This Row],[Date]])+1</f>
        <v>45809</v>
      </c>
      <c r="E77" s="9">
        <f t="shared" si="5"/>
        <v>30</v>
      </c>
      <c r="F77" s="199">
        <f>IFERROR(_xlfn.XLOOKUP($A77,Input_Raw!$A:$A,Input_Raw!$FC:$FC),"")</f>
        <v>11.9</v>
      </c>
      <c r="G77" s="185">
        <f>IFERROR(_xlfn.XLOOKUP($A77,Input_Raw!$A:$A,Input_Raw!$CY:$CY),"")</f>
        <v>5.2331541250000013</v>
      </c>
      <c r="H77" s="185">
        <f>IFERROR(_xlfn.XLOOKUP($A77,Input_Raw!$A:$A,Input_Raw!$DA:$DA),"")</f>
        <v>0.91360534999999943</v>
      </c>
      <c r="I77" s="185">
        <f>IFERROR(_xlfn.XLOOKUP($A77,Input_Raw!$A:$A,Input_Raw!$CX:$CX),"")</f>
        <v>5.9467351249999982</v>
      </c>
      <c r="J77" s="185">
        <f>IFERROR(_xlfn.XLOOKUP($A77,Input_Raw!$A:$A,Input_Raw!$CZ:$CZ),"")</f>
        <v>0.73510113333333349</v>
      </c>
      <c r="K77" s="201">
        <f>IFERROR(_xlfn.XLOOKUP($A77,Input_Raw!$A:$A,Input_Raw!$DB:$DB),"")</f>
        <v>29.115903808829682</v>
      </c>
      <c r="L77" s="201">
        <f>IFERROR(_xlfn.XLOOKUP($A77,Input_Raw!$A:$A,Input_Raw!$DC:$DC),"")</f>
        <v>40.736239301303151</v>
      </c>
      <c r="M77" s="200">
        <f>IFERROR(_xlfn.XLOOKUP($A77,Input_Raw!$A:$A,Input_Raw!$DF:$DF),"")</f>
        <v>1.3827881219312159</v>
      </c>
      <c r="N77" s="200">
        <f>IFERROR(_xlfn.XLOOKUP($A77,Input_Raw!$A:$A,Input_Raw!$DG:$DG),"")</f>
        <v>6.6585000000000001</v>
      </c>
      <c r="O77" s="230">
        <f>IFERROR(1-(SUMIF(Plant_BD!$B:$B,$A77,Plant_BD!$AL:$AL)/($AA77+SUMIF(Plant_BD!$B:$B,$A77,Plant_BD!$AL:$AL))),"")</f>
        <v>0.988124115530156</v>
      </c>
      <c r="P77" s="230"/>
      <c r="Q77" s="231">
        <f>IFERROR(1-(SUMIF(Grid_BD!$B:$B,$A77,Grid_BD!$V:$V)/($AA77+SUMIF(Grid_BD!$B:$B,$A77,Grid_BD!$V:$V))),"")</f>
        <v>1</v>
      </c>
      <c r="R77" s="230">
        <f>IFERROR(1-(SUMIF(Grid_BD!$B:$B,$A77,Grid_BD!$V:$V)/($AA77+SUMIF(Grid_BD!$B:$B,$A77,Grid_BD!$V:$V))),"")</f>
        <v>1</v>
      </c>
      <c r="S77" s="9"/>
      <c r="T77" s="231"/>
      <c r="U77" s="232">
        <f t="shared" si="6"/>
        <v>0.75032850735477885</v>
      </c>
      <c r="V77" s="232" t="str">
        <f>IFERROR(_xlfn.XLOOKUP($A77,Input_Raw!$A:$A,Input_Raw!$FG:$FG),"")</f>
        <v/>
      </c>
      <c r="W77" s="233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85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33">
        <f>IFERROR(_xlfn.XLOOKUP($D77,'Modelling New'!$D:$D,'Modelling New'!O:O),"")</f>
        <v>0.84205181214283342</v>
      </c>
      <c r="AF77" s="233">
        <f>IFERROR(_xlfn.XLOOKUP($D77,'Modelling New'!$D:$D,'Modelling New'!W:W),"")</f>
        <v>0.17437489609791174</v>
      </c>
      <c r="AG77" s="233">
        <f>IFERROR(_xlfn.XLOOKUP($D77,'Modelling New'!$D:$D,'Modelling New'!AE:AE),"")</f>
        <v>0.995</v>
      </c>
      <c r="AH77" s="233">
        <f>IFERROR(_xlfn.XLOOKUP($D77,'Modelling New'!$D:$D,'Modelling New'!AF:AF),"")</f>
        <v>0.995</v>
      </c>
      <c r="AI77" s="9"/>
      <c r="AJ77" s="9"/>
      <c r="AK77" s="256"/>
      <c r="AL77" s="256"/>
      <c r="AM77" s="256"/>
      <c r="AN77" s="230"/>
      <c r="AO77" s="233"/>
      <c r="AP77" s="233"/>
      <c r="AQ77" s="233"/>
      <c r="AR77" s="234">
        <f>_xlfn.XLOOKUP(D77,'Modelling New'!$D:$D,'Modelling New'!$N:$N)</f>
        <v>130</v>
      </c>
      <c r="AS77" s="234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29">
        <f>Table13[[#This Row],[Date]]-DAY(Table13[[#This Row],[Date]])+1</f>
        <v>45809</v>
      </c>
      <c r="E78" s="9">
        <f t="shared" si="5"/>
        <v>30</v>
      </c>
      <c r="F78" s="199">
        <f>IFERROR(_xlfn.XLOOKUP($A78,Input_Raw!$A:$A,Input_Raw!$FC:$FC),"")</f>
        <v>12.616666666666667</v>
      </c>
      <c r="G78" s="200">
        <f>IFERROR(_xlfn.XLOOKUP($A78,Input_Raw!$A:$A,Input_Raw!$CY:$CY),"")</f>
        <v>4.5868154583333327</v>
      </c>
      <c r="H78" s="200">
        <f>IFERROR(_xlfn.XLOOKUP($A78,Input_Raw!$A:$A,Input_Raw!$DA:$DA),"")</f>
        <v>0.52536266666666753</v>
      </c>
      <c r="I78" s="200">
        <f>IFERROR(_xlfn.XLOOKUP($A78,Input_Raw!$A:$A,Input_Raw!$CX:$CX),"")</f>
        <v>5.9436416833333272</v>
      </c>
      <c r="J78" s="200">
        <f>IFERROR(_xlfn.XLOOKUP($A78,Input_Raw!$A:$A,Input_Raw!$CZ:$CZ),"")</f>
        <v>0.37296844166666709</v>
      </c>
      <c r="K78" s="201">
        <f>IFERROR(_xlfn.XLOOKUP($A78,Input_Raw!$A:$A,Input_Raw!$DB:$DB),"")</f>
        <v>17.902280230919565</v>
      </c>
      <c r="L78" s="201">
        <f>IFERROR(_xlfn.XLOOKUP($A78,Input_Raw!$A:$A,Input_Raw!$DC:$DC),"")</f>
        <v>25.849413659607535</v>
      </c>
      <c r="M78" s="200">
        <f>IFERROR(_xlfn.XLOOKUP($A78,Input_Raw!$A:$A,Input_Raw!$DF:$DF),"")</f>
        <v>0.51123436609355855</v>
      </c>
      <c r="N78" s="200">
        <f>IFERROR(_xlfn.XLOOKUP($A78,Input_Raw!$A:$A,Input_Raw!$DG:$DG),"")</f>
        <v>2.3205</v>
      </c>
      <c r="O78" s="230">
        <f>IFERROR(1-(SUMIF(Plant_BD!$B:$B,$A78,Plant_BD!$AL:$AL)/($AA78+SUMIF(Plant_BD!$B:$B,$A78,Plant_BD!$AL:$AL))),"")</f>
        <v>0.98919226277480243</v>
      </c>
      <c r="P78" s="230"/>
      <c r="Q78" s="231">
        <f>IFERROR(1-(SUMIF(Grid_BD!$B:$B,$A78,Grid_BD!$V:$V)/($AA78+SUMIF(Grid_BD!$B:$B,$A78,Grid_BD!$V:$V))),"")</f>
        <v>1</v>
      </c>
      <c r="R78" s="230">
        <f>IFERROR(1-(SUMIF(Grid_BD!$B:$B,$A78,Grid_BD!$V:$V)/($AA78+SUMIF(Grid_BD!$B:$B,$A78,Grid_BD!$V:$V))),"")</f>
        <v>1</v>
      </c>
      <c r="S78" s="9"/>
      <c r="T78" s="231"/>
      <c r="U78" s="232">
        <f t="shared" si="6"/>
        <v>0.83108268716179079</v>
      </c>
      <c r="V78" s="232" t="str">
        <f>IFERROR(_xlfn.XLOOKUP($A78,Input_Raw!$A:$A,Input_Raw!$FG:$FG),"")</f>
        <v/>
      </c>
      <c r="W78" s="233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85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33">
        <f>IFERROR(_xlfn.XLOOKUP($D78,'Modelling New'!$D:$D,'Modelling New'!O:O),"")</f>
        <v>0.84205181214283342</v>
      </c>
      <c r="AF78" s="233">
        <f>IFERROR(_xlfn.XLOOKUP($D78,'Modelling New'!$D:$D,'Modelling New'!W:W),"")</f>
        <v>0.17437489609791174</v>
      </c>
      <c r="AG78" s="233">
        <f>IFERROR(_xlfn.XLOOKUP($D78,'Modelling New'!$D:$D,'Modelling New'!AE:AE),"")</f>
        <v>0.995</v>
      </c>
      <c r="AH78" s="233">
        <f>IFERROR(_xlfn.XLOOKUP($D78,'Modelling New'!$D:$D,'Modelling New'!AF:AF),"")</f>
        <v>0.995</v>
      </c>
      <c r="AI78" s="9"/>
      <c r="AJ78" s="9"/>
      <c r="AK78" s="256"/>
      <c r="AL78" s="256"/>
      <c r="AM78" s="256"/>
      <c r="AN78" s="230"/>
      <c r="AO78" s="233"/>
      <c r="AP78" s="233"/>
      <c r="AQ78" s="233"/>
      <c r="AR78" s="234">
        <f>_xlfn.XLOOKUP(D78,'Modelling New'!$D:$D,'Modelling New'!$N:$N)</f>
        <v>130</v>
      </c>
      <c r="AS78" s="234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29">
        <f>Table13[[#This Row],[Date]]-DAY(Table13[[#This Row],[Date]])+1</f>
        <v>45809</v>
      </c>
      <c r="E79" s="9">
        <f t="shared" si="5"/>
        <v>30</v>
      </c>
      <c r="F79" s="199">
        <f>IFERROR(_xlfn.XLOOKUP($A79,Input_Raw!$A:$A,Input_Raw!$FC:$FC),"")</f>
        <v>12.600000000000001</v>
      </c>
      <c r="G79" s="185">
        <f>IFERROR(_xlfn.XLOOKUP($A79,Input_Raw!$A:$A,Input_Raw!$CY:$CY),"")</f>
        <v>5.2343621666666644</v>
      </c>
      <c r="H79" s="185">
        <f>IFERROR(_xlfn.XLOOKUP($A79,Input_Raw!$A:$A,Input_Raw!$DA:$DA),"")</f>
        <v>0.9810536999999997</v>
      </c>
      <c r="I79" s="185">
        <f>IFERROR(_xlfn.XLOOKUP($A79,Input_Raw!$A:$A,Input_Raw!$CX:$CX),"")</f>
        <v>6.871251516666673</v>
      </c>
      <c r="J79" s="185">
        <f>IFERROR(_xlfn.XLOOKUP($A79,Input_Raw!$A:$A,Input_Raw!$CZ:$CZ),"")</f>
        <v>0.71466563333333322</v>
      </c>
      <c r="K79" s="201">
        <f>IFERROR(_xlfn.XLOOKUP($A79,Input_Raw!$A:$A,Input_Raw!$DB:$DB),"")</f>
        <v>30.935410764872515</v>
      </c>
      <c r="L79" s="201">
        <f>IFERROR(_xlfn.XLOOKUP($A79,Input_Raw!$A:$A,Input_Raw!$DC:$DC),"")</f>
        <v>44.854223087818717</v>
      </c>
      <c r="M79" s="200">
        <f>IFERROR(_xlfn.XLOOKUP($A79,Input_Raw!$A:$A,Input_Raw!$DF:$DF),"")</f>
        <v>0.81648441926345705</v>
      </c>
      <c r="N79" s="200">
        <f>IFERROR(_xlfn.XLOOKUP($A79,Input_Raw!$A:$A,Input_Raw!$DG:$DG),"")</f>
        <v>4.2210000000000001</v>
      </c>
      <c r="O79" s="230">
        <f>IFERROR(1-(SUMIF(Plant_BD!$B:$B,$A79,Plant_BD!$AL:$AL)/($AA79+SUMIF(Plant_BD!$B:$B,$A79,Plant_BD!$AL:$AL))),"")</f>
        <v>1</v>
      </c>
      <c r="P79" s="230"/>
      <c r="Q79" s="231">
        <f>IFERROR(1-(SUMIF(Grid_BD!$B:$B,$A79,Grid_BD!$V:$V)/($AA79+SUMIF(Grid_BD!$B:$B,$A79,Grid_BD!$V:$V))),"")</f>
        <v>1</v>
      </c>
      <c r="R79" s="230">
        <f>IFERROR(1-(SUMIF(Grid_BD!$B:$B,$A79,Grid_BD!$V:$V)/($AA79+SUMIF(Grid_BD!$B:$B,$A79,Grid_BD!$V:$V))),"")</f>
        <v>1</v>
      </c>
      <c r="S79" s="9"/>
      <c r="T79" s="231"/>
      <c r="U79" s="232">
        <f t="shared" si="6"/>
        <v>0.68524047566604585</v>
      </c>
      <c r="V79" s="232" t="str">
        <f>IFERROR(_xlfn.XLOOKUP($A79,Input_Raw!$A:$A,Input_Raw!$FG:$FG),"")</f>
        <v/>
      </c>
      <c r="W79" s="233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85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33">
        <f>IFERROR(_xlfn.XLOOKUP($D79,'Modelling New'!$D:$D,'Modelling New'!O:O),"")</f>
        <v>0.84205181214283342</v>
      </c>
      <c r="AF79" s="233">
        <f>IFERROR(_xlfn.XLOOKUP($D79,'Modelling New'!$D:$D,'Modelling New'!W:W),"")</f>
        <v>0.17437489609791174</v>
      </c>
      <c r="AG79" s="233">
        <f>IFERROR(_xlfn.XLOOKUP($D79,'Modelling New'!$D:$D,'Modelling New'!AE:AE),"")</f>
        <v>0.995</v>
      </c>
      <c r="AH79" s="233">
        <f>IFERROR(_xlfn.XLOOKUP($D79,'Modelling New'!$D:$D,'Modelling New'!AF:AF),"")</f>
        <v>0.995</v>
      </c>
      <c r="AI79" s="9"/>
      <c r="AJ79" s="9"/>
      <c r="AK79" s="256"/>
      <c r="AL79" s="256"/>
      <c r="AM79" s="256"/>
      <c r="AN79" s="230"/>
      <c r="AO79" s="233"/>
      <c r="AP79" s="233"/>
      <c r="AQ79" s="233"/>
      <c r="AR79" s="234">
        <f>_xlfn.XLOOKUP(D79,'Modelling New'!$D:$D,'Modelling New'!$N:$N)</f>
        <v>130</v>
      </c>
      <c r="AS79" s="234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29">
        <f>Table13[[#This Row],[Date]]-DAY(Table13[[#This Row],[Date]])+1</f>
        <v>45809</v>
      </c>
      <c r="E80" s="9">
        <f t="shared" si="5"/>
        <v>30</v>
      </c>
      <c r="F80" s="199">
        <f>IFERROR(_xlfn.XLOOKUP($A80,Input_Raw!$A:$A,Input_Raw!$FC:$FC),"")</f>
        <v>12.1</v>
      </c>
      <c r="G80" s="200">
        <f>IFERROR(_xlfn.XLOOKUP($A80,Input_Raw!$A:$A,Input_Raw!$CY:$CY),"")</f>
        <v>5.2119190499999979</v>
      </c>
      <c r="H80" s="200">
        <f>IFERROR(_xlfn.XLOOKUP($A80,Input_Raw!$A:$A,Input_Raw!$DA:$DA),"")</f>
        <v>0.96393041666666623</v>
      </c>
      <c r="I80" s="200">
        <f>IFERROR(_xlfn.XLOOKUP($A80,Input_Raw!$A:$A,Input_Raw!$CX:$CX),"")</f>
        <v>6.834107899999994</v>
      </c>
      <c r="J80" s="200">
        <f>IFERROR(_xlfn.XLOOKUP($A80,Input_Raw!$A:$A,Input_Raw!$CZ:$CZ),"")</f>
        <v>0.68744010000000055</v>
      </c>
      <c r="K80" s="201">
        <f>IFERROR(_xlfn.XLOOKUP($A80,Input_Raw!$A:$A,Input_Raw!$DB:$DB),"")</f>
        <v>30.29257188498401</v>
      </c>
      <c r="L80" s="201">
        <f>IFERROR(_xlfn.XLOOKUP($A80,Input_Raw!$A:$A,Input_Raw!$DC:$DC),"")</f>
        <v>44.882682108626092</v>
      </c>
      <c r="M80" s="200">
        <f>IFERROR(_xlfn.XLOOKUP($A80,Input_Raw!$A:$A,Input_Raw!$DF:$DF),"")</f>
        <v>1.1507822014051516</v>
      </c>
      <c r="N80" s="200">
        <f>IFERROR(_xlfn.XLOOKUP($A80,Input_Raw!$A:$A,Input_Raw!$DG:$DG),"")</f>
        <v>3.3420000000000001</v>
      </c>
      <c r="O80" s="230">
        <f>IFERROR(1-(SUMIF(Plant_BD!$B:$B,$A80,Plant_BD!$AL:$AL)/($AA80+SUMIF(Plant_BD!$B:$B,$A80,Plant_BD!$AL:$AL))),"")</f>
        <v>1</v>
      </c>
      <c r="P80" s="230"/>
      <c r="Q80" s="231">
        <f>IFERROR(1-(SUMIF(Grid_BD!$B:$B,$A80,Grid_BD!$V:$V)/($AA80+SUMIF(Grid_BD!$B:$B,$A80,Grid_BD!$V:$V))),"")</f>
        <v>1</v>
      </c>
      <c r="R80" s="230">
        <f>IFERROR(1-(SUMIF(Grid_BD!$B:$B,$A80,Grid_BD!$V:$V)/($AA80+SUMIF(Grid_BD!$B:$B,$A80,Grid_BD!$V:$V))),"")</f>
        <v>1</v>
      </c>
      <c r="S80" s="9"/>
      <c r="T80" s="231"/>
      <c r="U80" s="232">
        <f t="shared" si="6"/>
        <v>0.62078955283777437</v>
      </c>
      <c r="V80" s="232" t="str">
        <f>IFERROR(_xlfn.XLOOKUP($A80,Input_Raw!$A:$A,Input_Raw!$FG:$FG),"")</f>
        <v/>
      </c>
      <c r="W80" s="233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85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33">
        <f>IFERROR(_xlfn.XLOOKUP($D80,'Modelling New'!$D:$D,'Modelling New'!O:O),"")</f>
        <v>0.84205181214283342</v>
      </c>
      <c r="AF80" s="233">
        <f>IFERROR(_xlfn.XLOOKUP($D80,'Modelling New'!$D:$D,'Modelling New'!W:W),"")</f>
        <v>0.17437489609791174</v>
      </c>
      <c r="AG80" s="233">
        <f>IFERROR(_xlfn.XLOOKUP($D80,'Modelling New'!$D:$D,'Modelling New'!AE:AE),"")</f>
        <v>0.995</v>
      </c>
      <c r="AH80" s="233">
        <f>IFERROR(_xlfn.XLOOKUP($D80,'Modelling New'!$D:$D,'Modelling New'!AF:AF),"")</f>
        <v>0.995</v>
      </c>
      <c r="AI80" s="9"/>
      <c r="AJ80" s="9"/>
      <c r="AK80" s="256"/>
      <c r="AL80" s="256"/>
      <c r="AM80" s="256"/>
      <c r="AN80" s="230"/>
      <c r="AO80" s="233"/>
      <c r="AP80" s="233"/>
      <c r="AQ80" s="233"/>
      <c r="AR80" s="234">
        <f>_xlfn.XLOOKUP(D80,'Modelling New'!$D:$D,'Modelling New'!$N:$N)</f>
        <v>130</v>
      </c>
      <c r="AS80" s="234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29">
        <f>Table13[[#This Row],[Date]]-DAY(Table13[[#This Row],[Date]])+1</f>
        <v>45809</v>
      </c>
      <c r="E81" s="9">
        <f t="shared" si="5"/>
        <v>30</v>
      </c>
      <c r="F81" s="199">
        <f>IFERROR(_xlfn.XLOOKUP($A81,Input_Raw!$A:$A,Input_Raw!$FC:$FC),"")</f>
        <v>12.899999999999999</v>
      </c>
      <c r="G81" s="185">
        <f>IFERROR(_xlfn.XLOOKUP($A81,Input_Raw!$A:$A,Input_Raw!$CY:$CY),"")</f>
        <v>4.8223196916666637</v>
      </c>
      <c r="H81" s="185">
        <f>IFERROR(_xlfn.XLOOKUP($A81,Input_Raw!$A:$A,Input_Raw!$DA:$DA),"")</f>
        <v>0.77234641666666604</v>
      </c>
      <c r="I81" s="185">
        <f>IFERROR(_xlfn.XLOOKUP($A81,Input_Raw!$A:$A,Input_Raw!$CX:$CX),"")</f>
        <v>5.4328894500000029</v>
      </c>
      <c r="J81" s="185">
        <f>IFERROR(_xlfn.XLOOKUP($A81,Input_Raw!$A:$A,Input_Raw!$CZ:$CZ),"")</f>
        <v>0.6235096916666667</v>
      </c>
      <c r="K81" s="201">
        <f>IFERROR(_xlfn.XLOOKUP($A81,Input_Raw!$A:$A,Input_Raw!$DB:$DB),"")</f>
        <v>28.985448295716004</v>
      </c>
      <c r="L81" s="201">
        <f>IFERROR(_xlfn.XLOOKUP($A81,Input_Raw!$A:$A,Input_Raw!$DC:$DC),"")</f>
        <v>41.108262758735897</v>
      </c>
      <c r="M81" s="200">
        <f>IFERROR(_xlfn.XLOOKUP($A81,Input_Raw!$A:$A,Input_Raw!$DF:$DF),"")</f>
        <v>1.0358129251612256</v>
      </c>
      <c r="N81" s="200">
        <f>IFERROR(_xlfn.XLOOKUP($A81,Input_Raw!$A:$A,Input_Raw!$DG:$DG),"")</f>
        <v>3.702</v>
      </c>
      <c r="O81" s="230">
        <f>IFERROR(1-(SUMIF(Plant_BD!$B:$B,$A81,Plant_BD!$AL:$AL)/($AA81+SUMIF(Plant_BD!$B:$B,$A81,Plant_BD!$AL:$AL))),"")</f>
        <v>1</v>
      </c>
      <c r="P81" s="230"/>
      <c r="Q81" s="231">
        <f>IFERROR(1-(SUMIF(Grid_BD!$B:$B,$A81,Grid_BD!$V:$V)/($AA81+SUMIF(Grid_BD!$B:$B,$A81,Grid_BD!$V:$V))),"")</f>
        <v>1</v>
      </c>
      <c r="R81" s="230">
        <f>IFERROR(1-(SUMIF(Grid_BD!$B:$B,$A81,Grid_BD!$V:$V)/($AA81+SUMIF(Grid_BD!$B:$B,$A81,Grid_BD!$V:$V))),"")</f>
        <v>1</v>
      </c>
      <c r="S81" s="9"/>
      <c r="T81" s="231"/>
      <c r="U81" s="232">
        <f t="shared" si="6"/>
        <v>0.72473558484766654</v>
      </c>
      <c r="V81" s="232" t="str">
        <f>IFERROR(_xlfn.XLOOKUP($A81,Input_Raw!$A:$A,Input_Raw!$FG:$FG),"")</f>
        <v/>
      </c>
      <c r="W81" s="233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85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33">
        <f>IFERROR(_xlfn.XLOOKUP($D81,'Modelling New'!$D:$D,'Modelling New'!O:O),"")</f>
        <v>0.84205181214283342</v>
      </c>
      <c r="AF81" s="233">
        <f>IFERROR(_xlfn.XLOOKUP($D81,'Modelling New'!$D:$D,'Modelling New'!W:W),"")</f>
        <v>0.17437489609791174</v>
      </c>
      <c r="AG81" s="233">
        <f>IFERROR(_xlfn.XLOOKUP($D81,'Modelling New'!$D:$D,'Modelling New'!AE:AE),"")</f>
        <v>0.995</v>
      </c>
      <c r="AH81" s="233">
        <f>IFERROR(_xlfn.XLOOKUP($D81,'Modelling New'!$D:$D,'Modelling New'!AF:AF),"")</f>
        <v>0.995</v>
      </c>
      <c r="AI81" s="9"/>
      <c r="AJ81" s="9"/>
      <c r="AK81" s="256"/>
      <c r="AL81" s="256"/>
      <c r="AM81" s="256"/>
      <c r="AN81" s="230"/>
      <c r="AO81" s="233"/>
      <c r="AP81" s="233"/>
      <c r="AQ81" s="233"/>
      <c r="AR81" s="234">
        <f>_xlfn.XLOOKUP(D81,'Modelling New'!$D:$D,'Modelling New'!$N:$N)</f>
        <v>130</v>
      </c>
      <c r="AS81" s="234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29">
        <f>Table13[[#This Row],[Date]]-DAY(Table13[[#This Row],[Date]])+1</f>
        <v>45809</v>
      </c>
      <c r="E82" s="9">
        <f t="shared" si="5"/>
        <v>30</v>
      </c>
      <c r="F82" s="199">
        <f>IFERROR(_xlfn.XLOOKUP($A82,Input_Raw!$A:$A,Input_Raw!$FC:$FC),"")</f>
        <v>12.633333333333333</v>
      </c>
      <c r="G82" s="200">
        <f>IFERROR(_xlfn.XLOOKUP($A82,Input_Raw!$A:$A,Input_Raw!$CY:$CY),"")</f>
        <v>5.7465822250000018</v>
      </c>
      <c r="H82" s="200">
        <f>IFERROR(_xlfn.XLOOKUP($A82,Input_Raw!$A:$A,Input_Raw!$DA:$DA),"")</f>
        <v>0.97705907499999944</v>
      </c>
      <c r="I82" s="200">
        <f>IFERROR(_xlfn.XLOOKUP($A82,Input_Raw!$A:$A,Input_Raw!$CX:$CX),"")</f>
        <v>6.3338956416666674</v>
      </c>
      <c r="J82" s="200">
        <f>IFERROR(_xlfn.XLOOKUP($A82,Input_Raw!$A:$A,Input_Raw!$CZ:$CZ),"")</f>
        <v>0.76303882499999987</v>
      </c>
      <c r="K82" s="201">
        <f>IFERROR(_xlfn.XLOOKUP($A82,Input_Raw!$A:$A,Input_Raw!$DB:$DB),"")</f>
        <v>30.323383532335061</v>
      </c>
      <c r="L82" s="201">
        <f>IFERROR(_xlfn.XLOOKUP($A82,Input_Raw!$A:$A,Input_Raw!$DC:$DC),"")</f>
        <v>43.021700330446187</v>
      </c>
      <c r="M82" s="200">
        <f>IFERROR(_xlfn.XLOOKUP($A82,Input_Raw!$A:$A,Input_Raw!$DF:$DF),"")</f>
        <v>1.6040188643852149</v>
      </c>
      <c r="N82" s="200">
        <f>IFERROR(_xlfn.XLOOKUP($A82,Input_Raw!$A:$A,Input_Raw!$DG:$DG),"")</f>
        <v>4.3784999999999998</v>
      </c>
      <c r="O82" s="230">
        <f>IFERROR(1-(SUMIF(Plant_BD!$B:$B,$A82,Plant_BD!$AL:$AL)/($AA82+SUMIF(Plant_BD!$B:$B,$A82,Plant_BD!$AL:$AL))),"")</f>
        <v>1</v>
      </c>
      <c r="P82" s="230"/>
      <c r="Q82" s="231">
        <f>IFERROR(1-(SUMIF(Grid_BD!$B:$B,$A82,Grid_BD!$V:$V)/($AA82+SUMIF(Grid_BD!$B:$B,$A82,Grid_BD!$V:$V))),"")</f>
        <v>1</v>
      </c>
      <c r="R82" s="230">
        <f>IFERROR(1-(SUMIF(Grid_BD!$B:$B,$A82,Grid_BD!$V:$V)/($AA82+SUMIF(Grid_BD!$B:$B,$A82,Grid_BD!$V:$V))),"")</f>
        <v>1</v>
      </c>
      <c r="S82" s="9"/>
      <c r="T82" s="231"/>
      <c r="U82" s="232">
        <f t="shared" si="6"/>
        <v>0.75189824038873199</v>
      </c>
      <c r="V82" s="232" t="str">
        <f>IFERROR(_xlfn.XLOOKUP($A82,Input_Raw!$A:$A,Input_Raw!$FG:$FG),"")</f>
        <v/>
      </c>
      <c r="W82" s="233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85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33">
        <f>IFERROR(_xlfn.XLOOKUP($D82,'Modelling New'!$D:$D,'Modelling New'!O:O),"")</f>
        <v>0.84205181214283342</v>
      </c>
      <c r="AF82" s="233">
        <f>IFERROR(_xlfn.XLOOKUP($D82,'Modelling New'!$D:$D,'Modelling New'!W:W),"")</f>
        <v>0.17437489609791174</v>
      </c>
      <c r="AG82" s="233">
        <f>IFERROR(_xlfn.XLOOKUP($D82,'Modelling New'!$D:$D,'Modelling New'!AE:AE),"")</f>
        <v>0.995</v>
      </c>
      <c r="AH82" s="233">
        <f>IFERROR(_xlfn.XLOOKUP($D82,'Modelling New'!$D:$D,'Modelling New'!AF:AF),"")</f>
        <v>0.995</v>
      </c>
      <c r="AI82" s="9"/>
      <c r="AJ82" s="9"/>
      <c r="AK82" s="256"/>
      <c r="AL82" s="256"/>
      <c r="AM82" s="256"/>
      <c r="AN82" s="230"/>
      <c r="AO82" s="233"/>
      <c r="AP82" s="233"/>
      <c r="AQ82" s="233"/>
      <c r="AR82" s="234">
        <f>_xlfn.XLOOKUP(D82,'Modelling New'!$D:$D,'Modelling New'!$N:$N)</f>
        <v>130</v>
      </c>
      <c r="AS82" s="234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29">
        <f>Table13[[#This Row],[Date]]-DAY(Table13[[#This Row],[Date]])+1</f>
        <v>45809</v>
      </c>
      <c r="E83" s="9">
        <f t="shared" si="5"/>
        <v>30</v>
      </c>
      <c r="F83" s="199">
        <f>IFERROR(_xlfn.XLOOKUP($A83,Input_Raw!$A:$A,Input_Raw!$FC:$FC),"")</f>
        <v>12.483333333333334</v>
      </c>
      <c r="G83" s="185">
        <f>IFERROR(_xlfn.XLOOKUP($A83,Input_Raw!$A:$A,Input_Raw!$CY:$CY),"")</f>
        <v>3.5445260666666658</v>
      </c>
      <c r="H83" s="185">
        <f>IFERROR(_xlfn.XLOOKUP($A83,Input_Raw!$A:$A,Input_Raw!$DA:$DA),"")</f>
        <v>0.60833843333333348</v>
      </c>
      <c r="I83" s="185">
        <f>IFERROR(_xlfn.XLOOKUP($A83,Input_Raw!$A:$A,Input_Raw!$CX:$CX),"")</f>
        <v>3.9411315916666636</v>
      </c>
      <c r="J83" s="185">
        <f>IFERROR(_xlfn.XLOOKUP($A83,Input_Raw!$A:$A,Input_Raw!$CZ:$CZ),"")</f>
        <v>0.48998669166666686</v>
      </c>
      <c r="K83" s="201">
        <f>IFERROR(_xlfn.XLOOKUP($A83,Input_Raw!$A:$A,Input_Raw!$DB:$DB),"")</f>
        <v>29.432803541315366</v>
      </c>
      <c r="L83" s="201">
        <f>IFERROR(_xlfn.XLOOKUP($A83,Input_Raw!$A:$A,Input_Raw!$DC:$DC),"")</f>
        <v>39.176878161888695</v>
      </c>
      <c r="M83" s="200">
        <f>IFERROR(_xlfn.XLOOKUP($A83,Input_Raw!$A:$A,Input_Raw!$DF:$DF),"")</f>
        <v>1.7927618043844864</v>
      </c>
      <c r="N83" s="200">
        <f>IFERROR(_xlfn.XLOOKUP($A83,Input_Raw!$A:$A,Input_Raw!$DG:$DG),"")</f>
        <v>4.0440000000000005</v>
      </c>
      <c r="O83" s="230">
        <f>IFERROR(1-(SUMIF(Plant_BD!$B:$B,$A83,Plant_BD!$AL:$AL)/($AA83+SUMIF(Plant_BD!$B:$B,$A83,Plant_BD!$AL:$AL))),"")</f>
        <v>0.99996462363690697</v>
      </c>
      <c r="P83" s="230"/>
      <c r="Q83" s="231">
        <f>IFERROR(1-(SUMIF(Grid_BD!$B:$B,$A83,Grid_BD!$V:$V)/($AA83+SUMIF(Grid_BD!$B:$B,$A83,Grid_BD!$V:$V))),"")</f>
        <v>1</v>
      </c>
      <c r="R83" s="230">
        <f>IFERROR(1-(SUMIF(Grid_BD!$B:$B,$A83,Grid_BD!$V:$V)/($AA83+SUMIF(Grid_BD!$B:$B,$A83,Grid_BD!$V:$V))),"")</f>
        <v>1</v>
      </c>
      <c r="S83" s="9"/>
      <c r="T83" s="231"/>
      <c r="U83" s="232">
        <f t="shared" si="6"/>
        <v>0.79343749176105316</v>
      </c>
      <c r="V83" s="232" t="str">
        <f>IFERROR(_xlfn.XLOOKUP($A83,Input_Raw!$A:$A,Input_Raw!$FG:$FG),"")</f>
        <v/>
      </c>
      <c r="W83" s="233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85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33">
        <f>IFERROR(_xlfn.XLOOKUP($D83,'Modelling New'!$D:$D,'Modelling New'!O:O),"")</f>
        <v>0.84205181214283342</v>
      </c>
      <c r="AF83" s="233">
        <f>IFERROR(_xlfn.XLOOKUP($D83,'Modelling New'!$D:$D,'Modelling New'!W:W),"")</f>
        <v>0.17437489609791174</v>
      </c>
      <c r="AG83" s="233">
        <f>IFERROR(_xlfn.XLOOKUP($D83,'Modelling New'!$D:$D,'Modelling New'!AE:AE),"")</f>
        <v>0.995</v>
      </c>
      <c r="AH83" s="233">
        <f>IFERROR(_xlfn.XLOOKUP($D83,'Modelling New'!$D:$D,'Modelling New'!AF:AF),"")</f>
        <v>0.995</v>
      </c>
      <c r="AI83" s="9"/>
      <c r="AJ83" s="9"/>
      <c r="AK83" s="256"/>
      <c r="AL83" s="256"/>
      <c r="AM83" s="256"/>
      <c r="AN83" s="230"/>
      <c r="AO83" s="233"/>
      <c r="AP83" s="233"/>
      <c r="AQ83" s="233"/>
      <c r="AR83" s="234">
        <f>_xlfn.XLOOKUP(D83,'Modelling New'!$D:$D,'Modelling New'!$N:$N)</f>
        <v>130</v>
      </c>
      <c r="AS83" s="234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29">
        <f>Table13[[#This Row],[Date]]-DAY(Table13[[#This Row],[Date]])+1</f>
        <v>45809</v>
      </c>
      <c r="E84" s="9">
        <f t="shared" si="5"/>
        <v>30</v>
      </c>
      <c r="F84" s="199">
        <f>IFERROR(_xlfn.XLOOKUP($A84,Input_Raw!$A:$A,Input_Raw!$FC:$FC),"")</f>
        <v>12.666666666666668</v>
      </c>
      <c r="G84" s="200">
        <f>IFERROR(_xlfn.XLOOKUP($A84,Input_Raw!$A:$A,Input_Raw!$CY:$CY),"")</f>
        <v>3.4232248749999949</v>
      </c>
      <c r="H84" s="200">
        <f>IFERROR(_xlfn.XLOOKUP($A84,Input_Raw!$A:$A,Input_Raw!$DA:$DA),"")</f>
        <v>0.58472015833333357</v>
      </c>
      <c r="I84" s="200">
        <f>IFERROR(_xlfn.XLOOKUP($A84,Input_Raw!$A:$A,Input_Raw!$CX:$CX),"")</f>
        <v>3.8326475416666637</v>
      </c>
      <c r="J84" s="200">
        <f>IFERROR(_xlfn.XLOOKUP($A84,Input_Raw!$A:$A,Input_Raw!$CZ:$CZ),"")</f>
        <v>0.47186016666666647</v>
      </c>
      <c r="K84" s="201">
        <f>IFERROR(_xlfn.XLOOKUP($A84,Input_Raw!$A:$A,Input_Raw!$DB:$DB),"")</f>
        <v>27.08454280300618</v>
      </c>
      <c r="L84" s="201">
        <f>IFERROR(_xlfn.XLOOKUP($A84,Input_Raw!$A:$A,Input_Raw!$DC:$DC),"")</f>
        <v>36.296210168242141</v>
      </c>
      <c r="M84" s="200">
        <f>IFERROR(_xlfn.XLOOKUP($A84,Input_Raw!$A:$A,Input_Raw!$DF:$DF),"")</f>
        <v>1.6485677133231131</v>
      </c>
      <c r="N84" s="200">
        <f>IFERROR(_xlfn.XLOOKUP($A84,Input_Raw!$A:$A,Input_Raw!$DG:$DG),"")</f>
        <v>4.8765000000000001</v>
      </c>
      <c r="O84" s="230">
        <f>IFERROR(1-(SUMIF(Plant_BD!$B:$B,$A84,Plant_BD!$AL:$AL)/($AA84+SUMIF(Plant_BD!$B:$B,$A84,Plant_BD!$AL:$AL))),"")</f>
        <v>1</v>
      </c>
      <c r="P84" s="230"/>
      <c r="Q84" s="231">
        <f>IFERROR(1-(SUMIF(Grid_BD!$B:$B,$A84,Grid_BD!$V:$V)/($AA84+SUMIF(Grid_BD!$B:$B,$A84,Grid_BD!$V:$V))),"")</f>
        <v>1</v>
      </c>
      <c r="R84" s="230">
        <f>IFERROR(1-(SUMIF(Grid_BD!$B:$B,$A84,Grid_BD!$V:$V)/($AA84+SUMIF(Grid_BD!$B:$B,$A84,Grid_BD!$V:$V))),"")</f>
        <v>1</v>
      </c>
      <c r="S84" s="9"/>
      <c r="T84" s="231"/>
      <c r="U84" s="232">
        <f t="shared" si="6"/>
        <v>0.80793448489471409</v>
      </c>
      <c r="V84" s="232" t="str">
        <f>IFERROR(_xlfn.XLOOKUP($A84,Input_Raw!$A:$A,Input_Raw!$FG:$FG),"")</f>
        <v/>
      </c>
      <c r="W84" s="233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85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33">
        <f>IFERROR(_xlfn.XLOOKUP($D84,'Modelling New'!$D:$D,'Modelling New'!O:O),"")</f>
        <v>0.84205181214283342</v>
      </c>
      <c r="AF84" s="233">
        <f>IFERROR(_xlfn.XLOOKUP($D84,'Modelling New'!$D:$D,'Modelling New'!W:W),"")</f>
        <v>0.17437489609791174</v>
      </c>
      <c r="AG84" s="233">
        <f>IFERROR(_xlfn.XLOOKUP($D84,'Modelling New'!$D:$D,'Modelling New'!AE:AE),"")</f>
        <v>0.995</v>
      </c>
      <c r="AH84" s="233">
        <f>IFERROR(_xlfn.XLOOKUP($D84,'Modelling New'!$D:$D,'Modelling New'!AF:AF),"")</f>
        <v>0.995</v>
      </c>
      <c r="AI84" s="9"/>
      <c r="AJ84" s="9"/>
      <c r="AK84" s="256"/>
      <c r="AL84" s="256"/>
      <c r="AM84" s="256"/>
      <c r="AN84" s="230"/>
      <c r="AO84" s="233"/>
      <c r="AP84" s="233"/>
      <c r="AQ84" s="233"/>
      <c r="AR84" s="234">
        <f>_xlfn.XLOOKUP(D84,'Modelling New'!$D:$D,'Modelling New'!$N:$N)</f>
        <v>130</v>
      </c>
      <c r="AS84" s="234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29">
        <f>Table13[[#This Row],[Date]]-DAY(Table13[[#This Row],[Date]])+1</f>
        <v>45809</v>
      </c>
      <c r="E85" s="9">
        <f t="shared" si="5"/>
        <v>30</v>
      </c>
      <c r="F85" s="199">
        <f>IFERROR(_xlfn.XLOOKUP($A85,Input_Raw!$A:$A,Input_Raw!$FC:$FC),"")</f>
        <v>12.666666666666668</v>
      </c>
      <c r="G85" s="185">
        <f>IFERROR(_xlfn.XLOOKUP($A85,Input_Raw!$A:$A,Input_Raw!$CY:$CY),"")</f>
        <v>6.091500899999998</v>
      </c>
      <c r="H85" s="185">
        <f>IFERROR(_xlfn.XLOOKUP($A85,Input_Raw!$A:$A,Input_Raw!$DA:$DA),"")</f>
        <v>1.0516083749999998</v>
      </c>
      <c r="I85" s="185">
        <f>IFERROR(_xlfn.XLOOKUP($A85,Input_Raw!$A:$A,Input_Raw!$CX:$CX),"")</f>
        <v>6.6175268083333307</v>
      </c>
      <c r="J85" s="185">
        <f>IFERROR(_xlfn.XLOOKUP($A85,Input_Raw!$A:$A,Input_Raw!$CZ:$CZ),"")</f>
        <v>0.84538910833333458</v>
      </c>
      <c r="K85" s="201">
        <f>IFERROR(_xlfn.XLOOKUP($A85,Input_Raw!$A:$A,Input_Raw!$DB:$DB),"")</f>
        <v>29.601305418719186</v>
      </c>
      <c r="L85" s="201">
        <f>IFERROR(_xlfn.XLOOKUP($A85,Input_Raw!$A:$A,Input_Raw!$DC:$DC),"")</f>
        <v>41.254690476190468</v>
      </c>
      <c r="M85" s="200">
        <f>IFERROR(_xlfn.XLOOKUP($A85,Input_Raw!$A:$A,Input_Raw!$DF:$DF),"")</f>
        <v>2.0490628078817741</v>
      </c>
      <c r="N85" s="200">
        <f>IFERROR(_xlfn.XLOOKUP($A85,Input_Raw!$A:$A,Input_Raw!$DG:$DG),"")</f>
        <v>4.6844999999999999</v>
      </c>
      <c r="O85" s="230">
        <f>IFERROR(1-(SUMIF(Plant_BD!$B:$B,$A85,Plant_BD!$AL:$AL)/($AA85+SUMIF(Plant_BD!$B:$B,$A85,Plant_BD!$AL:$AL))),"")</f>
        <v>1</v>
      </c>
      <c r="P85" s="230"/>
      <c r="Q85" s="231">
        <f>IFERROR(1-(SUMIF(Grid_BD!$B:$B,$A85,Grid_BD!$V:$V)/($AA85+SUMIF(Grid_BD!$B:$B,$A85,Grid_BD!$V:$V))),"")</f>
        <v>1</v>
      </c>
      <c r="R85" s="230">
        <f>IFERROR(1-(SUMIF(Grid_BD!$B:$B,$A85,Grid_BD!$V:$V)/($AA85+SUMIF(Grid_BD!$B:$B,$A85,Grid_BD!$V:$V))),"")</f>
        <v>1</v>
      </c>
      <c r="S85" s="9"/>
      <c r="T85" s="231"/>
      <c r="U85" s="232">
        <f t="shared" si="6"/>
        <v>0.76108180041846774</v>
      </c>
      <c r="V85" s="232" t="str">
        <f>IFERROR(_xlfn.XLOOKUP($A85,Input_Raw!$A:$A,Input_Raw!$FG:$FG),"")</f>
        <v/>
      </c>
      <c r="W85" s="233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85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33">
        <f>IFERROR(_xlfn.XLOOKUP($D85,'Modelling New'!$D:$D,'Modelling New'!O:O),"")</f>
        <v>0.84205181214283342</v>
      </c>
      <c r="AF85" s="233">
        <f>IFERROR(_xlfn.XLOOKUP($D85,'Modelling New'!$D:$D,'Modelling New'!W:W),"")</f>
        <v>0.17437489609791174</v>
      </c>
      <c r="AG85" s="233">
        <f>IFERROR(_xlfn.XLOOKUP($D85,'Modelling New'!$D:$D,'Modelling New'!AE:AE),"")</f>
        <v>0.995</v>
      </c>
      <c r="AH85" s="233">
        <f>IFERROR(_xlfn.XLOOKUP($D85,'Modelling New'!$D:$D,'Modelling New'!AF:AF),"")</f>
        <v>0.995</v>
      </c>
      <c r="AI85" s="9"/>
      <c r="AJ85" s="9"/>
      <c r="AK85" s="256"/>
      <c r="AL85" s="256"/>
      <c r="AM85" s="256"/>
      <c r="AN85" s="230"/>
      <c r="AO85" s="233"/>
      <c r="AP85" s="233"/>
      <c r="AQ85" s="233"/>
      <c r="AR85" s="234">
        <f>_xlfn.XLOOKUP(D85,'Modelling New'!$D:$D,'Modelling New'!$N:$N)</f>
        <v>130</v>
      </c>
      <c r="AS85" s="234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29">
        <f>Table13[[#This Row],[Date]]-DAY(Table13[[#This Row],[Date]])+1</f>
        <v>45809</v>
      </c>
      <c r="E86" s="9">
        <f t="shared" si="5"/>
        <v>30</v>
      </c>
      <c r="F86" s="199">
        <f>IFERROR(_xlfn.XLOOKUP($A86,Input_Raw!$A:$A,Input_Raw!$FC:$FC),"")</f>
        <v>12.5</v>
      </c>
      <c r="G86" s="200">
        <f>IFERROR(_xlfn.XLOOKUP($A86,Input_Raw!$A:$A,Input_Raw!$CY:$CY),"")</f>
        <v>4.8533310416666682</v>
      </c>
      <c r="H86" s="200">
        <f>IFERROR(_xlfn.XLOOKUP($A86,Input_Raw!$A:$A,Input_Raw!$DA:$DA),"")</f>
        <v>0.84240290833333398</v>
      </c>
      <c r="I86" s="200">
        <f>IFERROR(_xlfn.XLOOKUP($A86,Input_Raw!$A:$A,Input_Raw!$CX:$CX),"")</f>
        <v>5.3592932416666681</v>
      </c>
      <c r="J86" s="200">
        <f>IFERROR(_xlfn.XLOOKUP($A86,Input_Raw!$A:$A,Input_Raw!$CZ:$CZ),"")</f>
        <v>0.68392808333333399</v>
      </c>
      <c r="K86" s="201">
        <f>IFERROR(_xlfn.XLOOKUP($A86,Input_Raw!$A:$A,Input_Raw!$DB:$DB),"")</f>
        <v>29.185792634107244</v>
      </c>
      <c r="L86" s="201">
        <f>IFERROR(_xlfn.XLOOKUP($A86,Input_Raw!$A:$A,Input_Raw!$DC:$DC),"")</f>
        <v>39.942155724579699</v>
      </c>
      <c r="M86" s="200">
        <f>IFERROR(_xlfn.XLOOKUP($A86,Input_Raw!$A:$A,Input_Raw!$DF:$DF),"")</f>
        <v>1.9041088871096852</v>
      </c>
      <c r="N86" s="200">
        <f>IFERROR(_xlfn.XLOOKUP($A86,Input_Raw!$A:$A,Input_Raw!$DG:$DG),"")</f>
        <v>4.5525000000000002</v>
      </c>
      <c r="O86" s="230">
        <f>IFERROR(1-(SUMIF(Plant_BD!$B:$B,$A86,Plant_BD!$AL:$AL)/($AA86+SUMIF(Plant_BD!$B:$B,$A86,Plant_BD!$AL:$AL))),"")</f>
        <v>1</v>
      </c>
      <c r="P86" s="230"/>
      <c r="Q86" s="231">
        <f>IFERROR(1-(SUMIF(Grid_BD!$B:$B,$A86,Grid_BD!$V:$V)/($AA86+SUMIF(Grid_BD!$B:$B,$A86,Grid_BD!$V:$V))),"")</f>
        <v>1</v>
      </c>
      <c r="R86" s="230">
        <f>IFERROR(1-(SUMIF(Grid_BD!$B:$B,$A86,Grid_BD!$V:$V)/($AA86+SUMIF(Grid_BD!$B:$B,$A86,Grid_BD!$V:$V))),"")</f>
        <v>1</v>
      </c>
      <c r="S86" s="9"/>
      <c r="T86" s="231"/>
      <c r="U86" s="232">
        <f t="shared" si="6"/>
        <v>0.78976220301905131</v>
      </c>
      <c r="V86" s="232" t="str">
        <f>IFERROR(_xlfn.XLOOKUP($A86,Input_Raw!$A:$A,Input_Raw!$FG:$FG),"")</f>
        <v/>
      </c>
      <c r="W86" s="233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85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33">
        <f>IFERROR(_xlfn.XLOOKUP($D86,'Modelling New'!$D:$D,'Modelling New'!O:O),"")</f>
        <v>0.84205181214283342</v>
      </c>
      <c r="AF86" s="233">
        <f>IFERROR(_xlfn.XLOOKUP($D86,'Modelling New'!$D:$D,'Modelling New'!W:W),"")</f>
        <v>0.17437489609791174</v>
      </c>
      <c r="AG86" s="233">
        <f>IFERROR(_xlfn.XLOOKUP($D86,'Modelling New'!$D:$D,'Modelling New'!AE:AE),"")</f>
        <v>0.995</v>
      </c>
      <c r="AH86" s="233">
        <f>IFERROR(_xlfn.XLOOKUP($D86,'Modelling New'!$D:$D,'Modelling New'!AF:AF),"")</f>
        <v>0.995</v>
      </c>
      <c r="AI86" s="9"/>
      <c r="AJ86" s="9"/>
      <c r="AK86" s="256"/>
      <c r="AL86" s="256"/>
      <c r="AM86" s="256"/>
      <c r="AN86" s="230"/>
      <c r="AO86" s="233"/>
      <c r="AP86" s="233"/>
      <c r="AQ86" s="233"/>
      <c r="AR86" s="234">
        <f>_xlfn.XLOOKUP(D86,'Modelling New'!$D:$D,'Modelling New'!$N:$N)</f>
        <v>130</v>
      </c>
      <c r="AS86" s="234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29">
        <f>Table13[[#This Row],[Date]]-DAY(Table13[[#This Row],[Date]])+1</f>
        <v>45809</v>
      </c>
      <c r="E87" s="9">
        <f t="shared" si="5"/>
        <v>30</v>
      </c>
      <c r="F87" s="199">
        <f>IFERROR(_xlfn.XLOOKUP($A87,Input_Raw!$A:$A,Input_Raw!$FC:$FC),"")</f>
        <v>12.400000000000002</v>
      </c>
      <c r="G87" s="185">
        <f>IFERROR(_xlfn.XLOOKUP($A87,Input_Raw!$A:$A,Input_Raw!$CY:$CY),"")</f>
        <v>2.7058742083333334</v>
      </c>
      <c r="H87" s="185">
        <f>IFERROR(_xlfn.XLOOKUP($A87,Input_Raw!$A:$A,Input_Raw!$DA:$DA),"")</f>
        <v>0.47660349999999946</v>
      </c>
      <c r="I87" s="185">
        <f>IFERROR(_xlfn.XLOOKUP($A87,Input_Raw!$A:$A,Input_Raw!$CX:$CX),"")</f>
        <v>3.0655115333333334</v>
      </c>
      <c r="J87" s="185">
        <f>IFERROR(_xlfn.XLOOKUP($A87,Input_Raw!$A:$A,Input_Raw!$CZ:$CZ),"")</f>
        <v>0.38400318333333361</v>
      </c>
      <c r="K87" s="201">
        <f>IFERROR(_xlfn.XLOOKUP($A87,Input_Raw!$A:$A,Input_Raw!$DB:$DB),"")</f>
        <v>28.700523605150245</v>
      </c>
      <c r="L87" s="201">
        <f>IFERROR(_xlfn.XLOOKUP($A87,Input_Raw!$A:$A,Input_Raw!$DC:$DC),"")</f>
        <v>37.405570386266092</v>
      </c>
      <c r="M87" s="200">
        <f>IFERROR(_xlfn.XLOOKUP($A87,Input_Raw!$A:$A,Input_Raw!$DF:$DF),"")</f>
        <v>1.8765553648068662</v>
      </c>
      <c r="N87" s="200">
        <f>IFERROR(_xlfn.XLOOKUP($A87,Input_Raw!$A:$A,Input_Raw!$DG:$DG),"")</f>
        <v>4.4789999999999992</v>
      </c>
      <c r="O87" s="230">
        <f>IFERROR(1-(SUMIF(Plant_BD!$B:$B,$A87,Plant_BD!$AL:$AL)/($AA87+SUMIF(Plant_BD!$B:$B,$A87,Plant_BD!$AL:$AL))),"")</f>
        <v>1</v>
      </c>
      <c r="P87" s="230"/>
      <c r="Q87" s="231">
        <f>IFERROR(1-(SUMIF(Grid_BD!$B:$B,$A87,Grid_BD!$V:$V)/($AA87+SUMIF(Grid_BD!$B:$B,$A87,Grid_BD!$V:$V))),"")</f>
        <v>1</v>
      </c>
      <c r="R87" s="230">
        <f>IFERROR(1-(SUMIF(Grid_BD!$B:$B,$A87,Grid_BD!$V:$V)/($AA87+SUMIF(Grid_BD!$B:$B,$A87,Grid_BD!$V:$V))),"")</f>
        <v>1</v>
      </c>
      <c r="S87" s="9"/>
      <c r="T87" s="231"/>
      <c r="U87" s="232">
        <f t="shared" si="6"/>
        <v>0.8657880098394084</v>
      </c>
      <c r="V87" s="232" t="str">
        <f>IFERROR(_xlfn.XLOOKUP($A87,Input_Raw!$A:$A,Input_Raw!$FG:$FG),"")</f>
        <v/>
      </c>
      <c r="W87" s="233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85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33">
        <f>IFERROR(_xlfn.XLOOKUP($D87,'Modelling New'!$D:$D,'Modelling New'!O:O),"")</f>
        <v>0.84205181214283342</v>
      </c>
      <c r="AF87" s="233">
        <f>IFERROR(_xlfn.XLOOKUP($D87,'Modelling New'!$D:$D,'Modelling New'!W:W),"")</f>
        <v>0.17437489609791174</v>
      </c>
      <c r="AG87" s="233">
        <f>IFERROR(_xlfn.XLOOKUP($D87,'Modelling New'!$D:$D,'Modelling New'!AE:AE),"")</f>
        <v>0.995</v>
      </c>
      <c r="AH87" s="233">
        <f>IFERROR(_xlfn.XLOOKUP($D87,'Modelling New'!$D:$D,'Modelling New'!AF:AF),"")</f>
        <v>0.995</v>
      </c>
      <c r="AI87" s="9"/>
      <c r="AJ87" s="9"/>
      <c r="AK87" s="256"/>
      <c r="AL87" s="256"/>
      <c r="AM87" s="256"/>
      <c r="AN87" s="230"/>
      <c r="AO87" s="233"/>
      <c r="AP87" s="233"/>
      <c r="AQ87" s="233"/>
      <c r="AR87" s="234">
        <f>_xlfn.XLOOKUP(D87,'Modelling New'!$D:$D,'Modelling New'!$N:$N)</f>
        <v>130</v>
      </c>
      <c r="AS87" s="234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29">
        <f>Table13[[#This Row],[Date]]-DAY(Table13[[#This Row],[Date]])+1</f>
        <v>45809</v>
      </c>
      <c r="E88" s="9">
        <f t="shared" si="5"/>
        <v>30</v>
      </c>
      <c r="F88" s="199">
        <f>IFERROR(_xlfn.XLOOKUP($A88,Input_Raw!$A:$A,Input_Raw!$FC:$FC),"")</f>
        <v>12.583333333333334</v>
      </c>
      <c r="G88" s="200">
        <f>IFERROR(_xlfn.XLOOKUP($A88,Input_Raw!$A:$A,Input_Raw!$CY:$CY),"")</f>
        <v>2.7140857333333317</v>
      </c>
      <c r="H88" s="200">
        <f>IFERROR(_xlfn.XLOOKUP($A88,Input_Raw!$A:$A,Input_Raw!$DA:$DA),"")</f>
        <v>0.47810650000000032</v>
      </c>
      <c r="I88" s="200">
        <f>IFERROR(_xlfn.XLOOKUP($A88,Input_Raw!$A:$A,Input_Raw!$CX:$CX),"")</f>
        <v>3.0970984583333321</v>
      </c>
      <c r="J88" s="200">
        <f>IFERROR(_xlfn.XLOOKUP($A88,Input_Raw!$A:$A,Input_Raw!$CZ:$CZ),"")</f>
        <v>0.38046089166666675</v>
      </c>
      <c r="K88" s="201">
        <f>IFERROR(_xlfn.XLOOKUP($A88,Input_Raw!$A:$A,Input_Raw!$DB:$DB),"")</f>
        <v>27.911115451388891</v>
      </c>
      <c r="L88" s="201">
        <f>IFERROR(_xlfn.XLOOKUP($A88,Input_Raw!$A:$A,Input_Raw!$DC:$DC),"")</f>
        <v>36.74749045138887</v>
      </c>
      <c r="M88" s="200">
        <f>IFERROR(_xlfn.XLOOKUP($A88,Input_Raw!$A:$A,Input_Raw!$DF:$DF),"")</f>
        <v>1.8272382812500019</v>
      </c>
      <c r="N88" s="200">
        <f>IFERROR(_xlfn.XLOOKUP($A88,Input_Raw!$A:$A,Input_Raw!$DG:$DG),"")</f>
        <v>4.6604999999999999</v>
      </c>
      <c r="O88" s="230">
        <f>IFERROR(1-(SUMIF(Plant_BD!$B:$B,$A88,Plant_BD!$AL:$AL)/($AA88+SUMIF(Plant_BD!$B:$B,$A88,Plant_BD!$AL:$AL))),"")</f>
        <v>1</v>
      </c>
      <c r="P88" s="230"/>
      <c r="Q88" s="231">
        <f>IFERROR(1-(SUMIF(Grid_BD!$B:$B,$A88,Grid_BD!$V:$V)/($AA88+SUMIF(Grid_BD!$B:$B,$A88,Grid_BD!$V:$V))),"")</f>
        <v>1</v>
      </c>
      <c r="R88" s="230">
        <f>IFERROR(1-(SUMIF(Grid_BD!$B:$B,$A88,Grid_BD!$V:$V)/($AA88+SUMIF(Grid_BD!$B:$B,$A88,Grid_BD!$V:$V))),"")</f>
        <v>1</v>
      </c>
      <c r="S88" s="9"/>
      <c r="T88" s="231"/>
      <c r="U88" s="232">
        <f t="shared" si="6"/>
        <v>0.86264194616615364</v>
      </c>
      <c r="V88" s="232" t="str">
        <f>IFERROR(_xlfn.XLOOKUP($A88,Input_Raw!$A:$A,Input_Raw!$FG:$FG),"")</f>
        <v/>
      </c>
      <c r="W88" s="233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85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33">
        <f>IFERROR(_xlfn.XLOOKUP($D88,'Modelling New'!$D:$D,'Modelling New'!O:O),"")</f>
        <v>0.84205181214283342</v>
      </c>
      <c r="AF88" s="233">
        <f>IFERROR(_xlfn.XLOOKUP($D88,'Modelling New'!$D:$D,'Modelling New'!W:W),"")</f>
        <v>0.17437489609791174</v>
      </c>
      <c r="AG88" s="233">
        <f>IFERROR(_xlfn.XLOOKUP($D88,'Modelling New'!$D:$D,'Modelling New'!AE:AE),"")</f>
        <v>0.995</v>
      </c>
      <c r="AH88" s="233">
        <f>IFERROR(_xlfn.XLOOKUP($D88,'Modelling New'!$D:$D,'Modelling New'!AF:AF),"")</f>
        <v>0.995</v>
      </c>
      <c r="AI88" s="9"/>
      <c r="AJ88" s="9"/>
      <c r="AK88" s="256"/>
      <c r="AL88" s="256"/>
      <c r="AM88" s="256"/>
      <c r="AN88" s="230"/>
      <c r="AO88" s="233"/>
      <c r="AP88" s="233"/>
      <c r="AQ88" s="233"/>
      <c r="AR88" s="234">
        <f>_xlfn.XLOOKUP(D88,'Modelling New'!$D:$D,'Modelling New'!$N:$N)</f>
        <v>130</v>
      </c>
      <c r="AS88" s="234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29">
        <f>Table13[[#This Row],[Date]]-DAY(Table13[[#This Row],[Date]])+1</f>
        <v>45809</v>
      </c>
      <c r="E89" s="9">
        <f t="shared" si="5"/>
        <v>30</v>
      </c>
      <c r="F89" s="199">
        <f>IFERROR(_xlfn.XLOOKUP($A89,Input_Raw!$A:$A,Input_Raw!$FC:$FC),"")</f>
        <v>11.866666666666665</v>
      </c>
      <c r="G89" s="185">
        <f>IFERROR(_xlfn.XLOOKUP($A89,Input_Raw!$A:$A,Input_Raw!$CY:$CY),"")</f>
        <v>1.4411967166666673</v>
      </c>
      <c r="H89" s="185">
        <f>IFERROR(_xlfn.XLOOKUP($A89,Input_Raw!$A:$A,Input_Raw!$DA:$DA),"")</f>
        <v>0.24973651666666646</v>
      </c>
      <c r="I89" s="185">
        <f>IFERROR(_xlfn.XLOOKUP($A89,Input_Raw!$A:$A,Input_Raw!$CX:$CX),"")</f>
        <v>1.648576358333333</v>
      </c>
      <c r="J89" s="185">
        <f>IFERROR(_xlfn.XLOOKUP($A89,Input_Raw!$A:$A,Input_Raw!$CZ:$CZ),"")</f>
        <v>0.20362975833333302</v>
      </c>
      <c r="K89" s="201">
        <f>IFERROR(_xlfn.XLOOKUP($A89,Input_Raw!$A:$A,Input_Raw!$DB:$DB),"")</f>
        <v>26.246959854014591</v>
      </c>
      <c r="L89" s="201">
        <f>IFERROR(_xlfn.XLOOKUP($A89,Input_Raw!$A:$A,Input_Raw!$DC:$DC),"")</f>
        <v>32.732820072992688</v>
      </c>
      <c r="M89" s="200">
        <f>IFERROR(_xlfn.XLOOKUP($A89,Input_Raw!$A:$A,Input_Raw!$DF:$DF),"")</f>
        <v>1.0584021897810221</v>
      </c>
      <c r="N89" s="200">
        <f>IFERROR(_xlfn.XLOOKUP($A89,Input_Raw!$A:$A,Input_Raw!$DG:$DG),"")</f>
        <v>3.48</v>
      </c>
      <c r="O89" s="230">
        <f>IFERROR(1-(SUMIF(Plant_BD!$B:$B,$A89,Plant_BD!$AL:$AL)/($AA89+SUMIF(Plant_BD!$B:$B,$A89,Plant_BD!$AL:$AL))),"")</f>
        <v>1</v>
      </c>
      <c r="P89" s="230"/>
      <c r="Q89" s="231">
        <f>IFERROR(1-(SUMIF(Grid_BD!$B:$B,$A89,Grid_BD!$V:$V)/($AA89+SUMIF(Grid_BD!$B:$B,$A89,Grid_BD!$V:$V))),"")</f>
        <v>0.39448303822173258</v>
      </c>
      <c r="R89" s="230">
        <f>IFERROR(1-(SUMIF(Grid_BD!$B:$B,$A89,Grid_BD!$V:$V)/($AA89+SUMIF(Grid_BD!$B:$B,$A89,Grid_BD!$V:$V))),"")</f>
        <v>0.39448303822173258</v>
      </c>
      <c r="S89" s="9"/>
      <c r="T89" s="231"/>
      <c r="U89" s="232">
        <f t="shared" si="6"/>
        <v>0.33941571030446255</v>
      </c>
      <c r="V89" s="232" t="str">
        <f>IFERROR(_xlfn.XLOOKUP($A89,Input_Raw!$A:$A,Input_Raw!$FG:$FG),"")</f>
        <v/>
      </c>
      <c r="W89" s="233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85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33">
        <f>IFERROR(_xlfn.XLOOKUP($D89,'Modelling New'!$D:$D,'Modelling New'!O:O),"")</f>
        <v>0.84205181214283342</v>
      </c>
      <c r="AF89" s="233">
        <f>IFERROR(_xlfn.XLOOKUP($D89,'Modelling New'!$D:$D,'Modelling New'!W:W),"")</f>
        <v>0.17437489609791174</v>
      </c>
      <c r="AG89" s="233">
        <f>IFERROR(_xlfn.XLOOKUP($D89,'Modelling New'!$D:$D,'Modelling New'!AE:AE),"")</f>
        <v>0.995</v>
      </c>
      <c r="AH89" s="233">
        <f>IFERROR(_xlfn.XLOOKUP($D89,'Modelling New'!$D:$D,'Modelling New'!AF:AF),"")</f>
        <v>0.995</v>
      </c>
      <c r="AI89" s="9"/>
      <c r="AJ89" s="9"/>
      <c r="AK89" s="256"/>
      <c r="AL89" s="256"/>
      <c r="AM89" s="256"/>
      <c r="AN89" s="230"/>
      <c r="AO89" s="233"/>
      <c r="AP89" s="233"/>
      <c r="AQ89" s="233"/>
      <c r="AR89" s="234">
        <f>_xlfn.XLOOKUP(D89,'Modelling New'!$D:$D,'Modelling New'!$N:$N)</f>
        <v>130</v>
      </c>
      <c r="AS89" s="234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29">
        <f>Table13[[#This Row],[Date]]-DAY(Table13[[#This Row],[Date]])+1</f>
        <v>45809</v>
      </c>
      <c r="E90" s="9">
        <f t="shared" si="5"/>
        <v>30</v>
      </c>
      <c r="F90" s="199">
        <f>IFERROR(_xlfn.XLOOKUP($A90,Input_Raw!$A:$A,Input_Raw!$FC:$FC),"")</f>
        <v>12.233333333333333</v>
      </c>
      <c r="G90" s="200">
        <f>IFERROR(_xlfn.XLOOKUP($A90,Input_Raw!$A:$A,Input_Raw!$CY:$CY),"")</f>
        <v>2.7174229166666666</v>
      </c>
      <c r="H90" s="200">
        <f>IFERROR(_xlfn.XLOOKUP($A90,Input_Raw!$A:$A,Input_Raw!$DA:$DA),"")</f>
        <v>0.46287743333333359</v>
      </c>
      <c r="I90" s="200">
        <f>IFERROR(_xlfn.XLOOKUP($A90,Input_Raw!$A:$A,Input_Raw!$CX:$CX),"")</f>
        <v>3.0750884750000003</v>
      </c>
      <c r="J90" s="200">
        <f>IFERROR(_xlfn.XLOOKUP($A90,Input_Raw!$A:$A,Input_Raw!$CZ:$CZ),"")</f>
        <v>0.37643532500000032</v>
      </c>
      <c r="K90" s="201">
        <f>IFERROR(_xlfn.XLOOKUP($A90,Input_Raw!$A:$A,Input_Raw!$DB:$DB),"")</f>
        <v>27.207190146266385</v>
      </c>
      <c r="L90" s="201">
        <f>IFERROR(_xlfn.XLOOKUP($A90,Input_Raw!$A:$A,Input_Raw!$DC:$DC),"")</f>
        <v>35.735386451116192</v>
      </c>
      <c r="M90" s="200">
        <f>IFERROR(_xlfn.XLOOKUP($A90,Input_Raw!$A:$A,Input_Raw!$DF:$DF),"")</f>
        <v>1.0114318706697463</v>
      </c>
      <c r="N90" s="200">
        <f>IFERROR(_xlfn.XLOOKUP($A90,Input_Raw!$A:$A,Input_Raw!$DG:$DG),"")</f>
        <v>3.1095000000000002</v>
      </c>
      <c r="O90" s="230">
        <f>IFERROR(1-(SUMIF(Plant_BD!$B:$B,$A90,Plant_BD!$AL:$AL)/($AA90+SUMIF(Plant_BD!$B:$B,$A90,Plant_BD!$AL:$AL))),"")</f>
        <v>1</v>
      </c>
      <c r="P90" s="230"/>
      <c r="Q90" s="231">
        <f>IFERROR(1-(SUMIF(Grid_BD!$B:$B,$A90,Grid_BD!$V:$V)/($AA90+SUMIF(Grid_BD!$B:$B,$A90,Grid_BD!$V:$V))),"")</f>
        <v>1</v>
      </c>
      <c r="R90" s="230">
        <f>IFERROR(1-(SUMIF(Grid_BD!$B:$B,$A90,Grid_BD!$V:$V)/($AA90+SUMIF(Grid_BD!$B:$B,$A90,Grid_BD!$V:$V))),"")</f>
        <v>1</v>
      </c>
      <c r="S90" s="9"/>
      <c r="T90" s="231"/>
      <c r="U90" s="232">
        <f t="shared" si="6"/>
        <v>0.82347436590958856</v>
      </c>
      <c r="V90" s="232" t="str">
        <f>IFERROR(_xlfn.XLOOKUP($A90,Input_Raw!$A:$A,Input_Raw!$FG:$FG),"")</f>
        <v/>
      </c>
      <c r="W90" s="233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85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33">
        <f>IFERROR(_xlfn.XLOOKUP($D90,'Modelling New'!$D:$D,'Modelling New'!O:O),"")</f>
        <v>0.84205181214283342</v>
      </c>
      <c r="AF90" s="233">
        <f>IFERROR(_xlfn.XLOOKUP($D90,'Modelling New'!$D:$D,'Modelling New'!W:W),"")</f>
        <v>0.17437489609791174</v>
      </c>
      <c r="AG90" s="233">
        <f>IFERROR(_xlfn.XLOOKUP($D90,'Modelling New'!$D:$D,'Modelling New'!AE:AE),"")</f>
        <v>0.995</v>
      </c>
      <c r="AH90" s="233">
        <f>IFERROR(_xlfn.XLOOKUP($D90,'Modelling New'!$D:$D,'Modelling New'!AF:AF),"")</f>
        <v>0.995</v>
      </c>
      <c r="AI90" s="9"/>
      <c r="AJ90" s="9"/>
      <c r="AK90" s="256"/>
      <c r="AL90" s="256"/>
      <c r="AM90" s="256"/>
      <c r="AN90" s="230"/>
      <c r="AO90" s="233"/>
      <c r="AP90" s="233"/>
      <c r="AQ90" s="233"/>
      <c r="AR90" s="234">
        <f>_xlfn.XLOOKUP(D90,'Modelling New'!$D:$D,'Modelling New'!$N:$N)</f>
        <v>130</v>
      </c>
      <c r="AS90" s="234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29">
        <f>Table13[[#This Row],[Date]]-DAY(Table13[[#This Row],[Date]])+1</f>
        <v>45809</v>
      </c>
      <c r="E91" s="9">
        <f t="shared" si="5"/>
        <v>30</v>
      </c>
      <c r="F91" s="199">
        <f>IFERROR(_xlfn.XLOOKUP($A91,Input_Raw!$A:$A,Input_Raw!$FC:$FC),"")</f>
        <v>12.016666666666669</v>
      </c>
      <c r="G91" s="185">
        <f>IFERROR(_xlfn.XLOOKUP($A91,Input_Raw!$A:$A,Input_Raw!$CY:$CY),"")</f>
        <v>1.3215909416666682</v>
      </c>
      <c r="H91" s="185">
        <f>IFERROR(_xlfn.XLOOKUP($A91,Input_Raw!$A:$A,Input_Raw!$DA:$DA),"")</f>
        <v>0.20202194166666657</v>
      </c>
      <c r="I91" s="185">
        <f>IFERROR(_xlfn.XLOOKUP($A91,Input_Raw!$A:$A,Input_Raw!$CX:$CX),"")</f>
        <v>1.523932058333334</v>
      </c>
      <c r="J91" s="185">
        <f>IFERROR(_xlfn.XLOOKUP($A91,Input_Raw!$A:$A,Input_Raw!$CZ:$CZ),"")</f>
        <v>0.21145041666666675</v>
      </c>
      <c r="K91" s="201">
        <f>IFERROR(_xlfn.XLOOKUP($A91,Input_Raw!$A:$A,Input_Raw!$DB:$DB),"")</f>
        <v>25.633494176372743</v>
      </c>
      <c r="L91" s="201">
        <f>IFERROR(_xlfn.XLOOKUP($A91,Input_Raw!$A:$A,Input_Raw!$DC:$DC),"")</f>
        <v>31.268658485856918</v>
      </c>
      <c r="M91" s="200">
        <f>IFERROR(_xlfn.XLOOKUP($A91,Input_Raw!$A:$A,Input_Raw!$DF:$DF),"")</f>
        <v>1.0770923460898514</v>
      </c>
      <c r="N91" s="200">
        <f>IFERROR(_xlfn.XLOOKUP($A91,Input_Raw!$A:$A,Input_Raw!$DG:$DG),"")</f>
        <v>3.0179999999999998</v>
      </c>
      <c r="O91" s="230">
        <f>IFERROR(1-(SUMIF(Plant_BD!$B:$B,$A91,Plant_BD!$AL:$AL)/($AA91+SUMIF(Plant_BD!$B:$B,$A91,Plant_BD!$AL:$AL))),"")</f>
        <v>1</v>
      </c>
      <c r="P91" s="230"/>
      <c r="Q91" s="231">
        <f>IFERROR(1-(SUMIF(Grid_BD!$B:$B,$A91,Grid_BD!$V:$V)/($AA91+SUMIF(Grid_BD!$B:$B,$A91,Grid_BD!$V:$V))),"")</f>
        <v>1</v>
      </c>
      <c r="R91" s="230">
        <f>IFERROR(1-(SUMIF(Grid_BD!$B:$B,$A91,Grid_BD!$V:$V)/($AA91+SUMIF(Grid_BD!$B:$B,$A91,Grid_BD!$V:$V))),"")</f>
        <v>1</v>
      </c>
      <c r="S91" s="9"/>
      <c r="T91" s="231"/>
      <c r="U91" s="232">
        <f t="shared" si="6"/>
        <v>0.78968115472915401</v>
      </c>
      <c r="V91" s="232" t="str">
        <f>IFERROR(_xlfn.XLOOKUP($A91,Input_Raw!$A:$A,Input_Raw!$FG:$FG),"")</f>
        <v/>
      </c>
      <c r="W91" s="233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85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33">
        <f>IFERROR(_xlfn.XLOOKUP($D91,'Modelling New'!$D:$D,'Modelling New'!O:O),"")</f>
        <v>0.84205181214283342</v>
      </c>
      <c r="AF91" s="233">
        <f>IFERROR(_xlfn.XLOOKUP($D91,'Modelling New'!$D:$D,'Modelling New'!W:W),"")</f>
        <v>0.17437489609791174</v>
      </c>
      <c r="AG91" s="233">
        <f>IFERROR(_xlfn.XLOOKUP($D91,'Modelling New'!$D:$D,'Modelling New'!AE:AE),"")</f>
        <v>0.995</v>
      </c>
      <c r="AH91" s="233">
        <f>IFERROR(_xlfn.XLOOKUP($D91,'Modelling New'!$D:$D,'Modelling New'!AF:AF),"")</f>
        <v>0.995</v>
      </c>
      <c r="AI91" s="9"/>
      <c r="AJ91" s="9"/>
      <c r="AK91" s="256"/>
      <c r="AL91" s="256"/>
      <c r="AM91" s="256"/>
      <c r="AN91" s="230"/>
      <c r="AO91" s="233"/>
      <c r="AP91" s="233"/>
      <c r="AQ91" s="233"/>
      <c r="AR91" s="234">
        <f>_xlfn.XLOOKUP(D91,'Modelling New'!$D:$D,'Modelling New'!$N:$N)</f>
        <v>130</v>
      </c>
      <c r="AS91" s="234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29">
        <f>Table13[[#This Row],[Date]]-DAY(Table13[[#This Row],[Date]])+1</f>
        <v>45809</v>
      </c>
      <c r="E92" s="9">
        <f t="shared" si="5"/>
        <v>30</v>
      </c>
      <c r="F92" s="199">
        <f>IFERROR(_xlfn.XLOOKUP($A92,Input_Raw!$A:$A,Input_Raw!$FC:$FC),"")</f>
        <v>12.250000000000002</v>
      </c>
      <c r="G92" s="200">
        <f>IFERROR(_xlfn.XLOOKUP($A92,Input_Raw!$A:$A,Input_Raw!$CY:$CY),"")</f>
        <v>4.4129311916666634</v>
      </c>
      <c r="H92" s="200">
        <f>IFERROR(_xlfn.XLOOKUP($A92,Input_Raw!$A:$A,Input_Raw!$DA:$DA),"")</f>
        <v>0.69915386666666701</v>
      </c>
      <c r="I92" s="200">
        <f>IFERROR(_xlfn.XLOOKUP($A92,Input_Raw!$A:$A,Input_Raw!$CX:$CX),"")</f>
        <v>4.8449696416666681</v>
      </c>
      <c r="J92" s="200">
        <f>IFERROR(_xlfn.XLOOKUP($A92,Input_Raw!$A:$A,Input_Raw!$CZ:$CZ),"")</f>
        <v>0.56129007500000028</v>
      </c>
      <c r="K92" s="201">
        <f>IFERROR(_xlfn.XLOOKUP($A92,Input_Raw!$A:$A,Input_Raw!$DB:$DB),"")</f>
        <v>27.773941908713745</v>
      </c>
      <c r="L92" s="201">
        <f>IFERROR(_xlfn.XLOOKUP($A92,Input_Raw!$A:$A,Input_Raw!$DC:$DC),"")</f>
        <v>39.212102074688787</v>
      </c>
      <c r="M92" s="200">
        <f>IFERROR(_xlfn.XLOOKUP($A92,Input_Raw!$A:$A,Input_Raw!$DF:$DF),"")</f>
        <v>1.2008576763485475</v>
      </c>
      <c r="N92" s="200">
        <f>IFERROR(_xlfn.XLOOKUP($A92,Input_Raw!$A:$A,Input_Raw!$DG:$DG),"")</f>
        <v>3.2265000000000001</v>
      </c>
      <c r="O92" s="230">
        <f>IFERROR(1-(SUMIF(Plant_BD!$B:$B,$A92,Plant_BD!$AL:$AL)/($AA92+SUMIF(Plant_BD!$B:$B,$A92,Plant_BD!$AL:$AL))),"")</f>
        <v>0.98459811846331968</v>
      </c>
      <c r="P92" s="230"/>
      <c r="Q92" s="231">
        <f>IFERROR(1-(SUMIF(Grid_BD!$B:$B,$A92,Grid_BD!$V:$V)/($AA92+SUMIF(Grid_BD!$B:$B,$A92,Grid_BD!$V:$V))),"")</f>
        <v>1</v>
      </c>
      <c r="R92" s="230">
        <f>IFERROR(1-(SUMIF(Grid_BD!$B:$B,$A92,Grid_BD!$V:$V)/($AA92+SUMIF(Grid_BD!$B:$B,$A92,Grid_BD!$V:$V))),"")</f>
        <v>1</v>
      </c>
      <c r="S92" s="9"/>
      <c r="T92" s="231"/>
      <c r="U92" s="232">
        <f t="shared" si="6"/>
        <v>0.79128033810201204</v>
      </c>
      <c r="V92" s="232" t="str">
        <f>IFERROR(_xlfn.XLOOKUP($A92,Input_Raw!$A:$A,Input_Raw!$FG:$FG),"")</f>
        <v/>
      </c>
      <c r="W92" s="233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85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33">
        <f>IFERROR(_xlfn.XLOOKUP($D92,'Modelling New'!$D:$D,'Modelling New'!O:O),"")</f>
        <v>0.84205181214283342</v>
      </c>
      <c r="AF92" s="233">
        <f>IFERROR(_xlfn.XLOOKUP($D92,'Modelling New'!$D:$D,'Modelling New'!W:W),"")</f>
        <v>0.17437489609791174</v>
      </c>
      <c r="AG92" s="233">
        <f>IFERROR(_xlfn.XLOOKUP($D92,'Modelling New'!$D:$D,'Modelling New'!AE:AE),"")</f>
        <v>0.995</v>
      </c>
      <c r="AH92" s="233">
        <f>IFERROR(_xlfn.XLOOKUP($D92,'Modelling New'!$D:$D,'Modelling New'!AF:AF),"")</f>
        <v>0.995</v>
      </c>
      <c r="AI92" s="9"/>
      <c r="AJ92" s="9"/>
      <c r="AK92" s="256"/>
      <c r="AL92" s="256"/>
      <c r="AM92" s="256"/>
      <c r="AN92" s="230"/>
      <c r="AO92" s="233"/>
      <c r="AP92" s="233"/>
      <c r="AQ92" s="233"/>
      <c r="AR92" s="234">
        <f>_xlfn.XLOOKUP(D92,'Modelling New'!$D:$D,'Modelling New'!$N:$N)</f>
        <v>130</v>
      </c>
      <c r="AS92" s="234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29">
        <f>Table13[[#This Row],[Date]]-DAY(Table13[[#This Row],[Date]])+1</f>
        <v>45809</v>
      </c>
      <c r="E93" s="9">
        <f t="shared" si="5"/>
        <v>30</v>
      </c>
      <c r="F93" s="199">
        <f>IFERROR(_xlfn.XLOOKUP($A93,Input_Raw!$A:$A,Input_Raw!$FC:$FC),"")</f>
        <v>11.816666666666666</v>
      </c>
      <c r="G93" s="185">
        <f>IFERROR(_xlfn.XLOOKUP($A93,Input_Raw!$A:$A,Input_Raw!$CY:$CY),"")</f>
        <v>4.0970428583333351</v>
      </c>
      <c r="H93" s="185">
        <f>IFERROR(_xlfn.XLOOKUP($A93,Input_Raw!$A:$A,Input_Raw!$DA:$DA),"")</f>
        <v>0.65818322499999993</v>
      </c>
      <c r="I93" s="185">
        <f>IFERROR(_xlfn.XLOOKUP($A93,Input_Raw!$A:$A,Input_Raw!$CX:$CX),"")</f>
        <v>4.474961733333334</v>
      </c>
      <c r="J93" s="185">
        <f>IFERROR(_xlfn.XLOOKUP($A93,Input_Raw!$A:$A,Input_Raw!$CZ:$CZ),"")</f>
        <v>0.53022984166666687</v>
      </c>
      <c r="K93" s="201">
        <f>IFERROR(_xlfn.XLOOKUP($A93,Input_Raw!$A:$A,Input_Raw!$DB:$DB),"")</f>
        <v>27.736017887563875</v>
      </c>
      <c r="L93" s="201">
        <f>IFERROR(_xlfn.XLOOKUP($A93,Input_Raw!$A:$A,Input_Raw!$DC:$DC),"")</f>
        <v>37.930468483815993</v>
      </c>
      <c r="M93" s="200">
        <f>IFERROR(_xlfn.XLOOKUP($A93,Input_Raw!$A:$A,Input_Raw!$DF:$DF),"")</f>
        <v>1.3514936115843277</v>
      </c>
      <c r="N93" s="200">
        <f>IFERROR(_xlfn.XLOOKUP($A93,Input_Raw!$A:$A,Input_Raw!$DG:$DG),"")</f>
        <v>3.4140000000000001</v>
      </c>
      <c r="O93" s="230">
        <f>IFERROR(1-(SUMIF(Plant_BD!$B:$B,$A93,Plant_BD!$AL:$AL)/($AA93+SUMIF(Plant_BD!$B:$B,$A93,Plant_BD!$AL:$AL))),"")</f>
        <v>1</v>
      </c>
      <c r="P93" s="230"/>
      <c r="Q93" s="231">
        <f>IFERROR(1-(SUMIF(Grid_BD!$B:$B,$A93,Grid_BD!$V:$V)/($AA93+SUMIF(Grid_BD!$B:$B,$A93,Grid_BD!$V:$V))),"")</f>
        <v>1</v>
      </c>
      <c r="R93" s="230">
        <f>IFERROR(1-(SUMIF(Grid_BD!$B:$B,$A93,Grid_BD!$V:$V)/($AA93+SUMIF(Grid_BD!$B:$B,$A93,Grid_BD!$V:$V))),"")</f>
        <v>1</v>
      </c>
      <c r="S93" s="9"/>
      <c r="T93" s="231"/>
      <c r="U93" s="232">
        <f t="shared" si="6"/>
        <v>0.79887093513653484</v>
      </c>
      <c r="V93" s="232" t="str">
        <f>IFERROR(_xlfn.XLOOKUP($A93,Input_Raw!$A:$A,Input_Raw!$FG:$FG),"")</f>
        <v/>
      </c>
      <c r="W93" s="233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85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33">
        <f>IFERROR(_xlfn.XLOOKUP($D93,'Modelling New'!$D:$D,'Modelling New'!O:O),"")</f>
        <v>0.84205181214283342</v>
      </c>
      <c r="AF93" s="233">
        <f>IFERROR(_xlfn.XLOOKUP($D93,'Modelling New'!$D:$D,'Modelling New'!W:W),"")</f>
        <v>0.17437489609791174</v>
      </c>
      <c r="AG93" s="233">
        <f>IFERROR(_xlfn.XLOOKUP($D93,'Modelling New'!$D:$D,'Modelling New'!AE:AE),"")</f>
        <v>0.995</v>
      </c>
      <c r="AH93" s="233">
        <f>IFERROR(_xlfn.XLOOKUP($D93,'Modelling New'!$D:$D,'Modelling New'!AF:AF),"")</f>
        <v>0.995</v>
      </c>
      <c r="AI93" s="9"/>
      <c r="AJ93" s="9"/>
      <c r="AK93" s="256"/>
      <c r="AL93" s="256"/>
      <c r="AM93" s="256"/>
      <c r="AN93" s="230"/>
      <c r="AO93" s="233"/>
      <c r="AP93" s="233"/>
      <c r="AQ93" s="233"/>
      <c r="AR93" s="234">
        <f>_xlfn.XLOOKUP(D93,'Modelling New'!$D:$D,'Modelling New'!$N:$N)</f>
        <v>130</v>
      </c>
      <c r="AS93" s="234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29">
        <f>Table13[[#This Row],[Date]]-DAY(Table13[[#This Row],[Date]])+1</f>
        <v>45809</v>
      </c>
      <c r="E94" s="9">
        <f t="shared" si="5"/>
        <v>30</v>
      </c>
      <c r="F94" s="199">
        <f>IFERROR(_xlfn.XLOOKUP($A94,Input_Raw!$A:$A,Input_Raw!$FC:$FC),"")</f>
        <v>11.966666666666665</v>
      </c>
      <c r="G94" s="200">
        <f>IFERROR(_xlfn.XLOOKUP($A94,Input_Raw!$A:$A,Input_Raw!$CY:$CY),"")</f>
        <v>2.4143487249999982</v>
      </c>
      <c r="H94" s="200">
        <f>IFERROR(_xlfn.XLOOKUP($A94,Input_Raw!$A:$A,Input_Raw!$DA:$DA),"")</f>
        <v>0.39063078333333362</v>
      </c>
      <c r="I94" s="200">
        <f>IFERROR(_xlfn.XLOOKUP($A94,Input_Raw!$A:$A,Input_Raw!$CX:$CX),"")</f>
        <v>2.6656535333333329</v>
      </c>
      <c r="J94" s="200">
        <f>IFERROR(_xlfn.XLOOKUP($A94,Input_Raw!$A:$A,Input_Raw!$CZ:$CZ),"")</f>
        <v>0.32432796666666686</v>
      </c>
      <c r="K94" s="201">
        <f>IFERROR(_xlfn.XLOOKUP($A94,Input_Raw!$A:$A,Input_Raw!$DB:$DB),"")</f>
        <v>26.209474548440113</v>
      </c>
      <c r="L94" s="201">
        <f>IFERROR(_xlfn.XLOOKUP($A94,Input_Raw!$A:$A,Input_Raw!$DC:$DC),"")</f>
        <v>33.751943349753681</v>
      </c>
      <c r="M94" s="200">
        <f>IFERROR(_xlfn.XLOOKUP($A94,Input_Raw!$A:$A,Input_Raw!$DF:$DF),"")</f>
        <v>1.6407216748768469</v>
      </c>
      <c r="N94" s="200">
        <f>IFERROR(_xlfn.XLOOKUP($A94,Input_Raw!$A:$A,Input_Raw!$DG:$DG),"")</f>
        <v>4.9094999999999995</v>
      </c>
      <c r="O94" s="230">
        <f>IFERROR(1-(SUMIF(Plant_BD!$B:$B,$A94,Plant_BD!$AL:$AL)/($AA94+SUMIF(Plant_BD!$B:$B,$A94,Plant_BD!$AL:$AL))),"")</f>
        <v>0.99896765305749324</v>
      </c>
      <c r="P94" s="230"/>
      <c r="Q94" s="231">
        <f>IFERROR(1-(SUMIF(Grid_BD!$B:$B,$A94,Grid_BD!$V:$V)/($AA94+SUMIF(Grid_BD!$B:$B,$A94,Grid_BD!$V:$V))),"")</f>
        <v>1</v>
      </c>
      <c r="R94" s="230">
        <f>IFERROR(1-(SUMIF(Grid_BD!$B:$B,$A94,Grid_BD!$V:$V)/($AA94+SUMIF(Grid_BD!$B:$B,$A94,Grid_BD!$V:$V))),"")</f>
        <v>1</v>
      </c>
      <c r="S94" s="9"/>
      <c r="T94" s="231"/>
      <c r="U94" s="232">
        <f t="shared" si="6"/>
        <v>0.82741649397867134</v>
      </c>
      <c r="V94" s="232" t="str">
        <f>IFERROR(_xlfn.XLOOKUP($A94,Input_Raw!$A:$A,Input_Raw!$FG:$FG),"")</f>
        <v/>
      </c>
      <c r="W94" s="233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85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33">
        <f>IFERROR(_xlfn.XLOOKUP($D94,'Modelling New'!$D:$D,'Modelling New'!O:O),"")</f>
        <v>0.84205181214283342</v>
      </c>
      <c r="AF94" s="233">
        <f>IFERROR(_xlfn.XLOOKUP($D94,'Modelling New'!$D:$D,'Modelling New'!W:W),"")</f>
        <v>0.17437489609791174</v>
      </c>
      <c r="AG94" s="233">
        <f>IFERROR(_xlfn.XLOOKUP($D94,'Modelling New'!$D:$D,'Modelling New'!AE:AE),"")</f>
        <v>0.995</v>
      </c>
      <c r="AH94" s="233">
        <f>IFERROR(_xlfn.XLOOKUP($D94,'Modelling New'!$D:$D,'Modelling New'!AF:AF),"")</f>
        <v>0.995</v>
      </c>
      <c r="AI94" s="9"/>
      <c r="AJ94" s="9"/>
      <c r="AK94" s="256"/>
      <c r="AL94" s="256"/>
      <c r="AM94" s="256"/>
      <c r="AN94" s="230"/>
      <c r="AO94" s="233"/>
      <c r="AP94" s="233"/>
      <c r="AQ94" s="233"/>
      <c r="AR94" s="234">
        <f>_xlfn.XLOOKUP(D94,'Modelling New'!$D:$D,'Modelling New'!$N:$N)</f>
        <v>130</v>
      </c>
      <c r="AS94" s="234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29">
        <f>Table13[[#This Row],[Date]]-DAY(Table13[[#This Row],[Date]])+1</f>
        <v>45809</v>
      </c>
      <c r="E95" s="9">
        <f t="shared" si="5"/>
        <v>30</v>
      </c>
      <c r="F95" s="199">
        <f>IFERROR(_xlfn.XLOOKUP($A95,Input_Raw!$A:$A,Input_Raw!$FC:$FC),"")</f>
        <v>12.316666666666668</v>
      </c>
      <c r="G95" s="185">
        <f>IFERROR(_xlfn.XLOOKUP($A95,Input_Raw!$A:$A,Input_Raw!$CY:$CY),"")</f>
        <v>2.6150213999999998</v>
      </c>
      <c r="H95" s="185">
        <f>IFERROR(_xlfn.XLOOKUP($A95,Input_Raw!$A:$A,Input_Raw!$DA:$DA),"")</f>
        <v>0.4316866749999998</v>
      </c>
      <c r="I95" s="185">
        <f>IFERROR(_xlfn.XLOOKUP($A95,Input_Raw!$A:$A,Input_Raw!$CX:$CX),"")</f>
        <v>2.9607828000000005</v>
      </c>
      <c r="J95" s="185">
        <f>IFERROR(_xlfn.XLOOKUP($A95,Input_Raw!$A:$A,Input_Raw!$CZ:$CZ),"")</f>
        <v>0.34034194999999989</v>
      </c>
      <c r="K95" s="201">
        <f>IFERROR(_xlfn.XLOOKUP($A95,Input_Raw!$A:$A,Input_Raw!$DB:$DB),"")</f>
        <v>27.048284789643983</v>
      </c>
      <c r="L95" s="201">
        <f>IFERROR(_xlfn.XLOOKUP($A95,Input_Raw!$A:$A,Input_Raw!$DC:$DC),"")</f>
        <v>35.160705097087373</v>
      </c>
      <c r="M95" s="200">
        <f>IFERROR(_xlfn.XLOOKUP($A95,Input_Raw!$A:$A,Input_Raw!$DF:$DF),"")</f>
        <v>1.2229235436893213</v>
      </c>
      <c r="N95" s="200">
        <f>IFERROR(_xlfn.XLOOKUP($A95,Input_Raw!$A:$A,Input_Raw!$DG:$DG),"")</f>
        <v>3.3585000000000003</v>
      </c>
      <c r="O95" s="230">
        <f>IFERROR(1-(SUMIF(Plant_BD!$B:$B,$A95,Plant_BD!$AL:$AL)/($AA95+SUMIF(Plant_BD!$B:$B,$A95,Plant_BD!$AL:$AL))),"")</f>
        <v>0.99881864941027798</v>
      </c>
      <c r="P95" s="230"/>
      <c r="Q95" s="231">
        <f>IFERROR(1-(SUMIF(Grid_BD!$B:$B,$A95,Grid_BD!$V:$V)/($AA95+SUMIF(Grid_BD!$B:$B,$A95,Grid_BD!$V:$V))),"")</f>
        <v>1</v>
      </c>
      <c r="R95" s="230">
        <f>IFERROR(1-(SUMIF(Grid_BD!$B:$B,$A95,Grid_BD!$V:$V)/($AA95+SUMIF(Grid_BD!$B:$B,$A95,Grid_BD!$V:$V))),"")</f>
        <v>1</v>
      </c>
      <c r="S95" s="9"/>
      <c r="T95" s="231"/>
      <c r="U95" s="232">
        <f t="shared" si="6"/>
        <v>0.84318991117269126</v>
      </c>
      <c r="V95" s="232" t="str">
        <f>IFERROR(_xlfn.XLOOKUP($A95,Input_Raw!$A:$A,Input_Raw!$FG:$FG),"")</f>
        <v/>
      </c>
      <c r="W95" s="233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85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33">
        <f>IFERROR(_xlfn.XLOOKUP($D95,'Modelling New'!$D:$D,'Modelling New'!O:O),"")</f>
        <v>0.84205181214283342</v>
      </c>
      <c r="AF95" s="233">
        <f>IFERROR(_xlfn.XLOOKUP($D95,'Modelling New'!$D:$D,'Modelling New'!W:W),"")</f>
        <v>0.17437489609791174</v>
      </c>
      <c r="AG95" s="233">
        <f>IFERROR(_xlfn.XLOOKUP($D95,'Modelling New'!$D:$D,'Modelling New'!AE:AE),"")</f>
        <v>0.995</v>
      </c>
      <c r="AH95" s="233">
        <f>IFERROR(_xlfn.XLOOKUP($D95,'Modelling New'!$D:$D,'Modelling New'!AF:AF),"")</f>
        <v>0.995</v>
      </c>
      <c r="AI95" s="9"/>
      <c r="AJ95" s="9"/>
      <c r="AK95" s="256"/>
      <c r="AL95" s="256"/>
      <c r="AM95" s="256"/>
      <c r="AN95" s="230"/>
      <c r="AO95" s="233"/>
      <c r="AP95" s="233"/>
      <c r="AQ95" s="233"/>
      <c r="AR95" s="234">
        <f>_xlfn.XLOOKUP(D95,'Modelling New'!$D:$D,'Modelling New'!$N:$N)</f>
        <v>130</v>
      </c>
      <c r="AS95" s="234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29">
        <f>Table13[[#This Row],[Date]]-DAY(Table13[[#This Row],[Date]])+1</f>
        <v>45839</v>
      </c>
      <c r="E96" s="9">
        <f t="shared" si="5"/>
        <v>31</v>
      </c>
      <c r="F96" s="199">
        <f>IFERROR(_xlfn.XLOOKUP($A96,Input_Raw!$A:$A,Input_Raw!$FC:$FC),"")</f>
        <v>12.283333333333335</v>
      </c>
      <c r="G96" s="200">
        <f>IFERROR(_xlfn.XLOOKUP($A96,Input_Raw!$A:$A,Input_Raw!$CY:$CY),"")</f>
        <v>3.1193243583333343</v>
      </c>
      <c r="H96" s="200">
        <f>IFERROR(_xlfn.XLOOKUP($A96,Input_Raw!$A:$A,Input_Raw!$DA:$DA),"")</f>
        <v>0.52606198333333332</v>
      </c>
      <c r="I96" s="200">
        <f>IFERROR(_xlfn.XLOOKUP($A96,Input_Raw!$A:$A,Input_Raw!$CX:$CX),"")</f>
        <v>3.5154207000000017</v>
      </c>
      <c r="J96" s="200">
        <f>IFERROR(_xlfn.XLOOKUP($A96,Input_Raw!$A:$A,Input_Raw!$CZ:$CZ),"")</f>
        <v>0.43490849166666712</v>
      </c>
      <c r="K96" s="201">
        <f>IFERROR(_xlfn.XLOOKUP($A96,Input_Raw!$A:$A,Input_Raw!$DB:$DB),"")</f>
        <v>27.060658119658076</v>
      </c>
      <c r="L96" s="201">
        <f>IFERROR(_xlfn.XLOOKUP($A96,Input_Raw!$A:$A,Input_Raw!$DC:$DC),"")</f>
        <v>36.056305555555568</v>
      </c>
      <c r="M96" s="200">
        <f>IFERROR(_xlfn.XLOOKUP($A96,Input_Raw!$A:$A,Input_Raw!$DF:$DF),"")</f>
        <v>1.7951961538461534</v>
      </c>
      <c r="N96" s="200">
        <f>IFERROR(_xlfn.XLOOKUP($A96,Input_Raw!$A:$A,Input_Raw!$DG:$DG),"")</f>
        <v>4.5914999999999999</v>
      </c>
      <c r="O96" s="230">
        <f>IFERROR(1-(SUMIF(Plant_BD!$B:$B,$A96,Plant_BD!$AL:$AL)/($AA96+SUMIF(Plant_BD!$B:$B,$A96,Plant_BD!$AL:$AL))),"")</f>
        <v>0.99916427084524562</v>
      </c>
      <c r="P96" s="230"/>
      <c r="Q96" s="231">
        <f>IFERROR(1-(SUMIF(Grid_BD!$B:$B,$A96,Grid_BD!$V:$V)/($AA96+SUMIF(Grid_BD!$B:$B,$A96,Grid_BD!$V:$V))),"")</f>
        <v>1</v>
      </c>
      <c r="R96" s="230">
        <f>IFERROR(1-(SUMIF(Grid_BD!$B:$B,$A96,Grid_BD!$V:$V)/($AA96+SUMIF(Grid_BD!$B:$B,$A96,Grid_BD!$V:$V))),"")</f>
        <v>1</v>
      </c>
      <c r="S96" s="9"/>
      <c r="T96" s="231"/>
      <c r="U96" s="232">
        <f t="shared" si="6"/>
        <v>0.82161426657268111</v>
      </c>
      <c r="V96" s="232" t="str">
        <f>IFERROR(_xlfn.XLOOKUP($A96,Input_Raw!$A:$A,Input_Raw!$FG:$FG),"")</f>
        <v/>
      </c>
      <c r="W96" s="233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85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33">
        <f>IFERROR(_xlfn.XLOOKUP($D96,'Modelling New'!$D:$D,'Modelling New'!O:O),"")</f>
        <v>0.85307603301688106</v>
      </c>
      <c r="AF96" s="233">
        <f>IFERROR(_xlfn.XLOOKUP($D96,'Modelling New'!$D:$D,'Modelling New'!W:W),"")</f>
        <v>0.13495571113721361</v>
      </c>
      <c r="AG96" s="233">
        <f>IFERROR(_xlfn.XLOOKUP($D96,'Modelling New'!$D:$D,'Modelling New'!AE:AE),"")</f>
        <v>0.995</v>
      </c>
      <c r="AH96" s="233">
        <f>IFERROR(_xlfn.XLOOKUP($D96,'Modelling New'!$D:$D,'Modelling New'!AF:AF),"")</f>
        <v>0.995</v>
      </c>
      <c r="AI96" s="9"/>
      <c r="AJ96" s="9"/>
      <c r="AK96" s="256"/>
      <c r="AL96" s="256"/>
      <c r="AM96" s="256"/>
      <c r="AN96" s="230"/>
      <c r="AO96" s="233"/>
      <c r="AP96" s="233"/>
      <c r="AQ96" s="233"/>
      <c r="AR96" s="234">
        <f>_xlfn.XLOOKUP(D96,'Modelling New'!$D:$D,'Modelling New'!$N:$N)</f>
        <v>130</v>
      </c>
      <c r="AS96" s="234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29">
        <f>Table13[[#This Row],[Date]]-DAY(Table13[[#This Row],[Date]])+1</f>
        <v>45839</v>
      </c>
      <c r="E97" s="9">
        <f t="shared" si="5"/>
        <v>31</v>
      </c>
      <c r="F97" s="199">
        <f>IFERROR(_xlfn.XLOOKUP($A97,Input_Raw!$A:$A,Input_Raw!$FC:$FC),"")</f>
        <v>12.783333333333333</v>
      </c>
      <c r="G97" s="185">
        <f>IFERROR(_xlfn.XLOOKUP($A97,Input_Raw!$A:$A,Input_Raw!$CY:$CY),"")</f>
        <v>3.7960181000000031</v>
      </c>
      <c r="H97" s="185">
        <f>IFERROR(_xlfn.XLOOKUP($A97,Input_Raw!$A:$A,Input_Raw!$DA:$DA),"")</f>
        <v>0.6431384499999997</v>
      </c>
      <c r="I97" s="185">
        <f>IFERROR(_xlfn.XLOOKUP($A97,Input_Raw!$A:$A,Input_Raw!$CX:$CX),"")</f>
        <v>4.2059945499999989</v>
      </c>
      <c r="J97" s="185">
        <f>IFERROR(_xlfn.XLOOKUP($A97,Input_Raw!$A:$A,Input_Raw!$CZ:$CZ),"")</f>
        <v>0.54071272500000034</v>
      </c>
      <c r="K97" s="201">
        <f>IFERROR(_xlfn.XLOOKUP($A97,Input_Raw!$A:$A,Input_Raw!$DB:$DB),"")</f>
        <v>26.990165289256254</v>
      </c>
      <c r="L97" s="201">
        <f>IFERROR(_xlfn.XLOOKUP($A97,Input_Raw!$A:$A,Input_Raw!$DC:$DC),"")</f>
        <v>36.25646735537191</v>
      </c>
      <c r="M97" s="200">
        <f>IFERROR(_xlfn.XLOOKUP($A97,Input_Raw!$A:$A,Input_Raw!$DF:$DF),"")</f>
        <v>1.6883119834710767</v>
      </c>
      <c r="N97" s="200">
        <f>IFERROR(_xlfn.XLOOKUP($A97,Input_Raw!$A:$A,Input_Raw!$DG:$DG),"")</f>
        <v>3.8325</v>
      </c>
      <c r="O97" s="230">
        <f>IFERROR(1-(SUMIF(Plant_BD!$B:$B,$A97,Plant_BD!$AL:$AL)/($AA97+SUMIF(Plant_BD!$B:$B,$A97,Plant_BD!$AL:$AL))),"")</f>
        <v>0.97950306743184534</v>
      </c>
      <c r="P97" s="230"/>
      <c r="Q97" s="231">
        <f>IFERROR(1-(SUMIF(Grid_BD!$B:$B,$A97,Grid_BD!$V:$V)/($AA97+SUMIF(Grid_BD!$B:$B,$A97,Grid_BD!$V:$V))),"")</f>
        <v>1</v>
      </c>
      <c r="R97" s="230">
        <f>IFERROR(1-(SUMIF(Grid_BD!$B:$B,$A97,Grid_BD!$V:$V)/($AA97+SUMIF(Grid_BD!$B:$B,$A97,Grid_BD!$V:$V))),"")</f>
        <v>1</v>
      </c>
      <c r="S97" s="9"/>
      <c r="T97" s="231"/>
      <c r="U97" s="232">
        <f t="shared" si="6"/>
        <v>0.80807303489304849</v>
      </c>
      <c r="V97" s="232" t="str">
        <f>IFERROR(_xlfn.XLOOKUP($A97,Input_Raw!$A:$A,Input_Raw!$FG:$FG),"")</f>
        <v/>
      </c>
      <c r="W97" s="233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85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33">
        <f>IFERROR(_xlfn.XLOOKUP($D97,'Modelling New'!$D:$D,'Modelling New'!O:O),"")</f>
        <v>0.85307603301688106</v>
      </c>
      <c r="AF97" s="233">
        <f>IFERROR(_xlfn.XLOOKUP($D97,'Modelling New'!$D:$D,'Modelling New'!W:W),"")</f>
        <v>0.13495571113721361</v>
      </c>
      <c r="AG97" s="233">
        <f>IFERROR(_xlfn.XLOOKUP($D97,'Modelling New'!$D:$D,'Modelling New'!AE:AE),"")</f>
        <v>0.995</v>
      </c>
      <c r="AH97" s="233">
        <f>IFERROR(_xlfn.XLOOKUP($D97,'Modelling New'!$D:$D,'Modelling New'!AF:AF),"")</f>
        <v>0.995</v>
      </c>
      <c r="AI97" s="9"/>
      <c r="AJ97" s="9"/>
      <c r="AK97" s="256"/>
      <c r="AL97" s="256"/>
      <c r="AM97" s="256"/>
      <c r="AN97" s="230"/>
      <c r="AO97" s="233"/>
      <c r="AP97" s="233"/>
      <c r="AQ97" s="233"/>
      <c r="AR97" s="234">
        <f>_xlfn.XLOOKUP(D97,'Modelling New'!$D:$D,'Modelling New'!$N:$N)</f>
        <v>130</v>
      </c>
      <c r="AS97" s="234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29">
        <f>Table13[[#This Row],[Date]]-DAY(Table13[[#This Row],[Date]])+1</f>
        <v>45839</v>
      </c>
      <c r="E98" s="9">
        <f t="shared" si="5"/>
        <v>31</v>
      </c>
      <c r="F98" s="199">
        <f>IFERROR(_xlfn.XLOOKUP($A98,Input_Raw!$A:$A,Input_Raw!$FC:$FC),"")</f>
        <v>12.583333333333334</v>
      </c>
      <c r="G98" s="200">
        <f>IFERROR(_xlfn.XLOOKUP($A98,Input_Raw!$A:$A,Input_Raw!$CY:$CY),"")</f>
        <v>3.7906119833333296</v>
      </c>
      <c r="H98" s="200">
        <f>IFERROR(_xlfn.XLOOKUP($A98,Input_Raw!$A:$A,Input_Raw!$DA:$DA),"")</f>
        <v>0.63615229999999923</v>
      </c>
      <c r="I98" s="200">
        <f>IFERROR(_xlfn.XLOOKUP($A98,Input_Raw!$A:$A,Input_Raw!$CX:$CX),"")</f>
        <v>4.2447765666666673</v>
      </c>
      <c r="J98" s="200">
        <f>IFERROR(_xlfn.XLOOKUP($A98,Input_Raw!$A:$A,Input_Raw!$CZ:$CZ),"")</f>
        <v>0.51341474999999992</v>
      </c>
      <c r="K98" s="201">
        <f>IFERROR(_xlfn.XLOOKUP($A98,Input_Raw!$A:$A,Input_Raw!$DB:$DB),"")</f>
        <v>26.974564102564116</v>
      </c>
      <c r="L98" s="201">
        <f>IFERROR(_xlfn.XLOOKUP($A98,Input_Raw!$A:$A,Input_Raw!$DC:$DC),"")</f>
        <v>36.803923504273513</v>
      </c>
      <c r="M98" s="200">
        <f>IFERROR(_xlfn.XLOOKUP($A98,Input_Raw!$A:$A,Input_Raw!$DF:$DF),"")</f>
        <v>1.0505525641025635</v>
      </c>
      <c r="N98" s="200">
        <f>IFERROR(_xlfn.XLOOKUP($A98,Input_Raw!$A:$A,Input_Raw!$DG:$DG),"")</f>
        <v>3.3194999999999997</v>
      </c>
      <c r="O98" s="230">
        <f>IFERROR(1-(SUMIF(Plant_BD!$B:$B,$A98,Plant_BD!$AL:$AL)/($AA98+SUMIF(Plant_BD!$B:$B,$A98,Plant_BD!$AL:$AL))),"")</f>
        <v>1</v>
      </c>
      <c r="P98" s="230"/>
      <c r="Q98" s="231">
        <f>IFERROR(1-(SUMIF(Grid_BD!$B:$B,$A98,Grid_BD!$V:$V)/($AA98+SUMIF(Grid_BD!$B:$B,$A98,Grid_BD!$V:$V))),"")</f>
        <v>1</v>
      </c>
      <c r="R98" s="230">
        <f>IFERROR(1-(SUMIF(Grid_BD!$B:$B,$A98,Grid_BD!$V:$V)/($AA98+SUMIF(Grid_BD!$B:$B,$A98,Grid_BD!$V:$V))),"")</f>
        <v>1</v>
      </c>
      <c r="S98" s="9"/>
      <c r="T98" s="231"/>
      <c r="U98" s="232">
        <f t="shared" si="6"/>
        <v>0.83009028326847567</v>
      </c>
      <c r="V98" s="232" t="str">
        <f>IFERROR(_xlfn.XLOOKUP($A98,Input_Raw!$A:$A,Input_Raw!$FG:$FG),"")</f>
        <v/>
      </c>
      <c r="W98" s="233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85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33">
        <f>IFERROR(_xlfn.XLOOKUP($D98,'Modelling New'!$D:$D,'Modelling New'!O:O),"")</f>
        <v>0.85307603301688106</v>
      </c>
      <c r="AF98" s="233">
        <f>IFERROR(_xlfn.XLOOKUP($D98,'Modelling New'!$D:$D,'Modelling New'!W:W),"")</f>
        <v>0.13495571113721361</v>
      </c>
      <c r="AG98" s="233">
        <f>IFERROR(_xlfn.XLOOKUP($D98,'Modelling New'!$D:$D,'Modelling New'!AE:AE),"")</f>
        <v>0.995</v>
      </c>
      <c r="AH98" s="233">
        <f>IFERROR(_xlfn.XLOOKUP($D98,'Modelling New'!$D:$D,'Modelling New'!AF:AF),"")</f>
        <v>0.995</v>
      </c>
      <c r="AI98" s="9"/>
      <c r="AJ98" s="9"/>
      <c r="AK98" s="256"/>
      <c r="AL98" s="256"/>
      <c r="AM98" s="256"/>
      <c r="AN98" s="230"/>
      <c r="AO98" s="233"/>
      <c r="AP98" s="233"/>
      <c r="AQ98" s="233"/>
      <c r="AR98" s="234">
        <f>_xlfn.XLOOKUP(D98,'Modelling New'!$D:$D,'Modelling New'!$N:$N)</f>
        <v>130</v>
      </c>
      <c r="AS98" s="234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29">
        <f>Table13[[#This Row],[Date]]-DAY(Table13[[#This Row],[Date]])+1</f>
        <v>45839</v>
      </c>
      <c r="E99" s="9">
        <f t="shared" si="5"/>
        <v>31</v>
      </c>
      <c r="F99" s="199">
        <f>IFERROR(_xlfn.XLOOKUP($A99,Input_Raw!$A:$A,Input_Raw!$FC:$FC),"")</f>
        <v>12.366666666666667</v>
      </c>
      <c r="G99" s="185">
        <f>IFERROR(_xlfn.XLOOKUP($A99,Input_Raw!$A:$A,Input_Raw!$CY:$CY),"")</f>
        <v>2.9781919333333313</v>
      </c>
      <c r="H99" s="185">
        <f>IFERROR(_xlfn.XLOOKUP($A99,Input_Raw!$A:$A,Input_Raw!$DA:$DA),"")</f>
        <v>0.5063380916666671</v>
      </c>
      <c r="I99" s="185">
        <f>IFERROR(_xlfn.XLOOKUP($A99,Input_Raw!$A:$A,Input_Raw!$CX:$CX),"")</f>
        <v>3.3849986916666701</v>
      </c>
      <c r="J99" s="185">
        <f>IFERROR(_xlfn.XLOOKUP($A99,Input_Raw!$A:$A,Input_Raw!$CZ:$CZ),"")</f>
        <v>0.41029169166666679</v>
      </c>
      <c r="K99" s="201">
        <f>IFERROR(_xlfn.XLOOKUP($A99,Input_Raw!$A:$A,Input_Raw!$DB:$DB),"")</f>
        <v>27.022203315881331</v>
      </c>
      <c r="L99" s="201">
        <f>IFERROR(_xlfn.XLOOKUP($A99,Input_Raw!$A:$A,Input_Raw!$DC:$DC),"")</f>
        <v>36.257983856893546</v>
      </c>
      <c r="M99" s="200">
        <f>IFERROR(_xlfn.XLOOKUP($A99,Input_Raw!$A:$A,Input_Raw!$DF:$DF),"")</f>
        <v>1.2928298429319356</v>
      </c>
      <c r="N99" s="200">
        <f>IFERROR(_xlfn.XLOOKUP($A99,Input_Raw!$A:$A,Input_Raw!$DG:$DG),"")</f>
        <v>3.2309999999999999</v>
      </c>
      <c r="O99" s="230">
        <f>IFERROR(1-(SUMIF(Plant_BD!$B:$B,$A99,Plant_BD!$AL:$AL)/($AA99+SUMIF(Plant_BD!$B:$B,$A99,Plant_BD!$AL:$AL))),"")</f>
        <v>0.99562614513733205</v>
      </c>
      <c r="P99" s="230"/>
      <c r="Q99" s="231">
        <f>IFERROR(1-(SUMIF(Grid_BD!$B:$B,$A99,Grid_BD!$V:$V)/($AA99+SUMIF(Grid_BD!$B:$B,$A99,Grid_BD!$V:$V))),"")</f>
        <v>1</v>
      </c>
      <c r="R99" s="230">
        <f>IFERROR(1-(SUMIF(Grid_BD!$B:$B,$A99,Grid_BD!$V:$V)/($AA99+SUMIF(Grid_BD!$B:$B,$A99,Grid_BD!$V:$V))),"")</f>
        <v>1</v>
      </c>
      <c r="S99" s="9"/>
      <c r="T99" s="231"/>
      <c r="U99" s="232">
        <f t="shared" si="6"/>
        <v>0.83035284248889074</v>
      </c>
      <c r="V99" s="232" t="str">
        <f>IFERROR(_xlfn.XLOOKUP($A99,Input_Raw!$A:$A,Input_Raw!$FG:$FG),"")</f>
        <v/>
      </c>
      <c r="W99" s="233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85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33">
        <f>IFERROR(_xlfn.XLOOKUP($D99,'Modelling New'!$D:$D,'Modelling New'!O:O),"")</f>
        <v>0.85307603301688106</v>
      </c>
      <c r="AF99" s="233">
        <f>IFERROR(_xlfn.XLOOKUP($D99,'Modelling New'!$D:$D,'Modelling New'!W:W),"")</f>
        <v>0.13495571113721361</v>
      </c>
      <c r="AG99" s="233">
        <f>IFERROR(_xlfn.XLOOKUP($D99,'Modelling New'!$D:$D,'Modelling New'!AE:AE),"")</f>
        <v>0.995</v>
      </c>
      <c r="AH99" s="233">
        <f>IFERROR(_xlfn.XLOOKUP($D99,'Modelling New'!$D:$D,'Modelling New'!AF:AF),"")</f>
        <v>0.995</v>
      </c>
      <c r="AI99" s="9"/>
      <c r="AJ99" s="9"/>
      <c r="AK99" s="256"/>
      <c r="AL99" s="256"/>
      <c r="AM99" s="256"/>
      <c r="AN99" s="230"/>
      <c r="AO99" s="233"/>
      <c r="AP99" s="233"/>
      <c r="AQ99" s="233"/>
      <c r="AR99" s="234">
        <f>_xlfn.XLOOKUP(D99,'Modelling New'!$D:$D,'Modelling New'!$N:$N)</f>
        <v>130</v>
      </c>
      <c r="AS99" s="234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29">
        <f>Table13[[#This Row],[Date]]-DAY(Table13[[#This Row],[Date]])+1</f>
        <v>45839</v>
      </c>
      <c r="E100" s="9">
        <f t="shared" si="5"/>
        <v>31</v>
      </c>
      <c r="F100" s="199">
        <f>IFERROR(_xlfn.XLOOKUP($A100,Input_Raw!$A:$A,Input_Raw!$FC:$FC),"")</f>
        <v>12.450000000000001</v>
      </c>
      <c r="G100" s="200">
        <f>IFERROR(_xlfn.XLOOKUP($A100,Input_Raw!$A:$A,Input_Raw!$CY:$CY),"")</f>
        <v>2.7210574749999985</v>
      </c>
      <c r="H100" s="200">
        <f>IFERROR(_xlfn.XLOOKUP($A100,Input_Raw!$A:$A,Input_Raw!$DA:$DA),"")</f>
        <v>0.45756855833333349</v>
      </c>
      <c r="I100" s="200">
        <f>IFERROR(_xlfn.XLOOKUP($A100,Input_Raw!$A:$A,Input_Raw!$CX:$CX),"")</f>
        <v>3.0825917833333332</v>
      </c>
      <c r="J100" s="200">
        <f>IFERROR(_xlfn.XLOOKUP($A100,Input_Raw!$A:$A,Input_Raw!$CZ:$CZ),"")</f>
        <v>0.37990769166666627</v>
      </c>
      <c r="K100" s="201">
        <f>IFERROR(_xlfn.XLOOKUP($A100,Input_Raw!$A:$A,Input_Raw!$DB:$DB),"")</f>
        <v>26.4171909167368</v>
      </c>
      <c r="L100" s="201">
        <f>IFERROR(_xlfn.XLOOKUP($A100,Input_Raw!$A:$A,Input_Raw!$DC:$DC),"")</f>
        <v>34.854059714045398</v>
      </c>
      <c r="M100" s="200">
        <f>IFERROR(_xlfn.XLOOKUP($A100,Input_Raw!$A:$A,Input_Raw!$DF:$DF),"")</f>
        <v>0.98163204373423008</v>
      </c>
      <c r="N100" s="200">
        <f>IFERROR(_xlfn.XLOOKUP($A100,Input_Raw!$A:$A,Input_Raw!$DG:$DG),"")</f>
        <v>4.3305000000000007</v>
      </c>
      <c r="O100" s="230">
        <f>IFERROR(1-(SUMIF(Plant_BD!$B:$B,$A100,Plant_BD!$AL:$AL)/($AA100+SUMIF(Plant_BD!$B:$B,$A100,Plant_BD!$AL:$AL))),"")</f>
        <v>0.97357920037752665</v>
      </c>
      <c r="P100" s="230"/>
      <c r="Q100" s="231">
        <f>IFERROR(1-(SUMIF(Grid_BD!$B:$B,$A100,Grid_BD!$V:$V)/($AA100+SUMIF(Grid_BD!$B:$B,$A100,Grid_BD!$V:$V))),"")</f>
        <v>1</v>
      </c>
      <c r="R100" s="230">
        <f>IFERROR(1-(SUMIF(Grid_BD!$B:$B,$A100,Grid_BD!$V:$V)/($AA100+SUMIF(Grid_BD!$B:$B,$A100,Grid_BD!$V:$V))),"")</f>
        <v>1</v>
      </c>
      <c r="S100" s="9"/>
      <c r="T100" s="231"/>
      <c r="U100" s="232">
        <f t="shared" si="6"/>
        <v>0.78142263554050218</v>
      </c>
      <c r="V100" s="232" t="str">
        <f>IFERROR(_xlfn.XLOOKUP($A100,Input_Raw!$A:$A,Input_Raw!$FG:$FG),"")</f>
        <v/>
      </c>
      <c r="W100" s="233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85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33">
        <f>IFERROR(_xlfn.XLOOKUP($D100,'Modelling New'!$D:$D,'Modelling New'!O:O),"")</f>
        <v>0.85307603301688106</v>
      </c>
      <c r="AF100" s="233">
        <f>IFERROR(_xlfn.XLOOKUP($D100,'Modelling New'!$D:$D,'Modelling New'!W:W),"")</f>
        <v>0.13495571113721361</v>
      </c>
      <c r="AG100" s="233">
        <f>IFERROR(_xlfn.XLOOKUP($D100,'Modelling New'!$D:$D,'Modelling New'!AE:AE),"")</f>
        <v>0.995</v>
      </c>
      <c r="AH100" s="233">
        <f>IFERROR(_xlfn.XLOOKUP($D100,'Modelling New'!$D:$D,'Modelling New'!AF:AF),"")</f>
        <v>0.995</v>
      </c>
      <c r="AI100" s="9"/>
      <c r="AJ100" s="9"/>
      <c r="AK100" s="256"/>
      <c r="AL100" s="256"/>
      <c r="AM100" s="256"/>
      <c r="AN100" s="230"/>
      <c r="AO100" s="233"/>
      <c r="AP100" s="233"/>
      <c r="AQ100" s="233"/>
      <c r="AR100" s="234">
        <f>_xlfn.XLOOKUP(D100,'Modelling New'!$D:$D,'Modelling New'!$N:$N)</f>
        <v>130</v>
      </c>
      <c r="AS100" s="234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29">
        <f>Table13[[#This Row],[Date]]-DAY(Table13[[#This Row],[Date]])+1</f>
        <v>45839</v>
      </c>
      <c r="E101" s="9">
        <f t="shared" si="5"/>
        <v>31</v>
      </c>
      <c r="F101" s="199">
        <f>IFERROR(_xlfn.XLOOKUP($A101,Input_Raw!$A:$A,Input_Raw!$FC:$FC),"")</f>
        <v>12.616666666666667</v>
      </c>
      <c r="G101" s="185">
        <f>IFERROR(_xlfn.XLOOKUP($A101,Input_Raw!$A:$A,Input_Raw!$CY:$CY),"")</f>
        <v>2.5538611499999972</v>
      </c>
      <c r="H101" s="185">
        <f>IFERROR(_xlfn.XLOOKUP($A101,Input_Raw!$A:$A,Input_Raw!$DA:$DA),"")</f>
        <v>0.41116478333333384</v>
      </c>
      <c r="I101" s="185">
        <f>IFERROR(_xlfn.XLOOKUP($A101,Input_Raw!$A:$A,Input_Raw!$CX:$CX),"")</f>
        <v>2.8791523249999988</v>
      </c>
      <c r="J101" s="185">
        <f>IFERROR(_xlfn.XLOOKUP($A101,Input_Raw!$A:$A,Input_Raw!$CZ:$CZ),"")</f>
        <v>0.36956713333333302</v>
      </c>
      <c r="K101" s="201">
        <f>IFERROR(_xlfn.XLOOKUP($A101,Input_Raw!$A:$A,Input_Raw!$DB:$DB),"")</f>
        <v>25.924474348191694</v>
      </c>
      <c r="L101" s="201">
        <f>IFERROR(_xlfn.XLOOKUP($A101,Input_Raw!$A:$A,Input_Raw!$DC:$DC),"")</f>
        <v>33.726339781328825</v>
      </c>
      <c r="M101" s="200">
        <f>IFERROR(_xlfn.XLOOKUP($A101,Input_Raw!$A:$A,Input_Raw!$DF:$DF),"")</f>
        <v>1.2283259041211099</v>
      </c>
      <c r="N101" s="200">
        <f>IFERROR(_xlfn.XLOOKUP($A101,Input_Raw!$A:$A,Input_Raw!$DG:$DG),"")</f>
        <v>3.609</v>
      </c>
      <c r="O101" s="230">
        <f>IFERROR(1-(SUMIF(Plant_BD!$B:$B,$A101,Plant_BD!$AL:$AL)/($AA101+SUMIF(Plant_BD!$B:$B,$A101,Plant_BD!$AL:$AL))),"")</f>
        <v>0.95505414291871316</v>
      </c>
      <c r="P101" s="230"/>
      <c r="Q101" s="231">
        <f>IFERROR(1-(SUMIF(Grid_BD!$B:$B,$A101,Grid_BD!$V:$V)/($AA101+SUMIF(Grid_BD!$B:$B,$A101,Grid_BD!$V:$V))),"")</f>
        <v>1</v>
      </c>
      <c r="R101" s="230">
        <f>IFERROR(1-(SUMIF(Grid_BD!$B:$B,$A101,Grid_BD!$V:$V)/($AA101+SUMIF(Grid_BD!$B:$B,$A101,Grid_BD!$V:$V))),"")</f>
        <v>1</v>
      </c>
      <c r="S101" s="9"/>
      <c r="T101" s="231"/>
      <c r="U101" s="232">
        <f t="shared" si="6"/>
        <v>0.79544024437187577</v>
      </c>
      <c r="V101" s="232" t="str">
        <f>IFERROR(_xlfn.XLOOKUP($A101,Input_Raw!$A:$A,Input_Raw!$FG:$FG),"")</f>
        <v/>
      </c>
      <c r="W101" s="233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85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33">
        <f>IFERROR(_xlfn.XLOOKUP($D101,'Modelling New'!$D:$D,'Modelling New'!O:O),"")</f>
        <v>0.85307603301688106</v>
      </c>
      <c r="AF101" s="233">
        <f>IFERROR(_xlfn.XLOOKUP($D101,'Modelling New'!$D:$D,'Modelling New'!W:W),"")</f>
        <v>0.13495571113721361</v>
      </c>
      <c r="AG101" s="233">
        <f>IFERROR(_xlfn.XLOOKUP($D101,'Modelling New'!$D:$D,'Modelling New'!AE:AE),"")</f>
        <v>0.995</v>
      </c>
      <c r="AH101" s="233">
        <f>IFERROR(_xlfn.XLOOKUP($D101,'Modelling New'!$D:$D,'Modelling New'!AF:AF),"")</f>
        <v>0.995</v>
      </c>
      <c r="AI101" s="9"/>
      <c r="AJ101" s="9"/>
      <c r="AK101" s="256"/>
      <c r="AL101" s="256"/>
      <c r="AM101" s="256"/>
      <c r="AN101" s="230"/>
      <c r="AO101" s="233"/>
      <c r="AP101" s="233"/>
      <c r="AQ101" s="233"/>
      <c r="AR101" s="234">
        <f>_xlfn.XLOOKUP(D101,'Modelling New'!$D:$D,'Modelling New'!$N:$N)</f>
        <v>130</v>
      </c>
      <c r="AS101" s="234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29">
        <f>Table13[[#This Row],[Date]]-DAY(Table13[[#This Row],[Date]])+1</f>
        <v>45839</v>
      </c>
      <c r="E102" s="9">
        <f t="shared" si="5"/>
        <v>31</v>
      </c>
      <c r="F102" s="199">
        <f>IFERROR(_xlfn.XLOOKUP($A102,Input_Raw!$A:$A,Input_Raw!$FC:$FC),"")</f>
        <v>12.133333333333333</v>
      </c>
      <c r="G102" s="200">
        <f>IFERROR(_xlfn.XLOOKUP($A102,Input_Raw!$A:$A,Input_Raw!$CY:$CY),"")</f>
        <v>1.564564541666668</v>
      </c>
      <c r="H102" s="200">
        <f>IFERROR(_xlfn.XLOOKUP($A102,Input_Raw!$A:$A,Input_Raw!$DA:$DA),"")</f>
        <v>0.2490479583333334</v>
      </c>
      <c r="I102" s="200">
        <f>IFERROR(_xlfn.XLOOKUP($A102,Input_Raw!$A:$A,Input_Raw!$CX:$CX),"")</f>
        <v>1.7786749416666672</v>
      </c>
      <c r="J102" s="200">
        <f>IFERROR(_xlfn.XLOOKUP($A102,Input_Raw!$A:$A,Input_Raw!$CZ:$CZ),"")</f>
        <v>0.21729651666666655</v>
      </c>
      <c r="K102" s="201">
        <f>IFERROR(_xlfn.XLOOKUP($A102,Input_Raw!$A:$A,Input_Raw!$DB:$DB),"")</f>
        <v>25.094625531914829</v>
      </c>
      <c r="L102" s="201">
        <f>IFERROR(_xlfn.XLOOKUP($A102,Input_Raw!$A:$A,Input_Raw!$DC:$DC),"")</f>
        <v>31.198186808510648</v>
      </c>
      <c r="M102" s="200">
        <f>IFERROR(_xlfn.XLOOKUP($A102,Input_Raw!$A:$A,Input_Raw!$DF:$DF),"")</f>
        <v>1.2582434042553192</v>
      </c>
      <c r="N102" s="200">
        <f>IFERROR(_xlfn.XLOOKUP($A102,Input_Raw!$A:$A,Input_Raw!$DG:$DG),"")</f>
        <v>3.2069999999999999</v>
      </c>
      <c r="O102" s="230">
        <f>IFERROR(1-(SUMIF(Plant_BD!$B:$B,$A102,Plant_BD!$AL:$AL)/($AA102+SUMIF(Plant_BD!$B:$B,$A102,Plant_BD!$AL:$AL))),"")</f>
        <v>0.99871431158525681</v>
      </c>
      <c r="P102" s="230"/>
      <c r="Q102" s="231">
        <f>IFERROR(1-(SUMIF(Grid_BD!$B:$B,$A102,Grid_BD!$V:$V)/($AA102+SUMIF(Grid_BD!$B:$B,$A102,Grid_BD!$V:$V))),"")</f>
        <v>1</v>
      </c>
      <c r="R102" s="230">
        <f>IFERROR(1-(SUMIF(Grid_BD!$B:$B,$A102,Grid_BD!$V:$V)/($AA102+SUMIF(Grid_BD!$B:$B,$A102,Grid_BD!$V:$V))),"")</f>
        <v>1</v>
      </c>
      <c r="S102" s="9"/>
      <c r="T102" s="231"/>
      <c r="U102" s="232">
        <f t="shared" si="6"/>
        <v>0.85175238902061234</v>
      </c>
      <c r="V102" s="232" t="str">
        <f>IFERROR(_xlfn.XLOOKUP($A102,Input_Raw!$A:$A,Input_Raw!$FG:$FG),"")</f>
        <v/>
      </c>
      <c r="W102" s="233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85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33">
        <f>IFERROR(_xlfn.XLOOKUP($D102,'Modelling New'!$D:$D,'Modelling New'!O:O),"")</f>
        <v>0.85307603301688106</v>
      </c>
      <c r="AF102" s="233">
        <f>IFERROR(_xlfn.XLOOKUP($D102,'Modelling New'!$D:$D,'Modelling New'!W:W),"")</f>
        <v>0.13495571113721361</v>
      </c>
      <c r="AG102" s="233">
        <f>IFERROR(_xlfn.XLOOKUP($D102,'Modelling New'!$D:$D,'Modelling New'!AE:AE),"")</f>
        <v>0.995</v>
      </c>
      <c r="AH102" s="233">
        <f>IFERROR(_xlfn.XLOOKUP($D102,'Modelling New'!$D:$D,'Modelling New'!AF:AF),"")</f>
        <v>0.995</v>
      </c>
      <c r="AI102" s="9"/>
      <c r="AJ102" s="9"/>
      <c r="AK102" s="256"/>
      <c r="AL102" s="256"/>
      <c r="AM102" s="256"/>
      <c r="AN102" s="230"/>
      <c r="AO102" s="233"/>
      <c r="AP102" s="233"/>
      <c r="AQ102" s="233"/>
      <c r="AR102" s="234">
        <f>_xlfn.XLOOKUP(D102,'Modelling New'!$D:$D,'Modelling New'!$N:$N)</f>
        <v>130</v>
      </c>
      <c r="AS102" s="234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29">
        <f>Table13[[#This Row],[Date]]-DAY(Table13[[#This Row],[Date]])+1</f>
        <v>45839</v>
      </c>
      <c r="E103" s="9">
        <f t="shared" si="5"/>
        <v>31</v>
      </c>
      <c r="F103" s="199">
        <f>IFERROR(_xlfn.XLOOKUP($A103,Input_Raw!$A:$A,Input_Raw!$FC:$FC),"")</f>
        <v>12.050000000000002</v>
      </c>
      <c r="G103" s="185">
        <f>IFERROR(_xlfn.XLOOKUP($A103,Input_Raw!$A:$A,Input_Raw!$CY:$CY),"")</f>
        <v>1.6903568333333348</v>
      </c>
      <c r="H103" s="185">
        <f>IFERROR(_xlfn.XLOOKUP($A103,Input_Raw!$A:$A,Input_Raw!$DA:$DA),"")</f>
        <v>0.25764008333333338</v>
      </c>
      <c r="I103" s="185">
        <f>IFERROR(_xlfn.XLOOKUP($A103,Input_Raw!$A:$A,Input_Raw!$CX:$CX),"")</f>
        <v>1.932517016666665</v>
      </c>
      <c r="J103" s="185">
        <f>IFERROR(_xlfn.XLOOKUP($A103,Input_Raw!$A:$A,Input_Raw!$CZ:$CZ),"")</f>
        <v>0.2330984916666666</v>
      </c>
      <c r="K103" s="201">
        <f>IFERROR(_xlfn.XLOOKUP($A103,Input_Raw!$A:$A,Input_Raw!$DB:$DB),"")</f>
        <v>25.159582828920627</v>
      </c>
      <c r="L103" s="201">
        <f>IFERROR(_xlfn.XLOOKUP($A103,Input_Raw!$A:$A,Input_Raw!$DC:$DC),"")</f>
        <v>31.224780847030146</v>
      </c>
      <c r="M103" s="200">
        <f>IFERROR(_xlfn.XLOOKUP($A103,Input_Raw!$A:$A,Input_Raw!$DF:$DF),"")</f>
        <v>0.93158284660426804</v>
      </c>
      <c r="N103" s="200">
        <f>IFERROR(_xlfn.XLOOKUP($A103,Input_Raw!$A:$A,Input_Raw!$DG:$DG),"")</f>
        <v>1.98</v>
      </c>
      <c r="O103" s="230">
        <f>IFERROR(1-(SUMIF(Plant_BD!$B:$B,$A103,Plant_BD!$AL:$AL)/($AA103+SUMIF(Plant_BD!$B:$B,$A103,Plant_BD!$AL:$AL))),"")</f>
        <v>0.99783931425532457</v>
      </c>
      <c r="P103" s="230"/>
      <c r="Q103" s="231">
        <f>IFERROR(1-(SUMIF(Grid_BD!$B:$B,$A103,Grid_BD!$V:$V)/($AA103+SUMIF(Grid_BD!$B:$B,$A103,Grid_BD!$V:$V))),"")</f>
        <v>1</v>
      </c>
      <c r="R103" s="230">
        <f>IFERROR(1-(SUMIF(Grid_BD!$B:$B,$A103,Grid_BD!$V:$V)/($AA103+SUMIF(Grid_BD!$B:$B,$A103,Grid_BD!$V:$V))),"")</f>
        <v>1</v>
      </c>
      <c r="S103" s="9"/>
      <c r="T103" s="231"/>
      <c r="U103" s="232">
        <f t="shared" si="6"/>
        <v>0.89710281643668943</v>
      </c>
      <c r="V103" s="232" t="str">
        <f>IFERROR(_xlfn.XLOOKUP($A103,Input_Raw!$A:$A,Input_Raw!$FG:$FG),"")</f>
        <v/>
      </c>
      <c r="W103" s="233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85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33">
        <f>IFERROR(_xlfn.XLOOKUP($D103,'Modelling New'!$D:$D,'Modelling New'!O:O),"")</f>
        <v>0.85307603301688106</v>
      </c>
      <c r="AF103" s="233">
        <f>IFERROR(_xlfn.XLOOKUP($D103,'Modelling New'!$D:$D,'Modelling New'!W:W),"")</f>
        <v>0.13495571113721361</v>
      </c>
      <c r="AG103" s="233">
        <f>IFERROR(_xlfn.XLOOKUP($D103,'Modelling New'!$D:$D,'Modelling New'!AE:AE),"")</f>
        <v>0.995</v>
      </c>
      <c r="AH103" s="233">
        <f>IFERROR(_xlfn.XLOOKUP($D103,'Modelling New'!$D:$D,'Modelling New'!AF:AF),"")</f>
        <v>0.995</v>
      </c>
      <c r="AI103" s="9"/>
      <c r="AJ103" s="9"/>
      <c r="AK103" s="256"/>
      <c r="AL103" s="256"/>
      <c r="AM103" s="256"/>
      <c r="AN103" s="230"/>
      <c r="AO103" s="233"/>
      <c r="AP103" s="233"/>
      <c r="AQ103" s="233"/>
      <c r="AR103" s="234">
        <f>_xlfn.XLOOKUP(D103,'Modelling New'!$D:$D,'Modelling New'!$N:$N)</f>
        <v>130</v>
      </c>
      <c r="AS103" s="234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29">
        <f>Table13[[#This Row],[Date]]-DAY(Table13[[#This Row],[Date]])+1</f>
        <v>45839</v>
      </c>
      <c r="E104" s="9">
        <f t="shared" ref="E104:E167" si="10">DAY(EOMONTH(A104,0))</f>
        <v>31</v>
      </c>
      <c r="F104" s="199">
        <f>IFERROR(_xlfn.XLOOKUP($A104,Input_Raw!$A:$A,Input_Raw!$FC:$FC),"")</f>
        <v>11.75</v>
      </c>
      <c r="G104" s="200">
        <f>IFERROR(_xlfn.XLOOKUP($A104,Input_Raw!$A:$A,Input_Raw!$CY:$CY),"")</f>
        <v>1.8881984250000006</v>
      </c>
      <c r="H104" s="200">
        <f>IFERROR(_xlfn.XLOOKUP($A104,Input_Raw!$A:$A,Input_Raw!$DA:$DA),"")</f>
        <v>0.28549512499999974</v>
      </c>
      <c r="I104" s="200">
        <f>IFERROR(_xlfn.XLOOKUP($A104,Input_Raw!$A:$A,Input_Raw!$CX:$CX),"")</f>
        <v>2.1368318833333335</v>
      </c>
      <c r="J104" s="200">
        <f>IFERROR(_xlfn.XLOOKUP($A104,Input_Raw!$A:$A,Input_Raw!$CZ:$CZ),"")</f>
        <v>0.26785047500000003</v>
      </c>
      <c r="K104" s="201">
        <f>IFERROR(_xlfn.XLOOKUP($A104,Input_Raw!$A:$A,Input_Raw!$DB:$DB),"")</f>
        <v>25.170344076655034</v>
      </c>
      <c r="L104" s="201">
        <f>IFERROR(_xlfn.XLOOKUP($A104,Input_Raw!$A:$A,Input_Raw!$DC:$DC),"")</f>
        <v>31.423631533101037</v>
      </c>
      <c r="M104" s="200">
        <f>IFERROR(_xlfn.XLOOKUP($A104,Input_Raw!$A:$A,Input_Raw!$DF:$DF),"")</f>
        <v>0.91580749128919814</v>
      </c>
      <c r="N104" s="200">
        <f>IFERROR(_xlfn.XLOOKUP($A104,Input_Raw!$A:$A,Input_Raw!$DG:$DG),"")</f>
        <v>2.3369999999999997</v>
      </c>
      <c r="O104" s="230">
        <f>IFERROR(1-(SUMIF(Plant_BD!$B:$B,$A104,Plant_BD!$AL:$AL)/($AA104+SUMIF(Plant_BD!$B:$B,$A104,Plant_BD!$AL:$AL))),"")</f>
        <v>1</v>
      </c>
      <c r="P104" s="230"/>
      <c r="Q104" s="231">
        <f>IFERROR(1-(SUMIF(Grid_BD!$B:$B,$A104,Grid_BD!$V:$V)/($AA104+SUMIF(Grid_BD!$B:$B,$A104,Grid_BD!$V:$V))),"")</f>
        <v>1</v>
      </c>
      <c r="R104" s="230">
        <f>IFERROR(1-(SUMIF(Grid_BD!$B:$B,$A104,Grid_BD!$V:$V)/($AA104+SUMIF(Grid_BD!$B:$B,$A104,Grid_BD!$V:$V))),"")</f>
        <v>1</v>
      </c>
      <c r="S104" s="9"/>
      <c r="T104" s="231"/>
      <c r="U104" s="232">
        <f t="shared" ref="U104:U167" si="11">IFERROR(AA104/I104/AB104/1000,"")</f>
        <v>0.887880666923057</v>
      </c>
      <c r="V104" s="232" t="str">
        <f>IFERROR(_xlfn.XLOOKUP($A104,Input_Raw!$A:$A,Input_Raw!$FG:$FG),"")</f>
        <v/>
      </c>
      <c r="W104" s="233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85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33">
        <f>IFERROR(_xlfn.XLOOKUP($D104,'Modelling New'!$D:$D,'Modelling New'!O:O),"")</f>
        <v>0.85307603301688106</v>
      </c>
      <c r="AF104" s="233">
        <f>IFERROR(_xlfn.XLOOKUP($D104,'Modelling New'!$D:$D,'Modelling New'!W:W),"")</f>
        <v>0.13495571113721361</v>
      </c>
      <c r="AG104" s="233">
        <f>IFERROR(_xlfn.XLOOKUP($D104,'Modelling New'!$D:$D,'Modelling New'!AE:AE),"")</f>
        <v>0.995</v>
      </c>
      <c r="AH104" s="233">
        <f>IFERROR(_xlfn.XLOOKUP($D104,'Modelling New'!$D:$D,'Modelling New'!AF:AF),"")</f>
        <v>0.995</v>
      </c>
      <c r="AI104" s="9"/>
      <c r="AJ104" s="9"/>
      <c r="AK104" s="256"/>
      <c r="AL104" s="256"/>
      <c r="AM104" s="256"/>
      <c r="AN104" s="230"/>
      <c r="AO104" s="233"/>
      <c r="AP104" s="233"/>
      <c r="AQ104" s="233"/>
      <c r="AR104" s="234">
        <f>_xlfn.XLOOKUP(D104,'Modelling New'!$D:$D,'Modelling New'!$N:$N)</f>
        <v>130</v>
      </c>
      <c r="AS104" s="234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29">
        <f>Table13[[#This Row],[Date]]-DAY(Table13[[#This Row],[Date]])+1</f>
        <v>45839</v>
      </c>
      <c r="E105" s="9">
        <f t="shared" si="10"/>
        <v>31</v>
      </c>
      <c r="F105" s="199">
        <f>IFERROR(_xlfn.XLOOKUP($A105,Input_Raw!$A:$A,Input_Raw!$FC:$FC),"")</f>
        <v>11.833333333333334</v>
      </c>
      <c r="G105" s="185">
        <f>IFERROR(_xlfn.XLOOKUP($A105,Input_Raw!$A:$A,Input_Raw!$CY:$CY),"")</f>
        <v>2.2320600749999984</v>
      </c>
      <c r="H105" s="185">
        <f>IFERROR(_xlfn.XLOOKUP($A105,Input_Raw!$A:$A,Input_Raw!$DA:$DA),"")</f>
        <v>0.35532525000000043</v>
      </c>
      <c r="I105" s="185">
        <f>IFERROR(_xlfn.XLOOKUP($A105,Input_Raw!$A:$A,Input_Raw!$CX:$CX),"")</f>
        <v>2.3244967083333341</v>
      </c>
      <c r="J105" s="185">
        <f>IFERROR(_xlfn.XLOOKUP($A105,Input_Raw!$A:$A,Input_Raw!$CZ:$CZ),"")</f>
        <v>0.29586127499999998</v>
      </c>
      <c r="K105" s="201">
        <f>IFERROR(_xlfn.XLOOKUP($A105,Input_Raw!$A:$A,Input_Raw!$DB:$DB),"")</f>
        <v>26.178919123204818</v>
      </c>
      <c r="L105" s="201">
        <f>IFERROR(_xlfn.XLOOKUP($A105,Input_Raw!$A:$A,Input_Raw!$DC:$DC),"")</f>
        <v>34.267191609977331</v>
      </c>
      <c r="M105" s="200">
        <f>IFERROR(_xlfn.XLOOKUP($A105,Input_Raw!$A:$A,Input_Raw!$DF:$DF),"")</f>
        <v>0.7607664399092966</v>
      </c>
      <c r="N105" s="200">
        <f>IFERROR(_xlfn.XLOOKUP($A105,Input_Raw!$A:$A,Input_Raw!$DG:$DG),"")</f>
        <v>1.7549999999999999</v>
      </c>
      <c r="O105" s="230">
        <f>IFERROR(1-(SUMIF(Plant_BD!$B:$B,$A105,Plant_BD!$AL:$AL)/($AA105+SUMIF(Plant_BD!$B:$B,$A105,Plant_BD!$AL:$AL))),"")</f>
        <v>1</v>
      </c>
      <c r="P105" s="230"/>
      <c r="Q105" s="231">
        <f>IFERROR(1-(SUMIF(Grid_BD!$B:$B,$A105,Grid_BD!$V:$V)/($AA105+SUMIF(Grid_BD!$B:$B,$A105,Grid_BD!$V:$V))),"")</f>
        <v>1</v>
      </c>
      <c r="R105" s="230">
        <f>IFERROR(1-(SUMIF(Grid_BD!$B:$B,$A105,Grid_BD!$V:$V)/($AA105+SUMIF(Grid_BD!$B:$B,$A105,Grid_BD!$V:$V))),"")</f>
        <v>1</v>
      </c>
      <c r="S105" s="9"/>
      <c r="T105" s="231"/>
      <c r="U105" s="232">
        <f t="shared" si="11"/>
        <v>0.93711728582438236</v>
      </c>
      <c r="V105" s="232" t="str">
        <f>IFERROR(_xlfn.XLOOKUP($A105,Input_Raw!$A:$A,Input_Raw!$FG:$FG),"")</f>
        <v/>
      </c>
      <c r="W105" s="233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85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33">
        <f>IFERROR(_xlfn.XLOOKUP($D105,'Modelling New'!$D:$D,'Modelling New'!O:O),"")</f>
        <v>0.85307603301688106</v>
      </c>
      <c r="AF105" s="233">
        <f>IFERROR(_xlfn.XLOOKUP($D105,'Modelling New'!$D:$D,'Modelling New'!W:W),"")</f>
        <v>0.13495571113721361</v>
      </c>
      <c r="AG105" s="233">
        <f>IFERROR(_xlfn.XLOOKUP($D105,'Modelling New'!$D:$D,'Modelling New'!AE:AE),"")</f>
        <v>0.995</v>
      </c>
      <c r="AH105" s="233">
        <f>IFERROR(_xlfn.XLOOKUP($D105,'Modelling New'!$D:$D,'Modelling New'!AF:AF),"")</f>
        <v>0.995</v>
      </c>
      <c r="AI105" s="9"/>
      <c r="AJ105" s="9"/>
      <c r="AK105" s="256"/>
      <c r="AL105" s="256"/>
      <c r="AM105" s="256"/>
      <c r="AN105" s="230"/>
      <c r="AO105" s="233"/>
      <c r="AP105" s="233"/>
      <c r="AQ105" s="233"/>
      <c r="AR105" s="234">
        <f>_xlfn.XLOOKUP(D105,'Modelling New'!$D:$D,'Modelling New'!$N:$N)</f>
        <v>130</v>
      </c>
      <c r="AS105" s="234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29">
        <f>Table13[[#This Row],[Date]]-DAY(Table13[[#This Row],[Date]])+1</f>
        <v>45839</v>
      </c>
      <c r="E106" s="9">
        <f t="shared" si="10"/>
        <v>31</v>
      </c>
      <c r="F106" s="199">
        <f>IFERROR(_xlfn.XLOOKUP($A106,Input_Raw!$A:$A,Input_Raw!$FC:$FC),"")</f>
        <v>12.733333333333334</v>
      </c>
      <c r="G106" s="200">
        <f>IFERROR(_xlfn.XLOOKUP($A106,Input_Raw!$A:$A,Input_Raw!$CY:$CY),"")</f>
        <v>5.6987451833333376</v>
      </c>
      <c r="H106" s="200">
        <f>IFERROR(_xlfn.XLOOKUP($A106,Input_Raw!$A:$A,Input_Raw!$DA:$DA),"")</f>
        <v>0.94671802499999991</v>
      </c>
      <c r="I106" s="200">
        <f>IFERROR(_xlfn.XLOOKUP($A106,Input_Raw!$A:$A,Input_Raw!$CX:$CX),"")</f>
        <v>5.7179680583333248</v>
      </c>
      <c r="J106" s="200">
        <f>IFERROR(_xlfn.XLOOKUP($A106,Input_Raw!$A:$A,Input_Raw!$CZ:$CZ),"")</f>
        <v>0.76291427500000064</v>
      </c>
      <c r="K106" s="201">
        <f>IFERROR(_xlfn.XLOOKUP($A106,Input_Raw!$A:$A,Input_Raw!$DB:$DB),"")</f>
        <v>27.847669172932342</v>
      </c>
      <c r="L106" s="201">
        <f>IFERROR(_xlfn.XLOOKUP($A106,Input_Raw!$A:$A,Input_Raw!$DC:$DC),"")</f>
        <v>40.495396407685902</v>
      </c>
      <c r="M106" s="200">
        <f>IFERROR(_xlfn.XLOOKUP($A106,Input_Raw!$A:$A,Input_Raw!$DF:$DF),"")</f>
        <v>1.1097631578947365</v>
      </c>
      <c r="N106" s="200">
        <f>IFERROR(_xlfn.XLOOKUP($A106,Input_Raw!$A:$A,Input_Raw!$DG:$DG),"")</f>
        <v>3.0285000000000002</v>
      </c>
      <c r="O106" s="230">
        <f>IFERROR(1-(SUMIF(Plant_BD!$B:$B,$A106,Plant_BD!$AL:$AL)/($AA106+SUMIF(Plant_BD!$B:$B,$A106,Plant_BD!$AL:$AL))),"")</f>
        <v>0.99775979521922198</v>
      </c>
      <c r="P106" s="230"/>
      <c r="Q106" s="231">
        <f>IFERROR(1-(SUMIF(Grid_BD!$B:$B,$A106,Grid_BD!$V:$V)/($AA106+SUMIF(Grid_BD!$B:$B,$A106,Grid_BD!$V:$V))),"")</f>
        <v>1</v>
      </c>
      <c r="R106" s="230">
        <f>IFERROR(1-(SUMIF(Grid_BD!$B:$B,$A106,Grid_BD!$V:$V)/($AA106+SUMIF(Grid_BD!$B:$B,$A106,Grid_BD!$V:$V))),"")</f>
        <v>1</v>
      </c>
      <c r="S106" s="9"/>
      <c r="T106" s="231"/>
      <c r="U106" s="232">
        <f t="shared" si="11"/>
        <v>0.82415503974559845</v>
      </c>
      <c r="V106" s="232" t="str">
        <f>IFERROR(_xlfn.XLOOKUP($A106,Input_Raw!$A:$A,Input_Raw!$FG:$FG),"")</f>
        <v/>
      </c>
      <c r="W106" s="233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85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33">
        <f>IFERROR(_xlfn.XLOOKUP($D106,'Modelling New'!$D:$D,'Modelling New'!O:O),"")</f>
        <v>0.85307603301688106</v>
      </c>
      <c r="AF106" s="233">
        <f>IFERROR(_xlfn.XLOOKUP($D106,'Modelling New'!$D:$D,'Modelling New'!W:W),"")</f>
        <v>0.13495571113721361</v>
      </c>
      <c r="AG106" s="233">
        <f>IFERROR(_xlfn.XLOOKUP($D106,'Modelling New'!$D:$D,'Modelling New'!AE:AE),"")</f>
        <v>0.995</v>
      </c>
      <c r="AH106" s="233">
        <f>IFERROR(_xlfn.XLOOKUP($D106,'Modelling New'!$D:$D,'Modelling New'!AF:AF),"")</f>
        <v>0.995</v>
      </c>
      <c r="AI106" s="9"/>
      <c r="AJ106" s="9"/>
      <c r="AK106" s="256"/>
      <c r="AL106" s="256"/>
      <c r="AM106" s="256"/>
      <c r="AN106" s="230"/>
      <c r="AO106" s="233"/>
      <c r="AP106" s="233"/>
      <c r="AQ106" s="233"/>
      <c r="AR106" s="234">
        <f>_xlfn.XLOOKUP(D106,'Modelling New'!$D:$D,'Modelling New'!$N:$N)</f>
        <v>130</v>
      </c>
      <c r="AS106" s="234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29">
        <f>Table13[[#This Row],[Date]]-DAY(Table13[[#This Row],[Date]])+1</f>
        <v>45839</v>
      </c>
      <c r="E107" s="9">
        <f t="shared" si="10"/>
        <v>31</v>
      </c>
      <c r="F107" s="199">
        <f>IFERROR(_xlfn.XLOOKUP($A107,Input_Raw!$A:$A,Input_Raw!$FC:$FC),"")</f>
        <v>12.683333333333334</v>
      </c>
      <c r="G107" s="185">
        <f>IFERROR(_xlfn.XLOOKUP($A107,Input_Raw!$A:$A,Input_Raw!$CY:$CY),"")</f>
        <v>4.1836896166666691</v>
      </c>
      <c r="H107" s="185">
        <f>IFERROR(_xlfn.XLOOKUP($A107,Input_Raw!$A:$A,Input_Raw!$DA:$DA),"")</f>
        <v>0.71307090000000017</v>
      </c>
      <c r="I107" s="185">
        <f>IFERROR(_xlfn.XLOOKUP($A107,Input_Raw!$A:$A,Input_Raw!$CX:$CX),"")</f>
        <v>4.2439528416666743</v>
      </c>
      <c r="J107" s="185">
        <f>IFERROR(_xlfn.XLOOKUP($A107,Input_Raw!$A:$A,Input_Raw!$CZ:$CZ),"")</f>
        <v>0.58508589999999971</v>
      </c>
      <c r="K107" s="201">
        <f>IFERROR(_xlfn.XLOOKUP($A107,Input_Raw!$A:$A,Input_Raw!$DB:$DB),"")</f>
        <v>27.784015088013462</v>
      </c>
      <c r="L107" s="201">
        <f>IFERROR(_xlfn.XLOOKUP($A107,Input_Raw!$A:$A,Input_Raw!$DC:$DC),"")</f>
        <v>38.310692791282527</v>
      </c>
      <c r="M107" s="200">
        <f>IFERROR(_xlfn.XLOOKUP($A107,Input_Raw!$A:$A,Input_Raw!$DF:$DF),"")</f>
        <v>1.476199916177702</v>
      </c>
      <c r="N107" s="200">
        <f>IFERROR(_xlfn.XLOOKUP($A107,Input_Raw!$A:$A,Input_Raw!$DG:$DG),"")</f>
        <v>2.976</v>
      </c>
      <c r="O107" s="230">
        <f>IFERROR(1-(SUMIF(Plant_BD!$B:$B,$A107,Plant_BD!$AL:$AL)/($AA107+SUMIF(Plant_BD!$B:$B,$A107,Plant_BD!$AL:$AL))),"")</f>
        <v>1</v>
      </c>
      <c r="P107" s="230"/>
      <c r="Q107" s="231">
        <f>IFERROR(1-(SUMIF(Grid_BD!$B:$B,$A107,Grid_BD!$V:$V)/($AA107+SUMIF(Grid_BD!$B:$B,$A107,Grid_BD!$V:$V))),"")</f>
        <v>1</v>
      </c>
      <c r="R107" s="230">
        <f>IFERROR(1-(SUMIF(Grid_BD!$B:$B,$A107,Grid_BD!$V:$V)/($AA107+SUMIF(Grid_BD!$B:$B,$A107,Grid_BD!$V:$V))),"")</f>
        <v>1</v>
      </c>
      <c r="S107" s="9"/>
      <c r="T107" s="231"/>
      <c r="U107" s="232">
        <f t="shared" si="11"/>
        <v>0.89489126505091265</v>
      </c>
      <c r="V107" s="232" t="str">
        <f>IFERROR(_xlfn.XLOOKUP($A107,Input_Raw!$A:$A,Input_Raw!$FG:$FG),"")</f>
        <v/>
      </c>
      <c r="W107" s="233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85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33">
        <f>IFERROR(_xlfn.XLOOKUP($D107,'Modelling New'!$D:$D,'Modelling New'!O:O),"")</f>
        <v>0.85307603301688106</v>
      </c>
      <c r="AF107" s="233">
        <f>IFERROR(_xlfn.XLOOKUP($D107,'Modelling New'!$D:$D,'Modelling New'!W:W),"")</f>
        <v>0.13495571113721361</v>
      </c>
      <c r="AG107" s="233">
        <f>IFERROR(_xlfn.XLOOKUP($D107,'Modelling New'!$D:$D,'Modelling New'!AE:AE),"")</f>
        <v>0.995</v>
      </c>
      <c r="AH107" s="233">
        <f>IFERROR(_xlfn.XLOOKUP($D107,'Modelling New'!$D:$D,'Modelling New'!AF:AF),"")</f>
        <v>0.995</v>
      </c>
      <c r="AI107" s="9"/>
      <c r="AJ107" s="9"/>
      <c r="AK107" s="256"/>
      <c r="AL107" s="256"/>
      <c r="AM107" s="256"/>
      <c r="AN107" s="230"/>
      <c r="AO107" s="233"/>
      <c r="AP107" s="233"/>
      <c r="AQ107" s="233"/>
      <c r="AR107" s="234">
        <f>_xlfn.XLOOKUP(D107,'Modelling New'!$D:$D,'Modelling New'!$N:$N)</f>
        <v>130</v>
      </c>
      <c r="AS107" s="234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29">
        <f>Table13[[#This Row],[Date]]-DAY(Table13[[#This Row],[Date]])+1</f>
        <v>45839</v>
      </c>
      <c r="E108" s="9">
        <f t="shared" si="10"/>
        <v>31</v>
      </c>
      <c r="F108" s="199">
        <f>IFERROR(_xlfn.XLOOKUP($A108,Input_Raw!$A:$A,Input_Raw!$FC:$FC),"")</f>
        <v>12.516666666666667</v>
      </c>
      <c r="G108" s="200">
        <f>IFERROR(_xlfn.XLOOKUP($A108,Input_Raw!$A:$A,Input_Raw!$CY:$CY),"")</f>
        <v>3.4609894166666644</v>
      </c>
      <c r="H108" s="200">
        <f>IFERROR(_xlfn.XLOOKUP($A108,Input_Raw!$A:$A,Input_Raw!$DA:$DA),"")</f>
        <v>0.60712797500000015</v>
      </c>
      <c r="I108" s="200">
        <f>IFERROR(_xlfn.XLOOKUP($A108,Input_Raw!$A:$A,Input_Raw!$CX:$CX),"")</f>
        <v>3.4859386166683346</v>
      </c>
      <c r="J108" s="200">
        <f>IFERROR(_xlfn.XLOOKUP($A108,Input_Raw!$A:$A,Input_Raw!$CZ:$CZ),"")</f>
        <v>0.49890708333333345</v>
      </c>
      <c r="K108" s="201">
        <f>IFERROR(_xlfn.XLOOKUP($A108,Input_Raw!$A:$A,Input_Raw!$DB:$DB),"")</f>
        <v>27.467051282051251</v>
      </c>
      <c r="L108" s="201">
        <f>IFERROR(_xlfn.XLOOKUP($A108,Input_Raw!$A:$A,Input_Raw!$DC:$DC),"")</f>
        <v>37.10352350427349</v>
      </c>
      <c r="M108" s="200">
        <f>IFERROR(_xlfn.XLOOKUP($A108,Input_Raw!$A:$A,Input_Raw!$DF:$DF),"")</f>
        <v>1.5938820512820504</v>
      </c>
      <c r="N108" s="200">
        <f>IFERROR(_xlfn.XLOOKUP($A108,Input_Raw!$A:$A,Input_Raw!$DG:$DG),"")</f>
        <v>3.3014999999999999</v>
      </c>
      <c r="O108" s="230">
        <f>IFERROR(1-(SUMIF(Plant_BD!$B:$B,$A108,Plant_BD!$AL:$AL)/($AA108+SUMIF(Plant_BD!$B:$B,$A108,Plant_BD!$AL:$AL))),"")</f>
        <v>1</v>
      </c>
      <c r="P108" s="230"/>
      <c r="Q108" s="231">
        <f>IFERROR(1-(SUMIF(Grid_BD!$B:$B,$A108,Grid_BD!$V:$V)/($AA108+SUMIF(Grid_BD!$B:$B,$A108,Grid_BD!$V:$V))),"")</f>
        <v>1</v>
      </c>
      <c r="R108" s="230">
        <f>IFERROR(1-(SUMIF(Grid_BD!$B:$B,$A108,Grid_BD!$V:$V)/($AA108+SUMIF(Grid_BD!$B:$B,$A108,Grid_BD!$V:$V))),"")</f>
        <v>1</v>
      </c>
      <c r="S108" s="9"/>
      <c r="T108" s="231"/>
      <c r="U108" s="232">
        <f t="shared" si="11"/>
        <v>0.93693092645749121</v>
      </c>
      <c r="V108" s="232" t="str">
        <f>IFERROR(_xlfn.XLOOKUP($A108,Input_Raw!$A:$A,Input_Raw!$FG:$FG),"")</f>
        <v/>
      </c>
      <c r="W108" s="233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85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33">
        <f>IFERROR(_xlfn.XLOOKUP($D108,'Modelling New'!$D:$D,'Modelling New'!O:O),"")</f>
        <v>0.85307603301688106</v>
      </c>
      <c r="AF108" s="233">
        <f>IFERROR(_xlfn.XLOOKUP($D108,'Modelling New'!$D:$D,'Modelling New'!W:W),"")</f>
        <v>0.13495571113721361</v>
      </c>
      <c r="AG108" s="233">
        <f>IFERROR(_xlfn.XLOOKUP($D108,'Modelling New'!$D:$D,'Modelling New'!AE:AE),"")</f>
        <v>0.995</v>
      </c>
      <c r="AH108" s="233">
        <f>IFERROR(_xlfn.XLOOKUP($D108,'Modelling New'!$D:$D,'Modelling New'!AF:AF),"")</f>
        <v>0.995</v>
      </c>
      <c r="AI108" s="9"/>
      <c r="AJ108" s="9"/>
      <c r="AK108" s="256"/>
      <c r="AL108" s="256"/>
      <c r="AM108" s="256"/>
      <c r="AN108" s="230"/>
      <c r="AO108" s="233"/>
      <c r="AP108" s="233"/>
      <c r="AQ108" s="233"/>
      <c r="AR108" s="234">
        <f>_xlfn.XLOOKUP(D108,'Modelling New'!$D:$D,'Modelling New'!$N:$N)</f>
        <v>130</v>
      </c>
      <c r="AS108" s="234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29">
        <f>Table13[[#This Row],[Date]]-DAY(Table13[[#This Row],[Date]])+1</f>
        <v>45839</v>
      </c>
      <c r="E109" s="9">
        <f t="shared" si="10"/>
        <v>31</v>
      </c>
      <c r="F109" s="199">
        <f>IFERROR(_xlfn.XLOOKUP($A109,Input_Raw!$A:$A,Input_Raw!$FC:$FC),"")</f>
        <v>12.450000000000001</v>
      </c>
      <c r="G109" s="185">
        <f>IFERROR(_xlfn.XLOOKUP($A109,Input_Raw!$A:$A,Input_Raw!$CY:$CY),"")</f>
        <v>5.1454962249999951</v>
      </c>
      <c r="H109" s="185">
        <f>IFERROR(_xlfn.XLOOKUP($A109,Input_Raw!$A:$A,Input_Raw!$DA:$DA),"")</f>
        <v>0.88511324999999974</v>
      </c>
      <c r="I109" s="185">
        <f>IFERROR(_xlfn.XLOOKUP($A109,Input_Raw!$A:$A,Input_Raw!$CX:$CX),"")</f>
        <v>5.1787414249999948</v>
      </c>
      <c r="J109" s="185">
        <f>IFERROR(_xlfn.XLOOKUP($A109,Input_Raw!$A:$A,Input_Raw!$CZ:$CZ),"")</f>
        <v>0.73202464999999994</v>
      </c>
      <c r="K109" s="201">
        <f>IFERROR(_xlfn.XLOOKUP($A109,Input_Raw!$A:$A,Input_Raw!$DB:$DB),"")</f>
        <v>27.895973154362398</v>
      </c>
      <c r="L109" s="201">
        <f>IFERROR(_xlfn.XLOOKUP($A109,Input_Raw!$A:$A,Input_Raw!$DC:$DC),"")</f>
        <v>40.008338926174552</v>
      </c>
      <c r="M109" s="200">
        <f>IFERROR(_xlfn.XLOOKUP($A109,Input_Raw!$A:$A,Input_Raw!$DF:$DF),"")</f>
        <v>1.4151845637583889</v>
      </c>
      <c r="N109" s="200">
        <f>IFERROR(_xlfn.XLOOKUP($A109,Input_Raw!$A:$A,Input_Raw!$DG:$DG),"")</f>
        <v>3.1124999999999998</v>
      </c>
      <c r="O109" s="230">
        <f>IFERROR(1-(SUMIF(Plant_BD!$B:$B,$A109,Plant_BD!$AL:$AL)/($AA109+SUMIF(Plant_BD!$B:$B,$A109,Plant_BD!$AL:$AL))),"")</f>
        <v>1</v>
      </c>
      <c r="P109" s="230"/>
      <c r="Q109" s="231">
        <f>IFERROR(1-(SUMIF(Grid_BD!$B:$B,$A109,Grid_BD!$V:$V)/($AA109+SUMIF(Grid_BD!$B:$B,$A109,Grid_BD!$V:$V))),"")</f>
        <v>1</v>
      </c>
      <c r="R109" s="230">
        <f>IFERROR(1-(SUMIF(Grid_BD!$B:$B,$A109,Grid_BD!$V:$V)/($AA109+SUMIF(Grid_BD!$B:$B,$A109,Grid_BD!$V:$V))),"")</f>
        <v>1</v>
      </c>
      <c r="S109" s="9"/>
      <c r="T109" s="231"/>
      <c r="U109" s="232">
        <f t="shared" si="11"/>
        <v>0.83192168798666155</v>
      </c>
      <c r="V109" s="232" t="str">
        <f>IFERROR(_xlfn.XLOOKUP($A109,Input_Raw!$A:$A,Input_Raw!$FG:$FG),"")</f>
        <v/>
      </c>
      <c r="W109" s="233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85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33">
        <f>IFERROR(_xlfn.XLOOKUP($D109,'Modelling New'!$D:$D,'Modelling New'!O:O),"")</f>
        <v>0.85307603301688106</v>
      </c>
      <c r="AF109" s="233">
        <f>IFERROR(_xlfn.XLOOKUP($D109,'Modelling New'!$D:$D,'Modelling New'!W:W),"")</f>
        <v>0.13495571113721361</v>
      </c>
      <c r="AG109" s="233">
        <f>IFERROR(_xlfn.XLOOKUP($D109,'Modelling New'!$D:$D,'Modelling New'!AE:AE),"")</f>
        <v>0.995</v>
      </c>
      <c r="AH109" s="233">
        <f>IFERROR(_xlfn.XLOOKUP($D109,'Modelling New'!$D:$D,'Modelling New'!AF:AF),"")</f>
        <v>0.995</v>
      </c>
      <c r="AI109" s="9"/>
      <c r="AJ109" s="9"/>
      <c r="AK109" s="256"/>
      <c r="AL109" s="256"/>
      <c r="AM109" s="256"/>
      <c r="AN109" s="230"/>
      <c r="AO109" s="233"/>
      <c r="AP109" s="233"/>
      <c r="AQ109" s="233"/>
      <c r="AR109" s="234">
        <f>_xlfn.XLOOKUP(D109,'Modelling New'!$D:$D,'Modelling New'!$N:$N)</f>
        <v>130</v>
      </c>
      <c r="AS109" s="234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29">
        <f>Table13[[#This Row],[Date]]-DAY(Table13[[#This Row],[Date]])+1</f>
        <v>45839</v>
      </c>
      <c r="E110" s="9">
        <f t="shared" si="10"/>
        <v>31</v>
      </c>
      <c r="F110" s="199">
        <f>IFERROR(_xlfn.XLOOKUP($A110,Input_Raw!$A:$A,Input_Raw!$FC:$FC),"")</f>
        <v>12.816666666666666</v>
      </c>
      <c r="G110" s="200">
        <f>IFERROR(_xlfn.XLOOKUP($A110,Input_Raw!$A:$A,Input_Raw!$CY:$CY),"")</f>
        <v>5.5642944250000017</v>
      </c>
      <c r="H110" s="200">
        <f>IFERROR(_xlfn.XLOOKUP($A110,Input_Raw!$A:$A,Input_Raw!$DA:$DA),"")</f>
        <v>0.94995153333333326</v>
      </c>
      <c r="I110" s="200">
        <f>IFERROR(_xlfn.XLOOKUP($A110,Input_Raw!$A:$A,Input_Raw!$CX:$CX),"")</f>
        <v>5.543701066666662</v>
      </c>
      <c r="J110" s="200">
        <f>IFERROR(_xlfn.XLOOKUP($A110,Input_Raw!$A:$A,Input_Raw!$CZ:$CZ),"")</f>
        <v>0.78964312500000022</v>
      </c>
      <c r="K110" s="201">
        <f>IFERROR(_xlfn.XLOOKUP($A110,Input_Raw!$A:$A,Input_Raw!$DB:$DB),"")</f>
        <v>28.473585304054069</v>
      </c>
      <c r="L110" s="201">
        <f>IFERROR(_xlfn.XLOOKUP($A110,Input_Raw!$A:$A,Input_Raw!$DC:$DC),"")</f>
        <v>41.32022804054052</v>
      </c>
      <c r="M110" s="200">
        <f>IFERROR(_xlfn.XLOOKUP($A110,Input_Raw!$A:$A,Input_Raw!$DF:$DF),"")</f>
        <v>1.1897141047297306</v>
      </c>
      <c r="N110" s="200">
        <f>IFERROR(_xlfn.XLOOKUP($A110,Input_Raw!$A:$A,Input_Raw!$DG:$DG),"")</f>
        <v>2.9295</v>
      </c>
      <c r="O110" s="230">
        <f>IFERROR(1-(SUMIF(Plant_BD!$B:$B,$A110,Plant_BD!$AL:$AL)/($AA110+SUMIF(Plant_BD!$B:$B,$A110,Plant_BD!$AL:$AL))),"")</f>
        <v>1</v>
      </c>
      <c r="P110" s="230"/>
      <c r="Q110" s="231">
        <f>IFERROR(1-(SUMIF(Grid_BD!$B:$B,$A110,Grid_BD!$V:$V)/($AA110+SUMIF(Grid_BD!$B:$B,$A110,Grid_BD!$V:$V))),"")</f>
        <v>1</v>
      </c>
      <c r="R110" s="230">
        <f>IFERROR(1-(SUMIF(Grid_BD!$B:$B,$A110,Grid_BD!$V:$V)/($AA110+SUMIF(Grid_BD!$B:$B,$A110,Grid_BD!$V:$V))),"")</f>
        <v>1</v>
      </c>
      <c r="S110" s="9"/>
      <c r="T110" s="231"/>
      <c r="U110" s="232">
        <f t="shared" si="11"/>
        <v>0.83769128247875968</v>
      </c>
      <c r="V110" s="232" t="str">
        <f>IFERROR(_xlfn.XLOOKUP($A110,Input_Raw!$A:$A,Input_Raw!$FG:$FG),"")</f>
        <v/>
      </c>
      <c r="W110" s="233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85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33">
        <f>IFERROR(_xlfn.XLOOKUP($D110,'Modelling New'!$D:$D,'Modelling New'!O:O),"")</f>
        <v>0.85307603301688106</v>
      </c>
      <c r="AF110" s="233">
        <f>IFERROR(_xlfn.XLOOKUP($D110,'Modelling New'!$D:$D,'Modelling New'!W:W),"")</f>
        <v>0.13495571113721361</v>
      </c>
      <c r="AG110" s="233">
        <f>IFERROR(_xlfn.XLOOKUP($D110,'Modelling New'!$D:$D,'Modelling New'!AE:AE),"")</f>
        <v>0.995</v>
      </c>
      <c r="AH110" s="233">
        <f>IFERROR(_xlfn.XLOOKUP($D110,'Modelling New'!$D:$D,'Modelling New'!AF:AF),"")</f>
        <v>0.995</v>
      </c>
      <c r="AI110" s="9"/>
      <c r="AJ110" s="9"/>
      <c r="AK110" s="256"/>
      <c r="AL110" s="256"/>
      <c r="AM110" s="256"/>
      <c r="AN110" s="230"/>
      <c r="AO110" s="233"/>
      <c r="AP110" s="233"/>
      <c r="AQ110" s="233"/>
      <c r="AR110" s="234">
        <f>_xlfn.XLOOKUP(D110,'Modelling New'!$D:$D,'Modelling New'!$N:$N)</f>
        <v>130</v>
      </c>
      <c r="AS110" s="234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29">
        <f>Table13[[#This Row],[Date]]-DAY(Table13[[#This Row],[Date]])+1</f>
        <v>45839</v>
      </c>
      <c r="E111" s="9">
        <f t="shared" si="10"/>
        <v>31</v>
      </c>
      <c r="F111" s="199">
        <f>IFERROR(_xlfn.XLOOKUP($A111,Input_Raw!$A:$A,Input_Raw!$FC:$FC),"")</f>
        <v>12.533333333333331</v>
      </c>
      <c r="G111" s="185">
        <f>IFERROR(_xlfn.XLOOKUP($A111,Input_Raw!$A:$A,Input_Raw!$CY:$CY),"")</f>
        <v>4.9864511750000045</v>
      </c>
      <c r="H111" s="185">
        <f>IFERROR(_xlfn.XLOOKUP($A111,Input_Raw!$A:$A,Input_Raw!$DA:$DA),"")</f>
        <v>0.86416732500000026</v>
      </c>
      <c r="I111" s="185">
        <f>IFERROR(_xlfn.XLOOKUP($A111,Input_Raw!$A:$A,Input_Raw!$CX:$CX),"")</f>
        <v>5.1267954916733327</v>
      </c>
      <c r="J111" s="185">
        <f>IFERROR(_xlfn.XLOOKUP($A111,Input_Raw!$A:$A,Input_Raw!$CZ:$CZ),"")</f>
        <v>0.68635593333333333</v>
      </c>
      <c r="K111" s="201">
        <f>IFERROR(_xlfn.XLOOKUP($A111,Input_Raw!$A:$A,Input_Raw!$DB:$DB),"")</f>
        <v>28.115282292557769</v>
      </c>
      <c r="L111" s="201">
        <f>IFERROR(_xlfn.XLOOKUP($A111,Input_Raw!$A:$A,Input_Raw!$DC:$DC),"")</f>
        <v>40.506878956372951</v>
      </c>
      <c r="M111" s="200">
        <f>IFERROR(_xlfn.XLOOKUP($A111,Input_Raw!$A:$A,Input_Raw!$DF:$DF),"")</f>
        <v>1.2777228400342171</v>
      </c>
      <c r="N111" s="200">
        <f>IFERROR(_xlfn.XLOOKUP($A111,Input_Raw!$A:$A,Input_Raw!$DG:$DG),"")</f>
        <v>3.2984999999999998</v>
      </c>
      <c r="O111" s="230">
        <f>IFERROR(1-(SUMIF(Plant_BD!$B:$B,$A111,Plant_BD!$AL:$AL)/($AA111+SUMIF(Plant_BD!$B:$B,$A111,Plant_BD!$AL:$AL))),"")</f>
        <v>1</v>
      </c>
      <c r="P111" s="230"/>
      <c r="Q111" s="231">
        <f>IFERROR(1-(SUMIF(Grid_BD!$B:$B,$A111,Grid_BD!$V:$V)/($AA111+SUMIF(Grid_BD!$B:$B,$A111,Grid_BD!$V:$V))),"")</f>
        <v>1</v>
      </c>
      <c r="R111" s="230">
        <f>IFERROR(1-(SUMIF(Grid_BD!$B:$B,$A111,Grid_BD!$V:$V)/($AA111+SUMIF(Grid_BD!$B:$B,$A111,Grid_BD!$V:$V))),"")</f>
        <v>1</v>
      </c>
      <c r="S111" s="9"/>
      <c r="T111" s="231"/>
      <c r="U111" s="232">
        <f t="shared" si="11"/>
        <v>0.86666671078463886</v>
      </c>
      <c r="V111" s="232" t="str">
        <f>IFERROR(_xlfn.XLOOKUP($A111,Input_Raw!$A:$A,Input_Raw!$FG:$FG),"")</f>
        <v/>
      </c>
      <c r="W111" s="233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85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33">
        <f>IFERROR(_xlfn.XLOOKUP($D111,'Modelling New'!$D:$D,'Modelling New'!O:O),"")</f>
        <v>0.85307603301688106</v>
      </c>
      <c r="AF111" s="233">
        <f>IFERROR(_xlfn.XLOOKUP($D111,'Modelling New'!$D:$D,'Modelling New'!W:W),"")</f>
        <v>0.13495571113721361</v>
      </c>
      <c r="AG111" s="233">
        <f>IFERROR(_xlfn.XLOOKUP($D111,'Modelling New'!$D:$D,'Modelling New'!AE:AE),"")</f>
        <v>0.995</v>
      </c>
      <c r="AH111" s="233">
        <f>IFERROR(_xlfn.XLOOKUP($D111,'Modelling New'!$D:$D,'Modelling New'!AF:AF),"")</f>
        <v>0.995</v>
      </c>
      <c r="AI111" s="9"/>
      <c r="AJ111" s="9"/>
      <c r="AK111" s="256"/>
      <c r="AL111" s="256"/>
      <c r="AM111" s="256"/>
      <c r="AN111" s="230"/>
      <c r="AO111" s="233"/>
      <c r="AP111" s="233"/>
      <c r="AQ111" s="233"/>
      <c r="AR111" s="234">
        <f>_xlfn.XLOOKUP(D111,'Modelling New'!$D:$D,'Modelling New'!$N:$N)</f>
        <v>130</v>
      </c>
      <c r="AS111" s="234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29">
        <f>Table13[[#This Row],[Date]]-DAY(Table13[[#This Row],[Date]])+1</f>
        <v>45839</v>
      </c>
      <c r="E112" s="9">
        <f t="shared" si="10"/>
        <v>31</v>
      </c>
      <c r="F112" s="199">
        <f>IFERROR(_xlfn.XLOOKUP($A112,Input_Raw!$A:$A,Input_Raw!$FC:$FC),"")</f>
        <v>12.499999999999998</v>
      </c>
      <c r="G112" s="200">
        <f>IFERROR(_xlfn.XLOOKUP($A112,Input_Raw!$A:$A,Input_Raw!$CY:$CY),"")</f>
        <v>4.4733486083333336</v>
      </c>
      <c r="H112" s="200">
        <f>IFERROR(_xlfn.XLOOKUP($A112,Input_Raw!$A:$A,Input_Raw!$DA:$DA),"")</f>
        <v>0.7906100749999998</v>
      </c>
      <c r="I112" s="200">
        <f>IFERROR(_xlfn.XLOOKUP($A112,Input_Raw!$A:$A,Input_Raw!$CX:$CX),"")</f>
        <v>4.9960676583333399</v>
      </c>
      <c r="J112" s="200">
        <f>IFERROR(_xlfn.XLOOKUP($A112,Input_Raw!$A:$A,Input_Raw!$CZ:$CZ),"")</f>
        <v>0.65088344166666623</v>
      </c>
      <c r="K112" s="201">
        <f>IFERROR(_xlfn.XLOOKUP($A112,Input_Raw!$A:$A,Input_Raw!$DB:$DB),"")</f>
        <v>28.266057529610872</v>
      </c>
      <c r="L112" s="201">
        <f>IFERROR(_xlfn.XLOOKUP($A112,Input_Raw!$A:$A,Input_Raw!$DC:$DC),"")</f>
        <v>39.616384094754721</v>
      </c>
      <c r="M112" s="200">
        <f>IFERROR(_xlfn.XLOOKUP($A112,Input_Raw!$A:$A,Input_Raw!$DF:$DF),"")</f>
        <v>1.2535164974619284</v>
      </c>
      <c r="N112" s="200">
        <f>IFERROR(_xlfn.XLOOKUP($A112,Input_Raw!$A:$A,Input_Raw!$DG:$DG),"")</f>
        <v>2.7404999999999999</v>
      </c>
      <c r="O112" s="230">
        <f>IFERROR(1-(SUMIF(Plant_BD!$B:$B,$A112,Plant_BD!$AL:$AL)/($AA112+SUMIF(Plant_BD!$B:$B,$A112,Plant_BD!$AL:$AL))),"")</f>
        <v>1</v>
      </c>
      <c r="P112" s="230"/>
      <c r="Q112" s="231">
        <f>IFERROR(1-(SUMIF(Grid_BD!$B:$B,$A112,Grid_BD!$V:$V)/($AA112+SUMIF(Grid_BD!$B:$B,$A112,Grid_BD!$V:$V))),"")</f>
        <v>1</v>
      </c>
      <c r="R112" s="230">
        <f>IFERROR(1-(SUMIF(Grid_BD!$B:$B,$A112,Grid_BD!$V:$V)/($AA112+SUMIF(Grid_BD!$B:$B,$A112,Grid_BD!$V:$V))),"")</f>
        <v>1</v>
      </c>
      <c r="S112" s="9"/>
      <c r="T112" s="231"/>
      <c r="U112" s="232">
        <f t="shared" si="11"/>
        <v>0.85648871680639738</v>
      </c>
      <c r="V112" s="232" t="str">
        <f>IFERROR(_xlfn.XLOOKUP($A112,Input_Raw!$A:$A,Input_Raw!$FG:$FG),"")</f>
        <v/>
      </c>
      <c r="W112" s="233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85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33">
        <f>IFERROR(_xlfn.XLOOKUP($D112,'Modelling New'!$D:$D,'Modelling New'!O:O),"")</f>
        <v>0.85307603301688106</v>
      </c>
      <c r="AF112" s="233">
        <f>IFERROR(_xlfn.XLOOKUP($D112,'Modelling New'!$D:$D,'Modelling New'!W:W),"")</f>
        <v>0.13495571113721361</v>
      </c>
      <c r="AG112" s="233">
        <f>IFERROR(_xlfn.XLOOKUP($D112,'Modelling New'!$D:$D,'Modelling New'!AE:AE),"")</f>
        <v>0.995</v>
      </c>
      <c r="AH112" s="233">
        <f>IFERROR(_xlfn.XLOOKUP($D112,'Modelling New'!$D:$D,'Modelling New'!AF:AF),"")</f>
        <v>0.995</v>
      </c>
      <c r="AI112" s="9"/>
      <c r="AJ112" s="9"/>
      <c r="AK112" s="256"/>
      <c r="AL112" s="256"/>
      <c r="AM112" s="256"/>
      <c r="AN112" s="230"/>
      <c r="AO112" s="233"/>
      <c r="AP112" s="233"/>
      <c r="AQ112" s="233"/>
      <c r="AR112" s="234">
        <f>_xlfn.XLOOKUP(D112,'Modelling New'!$D:$D,'Modelling New'!$N:$N)</f>
        <v>130</v>
      </c>
      <c r="AS112" s="234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29">
        <f>Table13[[#This Row],[Date]]-DAY(Table13[[#This Row],[Date]])+1</f>
        <v>45839</v>
      </c>
      <c r="E113" s="9">
        <f t="shared" si="10"/>
        <v>31</v>
      </c>
      <c r="F113" s="199">
        <f>IFERROR(_xlfn.XLOOKUP($A113,Input_Raw!$A:$A,Input_Raw!$FC:$FC),"")</f>
        <v>12.466666666666665</v>
      </c>
      <c r="G113" s="185">
        <f>IFERROR(_xlfn.XLOOKUP($A113,Input_Raw!$A:$A,Input_Raw!$CY:$CY),"")</f>
        <v>3.485098441666667</v>
      </c>
      <c r="H113" s="185">
        <f>IFERROR(_xlfn.XLOOKUP($A113,Input_Raw!$A:$A,Input_Raw!$DA:$DA),"")</f>
        <v>0.62181480833333391</v>
      </c>
      <c r="I113" s="185">
        <f>IFERROR(_xlfn.XLOOKUP($A113,Input_Raw!$A:$A,Input_Raw!$CX:$CX),"")</f>
        <v>3.6731238083336661</v>
      </c>
      <c r="J113" s="185">
        <f>IFERROR(_xlfn.XLOOKUP($A113,Input_Raw!$A:$A,Input_Raw!$CZ:$CZ),"")</f>
        <v>0.51057937499999995</v>
      </c>
      <c r="K113" s="201">
        <f>IFERROR(_xlfn.XLOOKUP($A113,Input_Raw!$A:$A,Input_Raw!$DB:$DB),"")</f>
        <v>28.14893754760098</v>
      </c>
      <c r="L113" s="201">
        <f>IFERROR(_xlfn.XLOOKUP($A113,Input_Raw!$A:$A,Input_Raw!$DC:$DC),"")</f>
        <v>37.887757425742564</v>
      </c>
      <c r="M113" s="200">
        <f>IFERROR(_xlfn.XLOOKUP($A113,Input_Raw!$A:$A,Input_Raw!$DF:$DF),"")</f>
        <v>0.90989565879664891</v>
      </c>
      <c r="N113" s="200">
        <f>IFERROR(_xlfn.XLOOKUP($A113,Input_Raw!$A:$A,Input_Raw!$DG:$DG),"")</f>
        <v>2.0910000000000002</v>
      </c>
      <c r="O113" s="230">
        <f>IFERROR(1-(SUMIF(Plant_BD!$B:$B,$A113,Plant_BD!$AL:$AL)/($AA113+SUMIF(Plant_BD!$B:$B,$A113,Plant_BD!$AL:$AL))),"")</f>
        <v>1</v>
      </c>
      <c r="P113" s="230"/>
      <c r="Q113" s="231">
        <f>IFERROR(1-(SUMIF(Grid_BD!$B:$B,$A113,Grid_BD!$V:$V)/($AA113+SUMIF(Grid_BD!$B:$B,$A113,Grid_BD!$V:$V))),"")</f>
        <v>1</v>
      </c>
      <c r="R113" s="230">
        <f>IFERROR(1-(SUMIF(Grid_BD!$B:$B,$A113,Grid_BD!$V:$V)/($AA113+SUMIF(Grid_BD!$B:$B,$A113,Grid_BD!$V:$V))),"")</f>
        <v>1</v>
      </c>
      <c r="S113" s="9"/>
      <c r="T113" s="231"/>
      <c r="U113" s="232">
        <f t="shared" si="11"/>
        <v>0.86699286726622082</v>
      </c>
      <c r="V113" s="232" t="str">
        <f>IFERROR(_xlfn.XLOOKUP($A113,Input_Raw!$A:$A,Input_Raw!$FG:$FG),"")</f>
        <v/>
      </c>
      <c r="W113" s="233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85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33">
        <f>IFERROR(_xlfn.XLOOKUP($D113,'Modelling New'!$D:$D,'Modelling New'!O:O),"")</f>
        <v>0.85307603301688106</v>
      </c>
      <c r="AF113" s="233">
        <f>IFERROR(_xlfn.XLOOKUP($D113,'Modelling New'!$D:$D,'Modelling New'!W:W),"")</f>
        <v>0.13495571113721361</v>
      </c>
      <c r="AG113" s="233">
        <f>IFERROR(_xlfn.XLOOKUP($D113,'Modelling New'!$D:$D,'Modelling New'!AE:AE),"")</f>
        <v>0.995</v>
      </c>
      <c r="AH113" s="233">
        <f>IFERROR(_xlfn.XLOOKUP($D113,'Modelling New'!$D:$D,'Modelling New'!AF:AF),"")</f>
        <v>0.995</v>
      </c>
      <c r="AI113" s="9"/>
      <c r="AJ113" s="9"/>
      <c r="AK113" s="256"/>
      <c r="AL113" s="256"/>
      <c r="AM113" s="256"/>
      <c r="AN113" s="230"/>
      <c r="AO113" s="233"/>
      <c r="AP113" s="233"/>
      <c r="AQ113" s="233"/>
      <c r="AR113" s="234">
        <f>_xlfn.XLOOKUP(D113,'Modelling New'!$D:$D,'Modelling New'!$N:$N)</f>
        <v>130</v>
      </c>
      <c r="AS113" s="234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29">
        <f>Table13[[#This Row],[Date]]-DAY(Table13[[#This Row],[Date]])+1</f>
        <v>45839</v>
      </c>
      <c r="E114" s="9">
        <f t="shared" si="10"/>
        <v>31</v>
      </c>
      <c r="F114" s="199">
        <f>IFERROR(_xlfn.XLOOKUP($A114,Input_Raw!$A:$A,Input_Raw!$FC:$FC),"")</f>
        <v>12.65</v>
      </c>
      <c r="G114" s="200">
        <f>IFERROR(_xlfn.XLOOKUP($A114,Input_Raw!$A:$A,Input_Raw!$CY:$CY),"")</f>
        <v>5.7807779749999977</v>
      </c>
      <c r="H114" s="200">
        <f>IFERROR(_xlfn.XLOOKUP($A114,Input_Raw!$A:$A,Input_Raw!$DA:$DA),"")</f>
        <v>1.0356066749999995</v>
      </c>
      <c r="I114" s="200">
        <f>IFERROR(_xlfn.XLOOKUP($A114,Input_Raw!$A:$A,Input_Raw!$CX:$CX),"")</f>
        <v>6.3768627833333351</v>
      </c>
      <c r="J114" s="200">
        <f>IFERROR(_xlfn.XLOOKUP($A114,Input_Raw!$A:$A,Input_Raw!$CZ:$CZ),"")</f>
        <v>0.84647876666666633</v>
      </c>
      <c r="K114" s="201">
        <f>IFERROR(_xlfn.XLOOKUP($A114,Input_Raw!$A:$A,Input_Raw!$DB:$DB),"")</f>
        <v>28.644102468212417</v>
      </c>
      <c r="L114" s="201">
        <f>IFERROR(_xlfn.XLOOKUP($A114,Input_Raw!$A:$A,Input_Raw!$DC:$DC),"")</f>
        <v>41.246784966342574</v>
      </c>
      <c r="M114" s="200">
        <f>IFERROR(_xlfn.XLOOKUP($A114,Input_Raw!$A:$A,Input_Raw!$DF:$DF),"")</f>
        <v>0.8837726252804774</v>
      </c>
      <c r="N114" s="200">
        <f>IFERROR(_xlfn.XLOOKUP($A114,Input_Raw!$A:$A,Input_Raw!$DG:$DG),"")</f>
        <v>2.3369999999999997</v>
      </c>
      <c r="O114" s="230">
        <f>IFERROR(1-(SUMIF(Plant_BD!$B:$B,$A114,Plant_BD!$AL:$AL)/($AA114+SUMIF(Plant_BD!$B:$B,$A114,Plant_BD!$AL:$AL))),"")</f>
        <v>1</v>
      </c>
      <c r="P114" s="230"/>
      <c r="Q114" s="231">
        <f>IFERROR(1-(SUMIF(Grid_BD!$B:$B,$A114,Grid_BD!$V:$V)/($AA114+SUMIF(Grid_BD!$B:$B,$A114,Grid_BD!$V:$V))),"")</f>
        <v>1</v>
      </c>
      <c r="R114" s="230">
        <f>IFERROR(1-(SUMIF(Grid_BD!$B:$B,$A114,Grid_BD!$V:$V)/($AA114+SUMIF(Grid_BD!$B:$B,$A114,Grid_BD!$V:$V))),"")</f>
        <v>1</v>
      </c>
      <c r="S114" s="9"/>
      <c r="T114" s="231"/>
      <c r="U114" s="232">
        <f t="shared" si="11"/>
        <v>0.76747240373600645</v>
      </c>
      <c r="V114" s="232" t="str">
        <f>IFERROR(_xlfn.XLOOKUP($A114,Input_Raw!$A:$A,Input_Raw!$FG:$FG),"")</f>
        <v/>
      </c>
      <c r="W114" s="233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85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33">
        <f>IFERROR(_xlfn.XLOOKUP($D114,'Modelling New'!$D:$D,'Modelling New'!O:O),"")</f>
        <v>0.85307603301688106</v>
      </c>
      <c r="AF114" s="233">
        <f>IFERROR(_xlfn.XLOOKUP($D114,'Modelling New'!$D:$D,'Modelling New'!W:W),"")</f>
        <v>0.13495571113721361</v>
      </c>
      <c r="AG114" s="233">
        <f>IFERROR(_xlfn.XLOOKUP($D114,'Modelling New'!$D:$D,'Modelling New'!AE:AE),"")</f>
        <v>0.995</v>
      </c>
      <c r="AH114" s="233">
        <f>IFERROR(_xlfn.XLOOKUP($D114,'Modelling New'!$D:$D,'Modelling New'!AF:AF),"")</f>
        <v>0.995</v>
      </c>
      <c r="AI114" s="9"/>
      <c r="AJ114" s="9"/>
      <c r="AK114" s="256"/>
      <c r="AL114" s="256"/>
      <c r="AM114" s="256"/>
      <c r="AN114" s="230"/>
      <c r="AO114" s="233"/>
      <c r="AP114" s="233"/>
      <c r="AQ114" s="233"/>
      <c r="AR114" s="234">
        <f>_xlfn.XLOOKUP(D114,'Modelling New'!$D:$D,'Modelling New'!$N:$N)</f>
        <v>130</v>
      </c>
      <c r="AS114" s="234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29">
        <f>Table13[[#This Row],[Date]]-DAY(Table13[[#This Row],[Date]])+1</f>
        <v>45839</v>
      </c>
      <c r="E115" s="9">
        <f t="shared" si="10"/>
        <v>31</v>
      </c>
      <c r="F115" s="199">
        <f>IFERROR(_xlfn.XLOOKUP($A115,Input_Raw!$A:$A,Input_Raw!$FC:$FC),"")</f>
        <v>12.483333333333334</v>
      </c>
      <c r="G115" s="185">
        <f>IFERROR(_xlfn.XLOOKUP($A115,Input_Raw!$A:$A,Input_Raw!$CY:$CY),"")</f>
        <v>6.0952217916666687</v>
      </c>
      <c r="H115" s="185">
        <f>IFERROR(_xlfn.XLOOKUP($A115,Input_Raw!$A:$A,Input_Raw!$DA:$DA),"")</f>
        <v>1.0925290416666664</v>
      </c>
      <c r="I115" s="185">
        <f>IFERROR(_xlfn.XLOOKUP($A115,Input_Raw!$A:$A,Input_Raw!$CX:$CX),"")</f>
        <v>6.1355955249999514</v>
      </c>
      <c r="J115" s="185">
        <f>IFERROR(_xlfn.XLOOKUP($A115,Input_Raw!$A:$A,Input_Raw!$CZ:$CZ),"")</f>
        <v>0.88302578333333304</v>
      </c>
      <c r="K115" s="201">
        <f>IFERROR(_xlfn.XLOOKUP($A115,Input_Raw!$A:$A,Input_Raw!$DB:$DB),"")</f>
        <v>28.77987825356842</v>
      </c>
      <c r="L115" s="201">
        <f>IFERROR(_xlfn.XLOOKUP($A115,Input_Raw!$A:$A,Input_Raw!$DC:$DC),"")</f>
        <v>42.880911418975671</v>
      </c>
      <c r="M115" s="200">
        <f>IFERROR(_xlfn.XLOOKUP($A115,Input_Raw!$A:$A,Input_Raw!$DF:$DF),"")</f>
        <v>0.88360579345088253</v>
      </c>
      <c r="N115" s="200">
        <f>IFERROR(_xlfn.XLOOKUP($A115,Input_Raw!$A:$A,Input_Raw!$DG:$DG),"")</f>
        <v>2.2770000000000001</v>
      </c>
      <c r="O115" s="230">
        <f>IFERROR(1-(SUMIF(Plant_BD!$B:$B,$A115,Plant_BD!$AL:$AL)/($AA115+SUMIF(Plant_BD!$B:$B,$A115,Plant_BD!$AL:$AL))),"")</f>
        <v>1</v>
      </c>
      <c r="P115" s="230"/>
      <c r="Q115" s="231">
        <f>IFERROR(1-(SUMIF(Grid_BD!$B:$B,$A115,Grid_BD!$V:$V)/($AA115+SUMIF(Grid_BD!$B:$B,$A115,Grid_BD!$V:$V))),"")</f>
        <v>1</v>
      </c>
      <c r="R115" s="230">
        <f>IFERROR(1-(SUMIF(Grid_BD!$B:$B,$A115,Grid_BD!$V:$V)/($AA115+SUMIF(Grid_BD!$B:$B,$A115,Grid_BD!$V:$V))),"")</f>
        <v>1</v>
      </c>
      <c r="S115" s="9"/>
      <c r="T115" s="231"/>
      <c r="U115" s="232">
        <f t="shared" si="11"/>
        <v>0.84712665009775323</v>
      </c>
      <c r="V115" s="232" t="str">
        <f>IFERROR(_xlfn.XLOOKUP($A115,Input_Raw!$A:$A,Input_Raw!$FG:$FG),"")</f>
        <v/>
      </c>
      <c r="W115" s="233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85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33">
        <f>IFERROR(_xlfn.XLOOKUP($D115,'Modelling New'!$D:$D,'Modelling New'!O:O),"")</f>
        <v>0.85307603301688106</v>
      </c>
      <c r="AF115" s="233">
        <f>IFERROR(_xlfn.XLOOKUP($D115,'Modelling New'!$D:$D,'Modelling New'!W:W),"")</f>
        <v>0.13495571113721361</v>
      </c>
      <c r="AG115" s="233">
        <f>IFERROR(_xlfn.XLOOKUP($D115,'Modelling New'!$D:$D,'Modelling New'!AE:AE),"")</f>
        <v>0.995</v>
      </c>
      <c r="AH115" s="233">
        <f>IFERROR(_xlfn.XLOOKUP($D115,'Modelling New'!$D:$D,'Modelling New'!AF:AF),"")</f>
        <v>0.995</v>
      </c>
      <c r="AI115" s="9"/>
      <c r="AJ115" s="9"/>
      <c r="AK115" s="256"/>
      <c r="AL115" s="256"/>
      <c r="AM115" s="256"/>
      <c r="AN115" s="230"/>
      <c r="AO115" s="233"/>
      <c r="AP115" s="233"/>
      <c r="AQ115" s="233"/>
      <c r="AR115" s="234">
        <f>_xlfn.XLOOKUP(D115,'Modelling New'!$D:$D,'Modelling New'!$N:$N)</f>
        <v>130</v>
      </c>
      <c r="AS115" s="234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29">
        <f>Table13[[#This Row],[Date]]-DAY(Table13[[#This Row],[Date]])+1</f>
        <v>45839</v>
      </c>
      <c r="E116" s="9">
        <f t="shared" si="10"/>
        <v>31</v>
      </c>
      <c r="F116" s="199">
        <f>IFERROR(_xlfn.XLOOKUP($A116,Input_Raw!$A:$A,Input_Raw!$FC:$FC),"")</f>
        <v>12.55</v>
      </c>
      <c r="G116" s="200">
        <f>IFERROR(_xlfn.XLOOKUP($A116,Input_Raw!$A:$A,Input_Raw!$CY:$CY),"")</f>
        <v>5.240109066666669</v>
      </c>
      <c r="H116" s="200">
        <f>IFERROR(_xlfn.XLOOKUP($A116,Input_Raw!$A:$A,Input_Raw!$DA:$DA),"")</f>
        <v>0.93227424166666695</v>
      </c>
      <c r="I116" s="200">
        <f>IFERROR(_xlfn.XLOOKUP($A116,Input_Raw!$A:$A,Input_Raw!$CX:$CX),"")</f>
        <v>5.3453390666666625</v>
      </c>
      <c r="J116" s="200">
        <f>IFERROR(_xlfn.XLOOKUP($A116,Input_Raw!$A:$A,Input_Raw!$CZ:$CZ),"")</f>
        <v>0.7575494083333334</v>
      </c>
      <c r="K116" s="201">
        <f>IFERROR(_xlfn.XLOOKUP($A116,Input_Raw!$A:$A,Input_Raw!$DB:$DB),"")</f>
        <v>29.109610445205462</v>
      </c>
      <c r="L116" s="201">
        <f>IFERROR(_xlfn.XLOOKUP($A116,Input_Raw!$A:$A,Input_Raw!$DC:$DC),"")</f>
        <v>42.632785530821913</v>
      </c>
      <c r="M116" s="200">
        <f>IFERROR(_xlfn.XLOOKUP($A116,Input_Raw!$A:$A,Input_Raw!$DF:$DF),"")</f>
        <v>1.1062885273972602</v>
      </c>
      <c r="N116" s="200">
        <f>IFERROR(_xlfn.XLOOKUP($A116,Input_Raw!$A:$A,Input_Raw!$DG:$DG),"")</f>
        <v>2.5230000000000001</v>
      </c>
      <c r="O116" s="230">
        <f>IFERROR(1-(SUMIF(Plant_BD!$B:$B,$A116,Plant_BD!$AL:$AL)/($AA116+SUMIF(Plant_BD!$B:$B,$A116,Plant_BD!$AL:$AL))),"")</f>
        <v>1</v>
      </c>
      <c r="P116" s="230"/>
      <c r="Q116" s="231">
        <f>IFERROR(1-(SUMIF(Grid_BD!$B:$B,$A116,Grid_BD!$V:$V)/($AA116+SUMIF(Grid_BD!$B:$B,$A116,Grid_BD!$V:$V))),"")</f>
        <v>1</v>
      </c>
      <c r="R116" s="230">
        <f>IFERROR(1-(SUMIF(Grid_BD!$B:$B,$A116,Grid_BD!$V:$V)/($AA116+SUMIF(Grid_BD!$B:$B,$A116,Grid_BD!$V:$V))),"")</f>
        <v>1</v>
      </c>
      <c r="S116" s="9"/>
      <c r="T116" s="231"/>
      <c r="U116" s="232">
        <f t="shared" si="11"/>
        <v>0.81461689211966015</v>
      </c>
      <c r="V116" s="232" t="str">
        <f>IFERROR(_xlfn.XLOOKUP($A116,Input_Raw!$A:$A,Input_Raw!$FG:$FG),"")</f>
        <v/>
      </c>
      <c r="W116" s="233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85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33">
        <f>IFERROR(_xlfn.XLOOKUP($D116,'Modelling New'!$D:$D,'Modelling New'!O:O),"")</f>
        <v>0.85307603301688106</v>
      </c>
      <c r="AF116" s="233">
        <f>IFERROR(_xlfn.XLOOKUP($D116,'Modelling New'!$D:$D,'Modelling New'!W:W),"")</f>
        <v>0.13495571113721361</v>
      </c>
      <c r="AG116" s="233">
        <f>IFERROR(_xlfn.XLOOKUP($D116,'Modelling New'!$D:$D,'Modelling New'!AE:AE),"")</f>
        <v>0.995</v>
      </c>
      <c r="AH116" s="233">
        <f>IFERROR(_xlfn.XLOOKUP($D116,'Modelling New'!$D:$D,'Modelling New'!AF:AF),"")</f>
        <v>0.995</v>
      </c>
      <c r="AI116" s="9"/>
      <c r="AJ116" s="9"/>
      <c r="AK116" s="256"/>
      <c r="AL116" s="256"/>
      <c r="AM116" s="256"/>
      <c r="AN116" s="230"/>
      <c r="AO116" s="233"/>
      <c r="AP116" s="233"/>
      <c r="AQ116" s="233"/>
      <c r="AR116" s="234">
        <f>_xlfn.XLOOKUP(D116,'Modelling New'!$D:$D,'Modelling New'!$N:$N)</f>
        <v>130</v>
      </c>
      <c r="AS116" s="234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29">
        <f>Table13[[#This Row],[Date]]-DAY(Table13[[#This Row],[Date]])+1</f>
        <v>45839</v>
      </c>
      <c r="E117" s="9">
        <f t="shared" si="10"/>
        <v>31</v>
      </c>
      <c r="F117" s="199">
        <f>IFERROR(_xlfn.XLOOKUP($A117,Input_Raw!$A:$A,Input_Raw!$FC:$FC),"")</f>
        <v>0</v>
      </c>
      <c r="G117" s="185" t="str">
        <f>IFERROR(_xlfn.XLOOKUP($A117,Input_Raw!$A:$A,Input_Raw!$CY:$CY),"")</f>
        <v/>
      </c>
      <c r="H117" s="185" t="str">
        <f>IFERROR(_xlfn.XLOOKUP($A117,Input_Raw!$A:$A,Input_Raw!$DA:$DA),"")</f>
        <v/>
      </c>
      <c r="I117" s="185" t="str">
        <f>IFERROR(_xlfn.XLOOKUP($A117,Input_Raw!$A:$A,Input_Raw!$CX:$CX),"")</f>
        <v/>
      </c>
      <c r="J117" s="185" t="str">
        <f>IFERROR(_xlfn.XLOOKUP($A117,Input_Raw!$A:$A,Input_Raw!$CZ:$CZ),"")</f>
        <v/>
      </c>
      <c r="K117" s="201" t="str">
        <f>IFERROR(_xlfn.XLOOKUP($A117,Input_Raw!$A:$A,Input_Raw!$DB:$DB),"")</f>
        <v/>
      </c>
      <c r="L117" s="201" t="str">
        <f>IFERROR(_xlfn.XLOOKUP($A117,Input_Raw!$A:$A,Input_Raw!$DC:$DC),"")</f>
        <v/>
      </c>
      <c r="M117" s="200" t="str">
        <f>IFERROR(_xlfn.XLOOKUP($A117,Input_Raw!$A:$A,Input_Raw!$DF:$DF),"")</f>
        <v/>
      </c>
      <c r="N117" s="200" t="str">
        <f>IFERROR(_xlfn.XLOOKUP($A117,Input_Raw!$A:$A,Input_Raw!$DG:$DG),"")</f>
        <v/>
      </c>
      <c r="O117" s="230" t="str">
        <f>IFERROR(1-(SUMIF(Plant_BD!$B:$B,$A117,Plant_BD!$AL:$AL)/($AA117+SUMIF(Plant_BD!$B:$B,$A117,Plant_BD!$AL:$AL))),"")</f>
        <v/>
      </c>
      <c r="P117" s="230"/>
      <c r="Q117" s="231" t="str">
        <f>IFERROR(1-(SUMIF(Grid_BD!$B:$B,$A117,Grid_BD!$V:$V)/($AA117+SUMIF(Grid_BD!$B:$B,$A117,Grid_BD!$V:$V))),"")</f>
        <v/>
      </c>
      <c r="R117" s="230" t="str">
        <f>IFERROR(1-(SUMIF(Grid_BD!$B:$B,$A117,Grid_BD!$V:$V)/($AA117+SUMIF(Grid_BD!$B:$B,$A117,Grid_BD!$V:$V))),"")</f>
        <v/>
      </c>
      <c r="S117" s="9"/>
      <c r="T117" s="231"/>
      <c r="U117" s="232" t="str">
        <f t="shared" si="11"/>
        <v/>
      </c>
      <c r="V117" s="232" t="str">
        <f>IFERROR(_xlfn.XLOOKUP($A117,Input_Raw!$A:$A,Input_Raw!$FG:$FG),"")</f>
        <v/>
      </c>
      <c r="W117" s="233">
        <f t="shared" si="12"/>
        <v>0</v>
      </c>
      <c r="X117" s="29">
        <f>IFERROR(_xlfn.XLOOKUP($A117,Input_Raw!$A:$A,Input_Raw!$DP:$DP),"")</f>
        <v>0</v>
      </c>
      <c r="Y117" s="29">
        <f>IFERROR(_xlfn.XLOOKUP($A117,Input_Raw!$A:$A,Input_Raw!EW:EW),"")</f>
        <v>0</v>
      </c>
      <c r="Z117" s="29">
        <f>IFERROR(_xlfn.XLOOKUP($A117,Input_Raw!$A:$A,Input_Raw!EX:EX),"")</f>
        <v>0</v>
      </c>
      <c r="AA117" s="29">
        <f>IFERROR(_xlfn.XLOOKUP($A117,Input_Raw!$A:$A,Input_Raw!FA:FA),"")</f>
        <v>0</v>
      </c>
      <c r="AB117" s="9">
        <f>IFERROR(_xlfn.XLOOKUP($A117,Input_Raw!$A:$A,Input_Raw!FD:FD),"")</f>
        <v>0</v>
      </c>
      <c r="AC117" s="185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33">
        <f>IFERROR(_xlfn.XLOOKUP($D117,'Modelling New'!$D:$D,'Modelling New'!O:O),"")</f>
        <v>0.85307603301688106</v>
      </c>
      <c r="AF117" s="233">
        <f>IFERROR(_xlfn.XLOOKUP($D117,'Modelling New'!$D:$D,'Modelling New'!W:W),"")</f>
        <v>0.13495571113721361</v>
      </c>
      <c r="AG117" s="233">
        <f>IFERROR(_xlfn.XLOOKUP($D117,'Modelling New'!$D:$D,'Modelling New'!AE:AE),"")</f>
        <v>0.995</v>
      </c>
      <c r="AH117" s="233">
        <f>IFERROR(_xlfn.XLOOKUP($D117,'Modelling New'!$D:$D,'Modelling New'!AF:AF),"")</f>
        <v>0.995</v>
      </c>
      <c r="AI117" s="9"/>
      <c r="AJ117" s="9"/>
      <c r="AK117" s="256"/>
      <c r="AL117" s="256"/>
      <c r="AM117" s="256"/>
      <c r="AN117" s="230"/>
      <c r="AO117" s="233"/>
      <c r="AP117" s="233"/>
      <c r="AQ117" s="233"/>
      <c r="AR117" s="234">
        <f>_xlfn.XLOOKUP(D117,'Modelling New'!$D:$D,'Modelling New'!$N:$N)</f>
        <v>130</v>
      </c>
      <c r="AS117" s="234">
        <f t="shared" si="13"/>
        <v>0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29">
        <f>Table13[[#This Row],[Date]]-DAY(Table13[[#This Row],[Date]])+1</f>
        <v>45839</v>
      </c>
      <c r="E118" s="9">
        <f t="shared" si="10"/>
        <v>31</v>
      </c>
      <c r="F118" s="199">
        <f>IFERROR(_xlfn.XLOOKUP($A118,Input_Raw!$A:$A,Input_Raw!$FC:$FC),"")</f>
        <v>0</v>
      </c>
      <c r="G118" s="200" t="str">
        <f>IFERROR(_xlfn.XLOOKUP($A118,Input_Raw!$A:$A,Input_Raw!$CY:$CY),"")</f>
        <v/>
      </c>
      <c r="H118" s="200" t="str">
        <f>IFERROR(_xlfn.XLOOKUP($A118,Input_Raw!$A:$A,Input_Raw!$DA:$DA),"")</f>
        <v/>
      </c>
      <c r="I118" s="200" t="str">
        <f>IFERROR(_xlfn.XLOOKUP($A118,Input_Raw!$A:$A,Input_Raw!$CX:$CX),"")</f>
        <v/>
      </c>
      <c r="J118" s="200" t="str">
        <f>IFERROR(_xlfn.XLOOKUP($A118,Input_Raw!$A:$A,Input_Raw!$CZ:$CZ),"")</f>
        <v/>
      </c>
      <c r="K118" s="201" t="str">
        <f>IFERROR(_xlfn.XLOOKUP($A118,Input_Raw!$A:$A,Input_Raw!$DB:$DB),"")</f>
        <v/>
      </c>
      <c r="L118" s="201" t="str">
        <f>IFERROR(_xlfn.XLOOKUP($A118,Input_Raw!$A:$A,Input_Raw!$DC:$DC),"")</f>
        <v/>
      </c>
      <c r="M118" s="200" t="str">
        <f>IFERROR(_xlfn.XLOOKUP($A118,Input_Raw!$A:$A,Input_Raw!$DF:$DF),"")</f>
        <v/>
      </c>
      <c r="N118" s="200" t="str">
        <f>IFERROR(_xlfn.XLOOKUP($A118,Input_Raw!$A:$A,Input_Raw!$DG:$DG),"")</f>
        <v/>
      </c>
      <c r="O118" s="230" t="str">
        <f>IFERROR(1-(SUMIF(Plant_BD!$B:$B,$A118,Plant_BD!$AL:$AL)/($AA118+SUMIF(Plant_BD!$B:$B,$A118,Plant_BD!$AL:$AL))),"")</f>
        <v/>
      </c>
      <c r="P118" s="230"/>
      <c r="Q118" s="231" t="str">
        <f>IFERROR(1-(SUMIF(Grid_BD!$B:$B,$A118,Grid_BD!$V:$V)/($AA118+SUMIF(Grid_BD!$B:$B,$A118,Grid_BD!$V:$V))),"")</f>
        <v/>
      </c>
      <c r="R118" s="230" t="str">
        <f>IFERROR(1-(SUMIF(Grid_BD!$B:$B,$A118,Grid_BD!$V:$V)/($AA118+SUMIF(Grid_BD!$B:$B,$A118,Grid_BD!$V:$V))),"")</f>
        <v/>
      </c>
      <c r="S118" s="9"/>
      <c r="T118" s="231"/>
      <c r="U118" s="232" t="str">
        <f t="shared" si="11"/>
        <v/>
      </c>
      <c r="V118" s="232" t="str">
        <f>IFERROR(_xlfn.XLOOKUP($A118,Input_Raw!$A:$A,Input_Raw!$FG:$FG),"")</f>
        <v/>
      </c>
      <c r="W118" s="233">
        <f t="shared" si="12"/>
        <v>0</v>
      </c>
      <c r="X118" s="29">
        <f>IFERROR(_xlfn.XLOOKUP($A118,Input_Raw!$A:$A,Input_Raw!$DP:$DP),"")</f>
        <v>0</v>
      </c>
      <c r="Y118" s="29">
        <f>IFERROR(_xlfn.XLOOKUP($A118,Input_Raw!$A:$A,Input_Raw!EW:EW),"")</f>
        <v>0</v>
      </c>
      <c r="Z118" s="29">
        <f>IFERROR(_xlfn.XLOOKUP($A118,Input_Raw!$A:$A,Input_Raw!EX:EX),"")</f>
        <v>0</v>
      </c>
      <c r="AA118" s="29">
        <f>IFERROR(_xlfn.XLOOKUP($A118,Input_Raw!$A:$A,Input_Raw!FA:FA),"")</f>
        <v>0</v>
      </c>
      <c r="AB118" s="9">
        <f>IFERROR(_xlfn.XLOOKUP($A118,Input_Raw!$A:$A,Input_Raw!FD:FD),"")</f>
        <v>0</v>
      </c>
      <c r="AC118" s="185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33">
        <f>IFERROR(_xlfn.XLOOKUP($D118,'Modelling New'!$D:$D,'Modelling New'!O:O),"")</f>
        <v>0.85307603301688106</v>
      </c>
      <c r="AF118" s="233">
        <f>IFERROR(_xlfn.XLOOKUP($D118,'Modelling New'!$D:$D,'Modelling New'!W:W),"")</f>
        <v>0.13495571113721361</v>
      </c>
      <c r="AG118" s="233">
        <f>IFERROR(_xlfn.XLOOKUP($D118,'Modelling New'!$D:$D,'Modelling New'!AE:AE),"")</f>
        <v>0.995</v>
      </c>
      <c r="AH118" s="233">
        <f>IFERROR(_xlfn.XLOOKUP($D118,'Modelling New'!$D:$D,'Modelling New'!AF:AF),"")</f>
        <v>0.995</v>
      </c>
      <c r="AI118" s="9"/>
      <c r="AJ118" s="9"/>
      <c r="AK118" s="256"/>
      <c r="AL118" s="256"/>
      <c r="AM118" s="256"/>
      <c r="AN118" s="230"/>
      <c r="AO118" s="233"/>
      <c r="AP118" s="233"/>
      <c r="AQ118" s="233"/>
      <c r="AR118" s="234">
        <f>_xlfn.XLOOKUP(D118,'Modelling New'!$D:$D,'Modelling New'!$N:$N)</f>
        <v>130</v>
      </c>
      <c r="AS118" s="234">
        <f t="shared" si="13"/>
        <v>0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29">
        <f>Table13[[#This Row],[Date]]-DAY(Table13[[#This Row],[Date]])+1</f>
        <v>45839</v>
      </c>
      <c r="E119" s="9">
        <f t="shared" si="10"/>
        <v>31</v>
      </c>
      <c r="F119" s="199">
        <f>IFERROR(_xlfn.XLOOKUP($A119,Input_Raw!$A:$A,Input_Raw!$FC:$FC),"")</f>
        <v>0</v>
      </c>
      <c r="G119" s="185" t="str">
        <f>IFERROR(_xlfn.XLOOKUP($A119,Input_Raw!$A:$A,Input_Raw!$CY:$CY),"")</f>
        <v/>
      </c>
      <c r="H119" s="185" t="str">
        <f>IFERROR(_xlfn.XLOOKUP($A119,Input_Raw!$A:$A,Input_Raw!$DA:$DA),"")</f>
        <v/>
      </c>
      <c r="I119" s="185" t="str">
        <f>IFERROR(_xlfn.XLOOKUP($A119,Input_Raw!$A:$A,Input_Raw!$CX:$CX),"")</f>
        <v/>
      </c>
      <c r="J119" s="185" t="str">
        <f>IFERROR(_xlfn.XLOOKUP($A119,Input_Raw!$A:$A,Input_Raw!$CZ:$CZ),"")</f>
        <v/>
      </c>
      <c r="K119" s="201" t="str">
        <f>IFERROR(_xlfn.XLOOKUP($A119,Input_Raw!$A:$A,Input_Raw!$DB:$DB),"")</f>
        <v/>
      </c>
      <c r="L119" s="201" t="str">
        <f>IFERROR(_xlfn.XLOOKUP($A119,Input_Raw!$A:$A,Input_Raw!$DC:$DC),"")</f>
        <v/>
      </c>
      <c r="M119" s="200" t="str">
        <f>IFERROR(_xlfn.XLOOKUP($A119,Input_Raw!$A:$A,Input_Raw!$DF:$DF),"")</f>
        <v/>
      </c>
      <c r="N119" s="200" t="str">
        <f>IFERROR(_xlfn.XLOOKUP($A119,Input_Raw!$A:$A,Input_Raw!$DG:$DG),"")</f>
        <v/>
      </c>
      <c r="O119" s="230" t="str">
        <f>IFERROR(1-(SUMIF(Plant_BD!$B:$B,$A119,Plant_BD!$AL:$AL)/($AA119+SUMIF(Plant_BD!$B:$B,$A119,Plant_BD!$AL:$AL))),"")</f>
        <v/>
      </c>
      <c r="P119" s="230"/>
      <c r="Q119" s="231" t="str">
        <f>IFERROR(1-(SUMIF(Grid_BD!$B:$B,$A119,Grid_BD!$V:$V)/($AA119+SUMIF(Grid_BD!$B:$B,$A119,Grid_BD!$V:$V))),"")</f>
        <v/>
      </c>
      <c r="R119" s="230" t="str">
        <f>IFERROR(1-(SUMIF(Grid_BD!$B:$B,$A119,Grid_BD!$V:$V)/($AA119+SUMIF(Grid_BD!$B:$B,$A119,Grid_BD!$V:$V))),"")</f>
        <v/>
      </c>
      <c r="S119" s="9"/>
      <c r="T119" s="231"/>
      <c r="U119" s="232" t="str">
        <f t="shared" si="11"/>
        <v/>
      </c>
      <c r="V119" s="232" t="str">
        <f>IFERROR(_xlfn.XLOOKUP($A119,Input_Raw!$A:$A,Input_Raw!$FG:$FG),"")</f>
        <v/>
      </c>
      <c r="W119" s="233">
        <f t="shared" si="12"/>
        <v>0</v>
      </c>
      <c r="X119" s="29">
        <f>IFERROR(_xlfn.XLOOKUP($A119,Input_Raw!$A:$A,Input_Raw!$DP:$DP),"")</f>
        <v>0</v>
      </c>
      <c r="Y119" s="29">
        <f>IFERROR(_xlfn.XLOOKUP($A119,Input_Raw!$A:$A,Input_Raw!EW:EW),"")</f>
        <v>0</v>
      </c>
      <c r="Z119" s="29">
        <f>IFERROR(_xlfn.XLOOKUP($A119,Input_Raw!$A:$A,Input_Raw!EX:EX),"")</f>
        <v>0</v>
      </c>
      <c r="AA119" s="29">
        <f>IFERROR(_xlfn.XLOOKUP($A119,Input_Raw!$A:$A,Input_Raw!FA:FA),"")</f>
        <v>0</v>
      </c>
      <c r="AB119" s="9">
        <f>IFERROR(_xlfn.XLOOKUP($A119,Input_Raw!$A:$A,Input_Raw!FD:FD),"")</f>
        <v>0</v>
      </c>
      <c r="AC119" s="185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33">
        <f>IFERROR(_xlfn.XLOOKUP($D119,'Modelling New'!$D:$D,'Modelling New'!O:O),"")</f>
        <v>0.85307603301688106</v>
      </c>
      <c r="AF119" s="233">
        <f>IFERROR(_xlfn.XLOOKUP($D119,'Modelling New'!$D:$D,'Modelling New'!W:W),"")</f>
        <v>0.13495571113721361</v>
      </c>
      <c r="AG119" s="233">
        <f>IFERROR(_xlfn.XLOOKUP($D119,'Modelling New'!$D:$D,'Modelling New'!AE:AE),"")</f>
        <v>0.995</v>
      </c>
      <c r="AH119" s="233">
        <f>IFERROR(_xlfn.XLOOKUP($D119,'Modelling New'!$D:$D,'Modelling New'!AF:AF),"")</f>
        <v>0.995</v>
      </c>
      <c r="AI119" s="9"/>
      <c r="AJ119" s="9"/>
      <c r="AK119" s="256"/>
      <c r="AL119" s="256"/>
      <c r="AM119" s="256"/>
      <c r="AN119" s="230"/>
      <c r="AO119" s="233"/>
      <c r="AP119" s="233"/>
      <c r="AQ119" s="233"/>
      <c r="AR119" s="234">
        <f>_xlfn.XLOOKUP(D119,'Modelling New'!$D:$D,'Modelling New'!$N:$N)</f>
        <v>130</v>
      </c>
      <c r="AS119" s="234">
        <f t="shared" si="13"/>
        <v>0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29">
        <f>Table13[[#This Row],[Date]]-DAY(Table13[[#This Row],[Date]])+1</f>
        <v>45839</v>
      </c>
      <c r="E120" s="9">
        <f t="shared" si="10"/>
        <v>31</v>
      </c>
      <c r="F120" s="199">
        <f>IFERROR(_xlfn.XLOOKUP($A120,Input_Raw!$A:$A,Input_Raw!$FC:$FC),"")</f>
        <v>0</v>
      </c>
      <c r="G120" s="200" t="str">
        <f>IFERROR(_xlfn.XLOOKUP($A120,Input_Raw!$A:$A,Input_Raw!$CY:$CY),"")</f>
        <v/>
      </c>
      <c r="H120" s="200" t="str">
        <f>IFERROR(_xlfn.XLOOKUP($A120,Input_Raw!$A:$A,Input_Raw!$DA:$DA),"")</f>
        <v/>
      </c>
      <c r="I120" s="200" t="str">
        <f>IFERROR(_xlfn.XLOOKUP($A120,Input_Raw!$A:$A,Input_Raw!$CX:$CX),"")</f>
        <v/>
      </c>
      <c r="J120" s="200" t="str">
        <f>IFERROR(_xlfn.XLOOKUP($A120,Input_Raw!$A:$A,Input_Raw!$CZ:$CZ),"")</f>
        <v/>
      </c>
      <c r="K120" s="201" t="str">
        <f>IFERROR(_xlfn.XLOOKUP($A120,Input_Raw!$A:$A,Input_Raw!$DB:$DB),"")</f>
        <v/>
      </c>
      <c r="L120" s="201" t="str">
        <f>IFERROR(_xlfn.XLOOKUP($A120,Input_Raw!$A:$A,Input_Raw!$DC:$DC),"")</f>
        <v/>
      </c>
      <c r="M120" s="200" t="str">
        <f>IFERROR(_xlfn.XLOOKUP($A120,Input_Raw!$A:$A,Input_Raw!$DF:$DF),"")</f>
        <v/>
      </c>
      <c r="N120" s="200" t="str">
        <f>IFERROR(_xlfn.XLOOKUP($A120,Input_Raw!$A:$A,Input_Raw!$DG:$DG),"")</f>
        <v/>
      </c>
      <c r="O120" s="230" t="str">
        <f>IFERROR(1-(SUMIF(Plant_BD!$B:$B,$A120,Plant_BD!$AL:$AL)/($AA120+SUMIF(Plant_BD!$B:$B,$A120,Plant_BD!$AL:$AL))),"")</f>
        <v/>
      </c>
      <c r="P120" s="230"/>
      <c r="Q120" s="231" t="str">
        <f>IFERROR(1-(SUMIF(Grid_BD!$B:$B,$A120,Grid_BD!$V:$V)/($AA120+SUMIF(Grid_BD!$B:$B,$A120,Grid_BD!$V:$V))),"")</f>
        <v/>
      </c>
      <c r="R120" s="230" t="str">
        <f>IFERROR(1-(SUMIF(Grid_BD!$B:$B,$A120,Grid_BD!$V:$V)/($AA120+SUMIF(Grid_BD!$B:$B,$A120,Grid_BD!$V:$V))),"")</f>
        <v/>
      </c>
      <c r="S120" s="9"/>
      <c r="T120" s="231"/>
      <c r="U120" s="232" t="str">
        <f t="shared" si="11"/>
        <v/>
      </c>
      <c r="V120" s="232" t="str">
        <f>IFERROR(_xlfn.XLOOKUP($A120,Input_Raw!$A:$A,Input_Raw!$FG:$FG),"")</f>
        <v/>
      </c>
      <c r="W120" s="233">
        <f t="shared" si="12"/>
        <v>0</v>
      </c>
      <c r="X120" s="29">
        <f>IFERROR(_xlfn.XLOOKUP($A120,Input_Raw!$A:$A,Input_Raw!$DP:$DP),"")</f>
        <v>0</v>
      </c>
      <c r="Y120" s="29">
        <f>IFERROR(_xlfn.XLOOKUP($A120,Input_Raw!$A:$A,Input_Raw!EW:EW),"")</f>
        <v>0</v>
      </c>
      <c r="Z120" s="29">
        <f>IFERROR(_xlfn.XLOOKUP($A120,Input_Raw!$A:$A,Input_Raw!EX:EX),"")</f>
        <v>0</v>
      </c>
      <c r="AA120" s="29">
        <f>IFERROR(_xlfn.XLOOKUP($A120,Input_Raw!$A:$A,Input_Raw!FA:FA),"")</f>
        <v>0</v>
      </c>
      <c r="AB120" s="9">
        <f>IFERROR(_xlfn.XLOOKUP($A120,Input_Raw!$A:$A,Input_Raw!FD:FD),"")</f>
        <v>0</v>
      </c>
      <c r="AC120" s="185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33">
        <f>IFERROR(_xlfn.XLOOKUP($D120,'Modelling New'!$D:$D,'Modelling New'!O:O),"")</f>
        <v>0.85307603301688106</v>
      </c>
      <c r="AF120" s="233">
        <f>IFERROR(_xlfn.XLOOKUP($D120,'Modelling New'!$D:$D,'Modelling New'!W:W),"")</f>
        <v>0.13495571113721361</v>
      </c>
      <c r="AG120" s="233">
        <f>IFERROR(_xlfn.XLOOKUP($D120,'Modelling New'!$D:$D,'Modelling New'!AE:AE),"")</f>
        <v>0.995</v>
      </c>
      <c r="AH120" s="233">
        <f>IFERROR(_xlfn.XLOOKUP($D120,'Modelling New'!$D:$D,'Modelling New'!AF:AF),"")</f>
        <v>0.995</v>
      </c>
      <c r="AI120" s="9"/>
      <c r="AJ120" s="9"/>
      <c r="AK120" s="256"/>
      <c r="AL120" s="256"/>
      <c r="AM120" s="256"/>
      <c r="AN120" s="230"/>
      <c r="AO120" s="233"/>
      <c r="AP120" s="233"/>
      <c r="AQ120" s="233"/>
      <c r="AR120" s="234">
        <f>_xlfn.XLOOKUP(D120,'Modelling New'!$D:$D,'Modelling New'!$N:$N)</f>
        <v>130</v>
      </c>
      <c r="AS120" s="234">
        <f t="shared" si="13"/>
        <v>0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29">
        <f>Table13[[#This Row],[Date]]-DAY(Table13[[#This Row],[Date]])+1</f>
        <v>45839</v>
      </c>
      <c r="E121" s="9">
        <f t="shared" si="10"/>
        <v>31</v>
      </c>
      <c r="F121" s="199">
        <f>IFERROR(_xlfn.XLOOKUP($A121,Input_Raw!$A:$A,Input_Raw!$FC:$FC),"")</f>
        <v>0</v>
      </c>
      <c r="G121" s="185" t="str">
        <f>IFERROR(_xlfn.XLOOKUP($A121,Input_Raw!$A:$A,Input_Raw!$CY:$CY),"")</f>
        <v/>
      </c>
      <c r="H121" s="185" t="str">
        <f>IFERROR(_xlfn.XLOOKUP($A121,Input_Raw!$A:$A,Input_Raw!$DA:$DA),"")</f>
        <v/>
      </c>
      <c r="I121" s="185" t="str">
        <f>IFERROR(_xlfn.XLOOKUP($A121,Input_Raw!$A:$A,Input_Raw!$CX:$CX),"")</f>
        <v/>
      </c>
      <c r="J121" s="185" t="str">
        <f>IFERROR(_xlfn.XLOOKUP($A121,Input_Raw!$A:$A,Input_Raw!$CZ:$CZ),"")</f>
        <v/>
      </c>
      <c r="K121" s="201" t="str">
        <f>IFERROR(_xlfn.XLOOKUP($A121,Input_Raw!$A:$A,Input_Raw!$DB:$DB),"")</f>
        <v/>
      </c>
      <c r="L121" s="201" t="str">
        <f>IFERROR(_xlfn.XLOOKUP($A121,Input_Raw!$A:$A,Input_Raw!$DC:$DC),"")</f>
        <v/>
      </c>
      <c r="M121" s="200" t="str">
        <f>IFERROR(_xlfn.XLOOKUP($A121,Input_Raw!$A:$A,Input_Raw!$DF:$DF),"")</f>
        <v/>
      </c>
      <c r="N121" s="200" t="str">
        <f>IFERROR(_xlfn.XLOOKUP($A121,Input_Raw!$A:$A,Input_Raw!$DG:$DG),"")</f>
        <v/>
      </c>
      <c r="O121" s="230" t="str">
        <f>IFERROR(1-(SUMIF(Plant_BD!$B:$B,$A121,Plant_BD!$AL:$AL)/($AA121+SUMIF(Plant_BD!$B:$B,$A121,Plant_BD!$AL:$AL))),"")</f>
        <v/>
      </c>
      <c r="P121" s="230"/>
      <c r="Q121" s="231" t="str">
        <f>IFERROR(1-(SUMIF(Grid_BD!$B:$B,$A121,Grid_BD!$V:$V)/($AA121+SUMIF(Grid_BD!$B:$B,$A121,Grid_BD!$V:$V))),"")</f>
        <v/>
      </c>
      <c r="R121" s="230" t="str">
        <f>IFERROR(1-(SUMIF(Grid_BD!$B:$B,$A121,Grid_BD!$V:$V)/($AA121+SUMIF(Grid_BD!$B:$B,$A121,Grid_BD!$V:$V))),"")</f>
        <v/>
      </c>
      <c r="S121" s="9"/>
      <c r="T121" s="231"/>
      <c r="U121" s="232" t="str">
        <f t="shared" si="11"/>
        <v/>
      </c>
      <c r="V121" s="232" t="str">
        <f>IFERROR(_xlfn.XLOOKUP($A121,Input_Raw!$A:$A,Input_Raw!$FG:$FG),"")</f>
        <v/>
      </c>
      <c r="W121" s="233">
        <f t="shared" si="12"/>
        <v>0</v>
      </c>
      <c r="X121" s="29">
        <f>IFERROR(_xlfn.XLOOKUP($A121,Input_Raw!$A:$A,Input_Raw!$DP:$DP),"")</f>
        <v>0</v>
      </c>
      <c r="Y121" s="29">
        <f>IFERROR(_xlfn.XLOOKUP($A121,Input_Raw!$A:$A,Input_Raw!EW:EW),"")</f>
        <v>0</v>
      </c>
      <c r="Z121" s="29">
        <f>IFERROR(_xlfn.XLOOKUP($A121,Input_Raw!$A:$A,Input_Raw!EX:EX),"")</f>
        <v>0</v>
      </c>
      <c r="AA121" s="29">
        <f>IFERROR(_xlfn.XLOOKUP($A121,Input_Raw!$A:$A,Input_Raw!FA:FA),"")</f>
        <v>0</v>
      </c>
      <c r="AB121" s="9">
        <f>IFERROR(_xlfn.XLOOKUP($A121,Input_Raw!$A:$A,Input_Raw!FD:FD),"")</f>
        <v>0</v>
      </c>
      <c r="AC121" s="185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33">
        <f>IFERROR(_xlfn.XLOOKUP($D121,'Modelling New'!$D:$D,'Modelling New'!O:O),"")</f>
        <v>0.85307603301688106</v>
      </c>
      <c r="AF121" s="233">
        <f>IFERROR(_xlfn.XLOOKUP($D121,'Modelling New'!$D:$D,'Modelling New'!W:W),"")</f>
        <v>0.13495571113721361</v>
      </c>
      <c r="AG121" s="233">
        <f>IFERROR(_xlfn.XLOOKUP($D121,'Modelling New'!$D:$D,'Modelling New'!AE:AE),"")</f>
        <v>0.995</v>
      </c>
      <c r="AH121" s="233">
        <f>IFERROR(_xlfn.XLOOKUP($D121,'Modelling New'!$D:$D,'Modelling New'!AF:AF),"")</f>
        <v>0.995</v>
      </c>
      <c r="AI121" s="9"/>
      <c r="AJ121" s="9"/>
      <c r="AK121" s="256"/>
      <c r="AL121" s="256"/>
      <c r="AM121" s="256"/>
      <c r="AN121" s="230"/>
      <c r="AO121" s="233"/>
      <c r="AP121" s="233"/>
      <c r="AQ121" s="233"/>
      <c r="AR121" s="234">
        <f>_xlfn.XLOOKUP(D121,'Modelling New'!$D:$D,'Modelling New'!$N:$N)</f>
        <v>130</v>
      </c>
      <c r="AS121" s="234">
        <f t="shared" si="13"/>
        <v>0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29">
        <f>Table13[[#This Row],[Date]]-DAY(Table13[[#This Row],[Date]])+1</f>
        <v>45839</v>
      </c>
      <c r="E122" s="9">
        <f t="shared" si="10"/>
        <v>31</v>
      </c>
      <c r="F122" s="199">
        <f>IFERROR(_xlfn.XLOOKUP($A122,Input_Raw!$A:$A,Input_Raw!$FC:$FC),"")</f>
        <v>0</v>
      </c>
      <c r="G122" s="200" t="str">
        <f>IFERROR(_xlfn.XLOOKUP($A122,Input_Raw!$A:$A,Input_Raw!$CY:$CY),"")</f>
        <v/>
      </c>
      <c r="H122" s="200" t="str">
        <f>IFERROR(_xlfn.XLOOKUP($A122,Input_Raw!$A:$A,Input_Raw!$DA:$DA),"")</f>
        <v/>
      </c>
      <c r="I122" s="200" t="str">
        <f>IFERROR(_xlfn.XLOOKUP($A122,Input_Raw!$A:$A,Input_Raw!$CX:$CX),"")</f>
        <v/>
      </c>
      <c r="J122" s="200" t="str">
        <f>IFERROR(_xlfn.XLOOKUP($A122,Input_Raw!$A:$A,Input_Raw!$CZ:$CZ),"")</f>
        <v/>
      </c>
      <c r="K122" s="201" t="str">
        <f>IFERROR(_xlfn.XLOOKUP($A122,Input_Raw!$A:$A,Input_Raw!$DB:$DB),"")</f>
        <v/>
      </c>
      <c r="L122" s="201" t="str">
        <f>IFERROR(_xlfn.XLOOKUP($A122,Input_Raw!$A:$A,Input_Raw!$DC:$DC),"")</f>
        <v/>
      </c>
      <c r="M122" s="200" t="str">
        <f>IFERROR(_xlfn.XLOOKUP($A122,Input_Raw!$A:$A,Input_Raw!$DF:$DF),"")</f>
        <v/>
      </c>
      <c r="N122" s="200" t="str">
        <f>IFERROR(_xlfn.XLOOKUP($A122,Input_Raw!$A:$A,Input_Raw!$DG:$DG),"")</f>
        <v/>
      </c>
      <c r="O122" s="230" t="str">
        <f>IFERROR(1-(SUMIF(Plant_BD!$B:$B,$A122,Plant_BD!$AL:$AL)/($AA122+SUMIF(Plant_BD!$B:$B,$A122,Plant_BD!$AL:$AL))),"")</f>
        <v/>
      </c>
      <c r="P122" s="230"/>
      <c r="Q122" s="231" t="str">
        <f>IFERROR(1-(SUMIF(Grid_BD!$B:$B,$A122,Grid_BD!$V:$V)/($AA122+SUMIF(Grid_BD!$B:$B,$A122,Grid_BD!$V:$V))),"")</f>
        <v/>
      </c>
      <c r="R122" s="230" t="str">
        <f>IFERROR(1-(SUMIF(Grid_BD!$B:$B,$A122,Grid_BD!$V:$V)/($AA122+SUMIF(Grid_BD!$B:$B,$A122,Grid_BD!$V:$V))),"")</f>
        <v/>
      </c>
      <c r="S122" s="9"/>
      <c r="T122" s="231"/>
      <c r="U122" s="232" t="str">
        <f t="shared" si="11"/>
        <v/>
      </c>
      <c r="V122" s="232" t="str">
        <f>IFERROR(_xlfn.XLOOKUP($A122,Input_Raw!$A:$A,Input_Raw!$FG:$FG),"")</f>
        <v/>
      </c>
      <c r="W122" s="233">
        <f t="shared" si="12"/>
        <v>0</v>
      </c>
      <c r="X122" s="29">
        <f>IFERROR(_xlfn.XLOOKUP($A122,Input_Raw!$A:$A,Input_Raw!$DP:$DP),"")</f>
        <v>0</v>
      </c>
      <c r="Y122" s="29">
        <f>IFERROR(_xlfn.XLOOKUP($A122,Input_Raw!$A:$A,Input_Raw!EW:EW),"")</f>
        <v>0</v>
      </c>
      <c r="Z122" s="29">
        <f>IFERROR(_xlfn.XLOOKUP($A122,Input_Raw!$A:$A,Input_Raw!EX:EX),"")</f>
        <v>0</v>
      </c>
      <c r="AA122" s="29">
        <f>IFERROR(_xlfn.XLOOKUP($A122,Input_Raw!$A:$A,Input_Raw!FA:FA),"")</f>
        <v>0</v>
      </c>
      <c r="AB122" s="9">
        <f>IFERROR(_xlfn.XLOOKUP($A122,Input_Raw!$A:$A,Input_Raw!FD:FD),"")</f>
        <v>0</v>
      </c>
      <c r="AC122" s="185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33">
        <f>IFERROR(_xlfn.XLOOKUP($D122,'Modelling New'!$D:$D,'Modelling New'!O:O),"")</f>
        <v>0.85307603301688106</v>
      </c>
      <c r="AF122" s="233">
        <f>IFERROR(_xlfn.XLOOKUP($D122,'Modelling New'!$D:$D,'Modelling New'!W:W),"")</f>
        <v>0.13495571113721361</v>
      </c>
      <c r="AG122" s="233">
        <f>IFERROR(_xlfn.XLOOKUP($D122,'Modelling New'!$D:$D,'Modelling New'!AE:AE),"")</f>
        <v>0.995</v>
      </c>
      <c r="AH122" s="233">
        <f>IFERROR(_xlfn.XLOOKUP($D122,'Modelling New'!$D:$D,'Modelling New'!AF:AF),"")</f>
        <v>0.995</v>
      </c>
      <c r="AI122" s="9"/>
      <c r="AJ122" s="9"/>
      <c r="AK122" s="256"/>
      <c r="AL122" s="256"/>
      <c r="AM122" s="256"/>
      <c r="AN122" s="230"/>
      <c r="AO122" s="233"/>
      <c r="AP122" s="233"/>
      <c r="AQ122" s="233"/>
      <c r="AR122" s="234">
        <f>_xlfn.XLOOKUP(D122,'Modelling New'!$D:$D,'Modelling New'!$N:$N)</f>
        <v>130</v>
      </c>
      <c r="AS122" s="234">
        <f t="shared" si="13"/>
        <v>0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29">
        <f>Table13[[#This Row],[Date]]-DAY(Table13[[#This Row],[Date]])+1</f>
        <v>45839</v>
      </c>
      <c r="E123" s="9">
        <f t="shared" si="10"/>
        <v>31</v>
      </c>
      <c r="F123" s="199">
        <f>IFERROR(_xlfn.XLOOKUP($A123,Input_Raw!$A:$A,Input_Raw!$FC:$FC),"")</f>
        <v>0</v>
      </c>
      <c r="G123" s="185" t="str">
        <f>IFERROR(_xlfn.XLOOKUP($A123,Input_Raw!$A:$A,Input_Raw!$CY:$CY),"")</f>
        <v/>
      </c>
      <c r="H123" s="185" t="str">
        <f>IFERROR(_xlfn.XLOOKUP($A123,Input_Raw!$A:$A,Input_Raw!$DA:$DA),"")</f>
        <v/>
      </c>
      <c r="I123" s="185" t="str">
        <f>IFERROR(_xlfn.XLOOKUP($A123,Input_Raw!$A:$A,Input_Raw!$CX:$CX),"")</f>
        <v/>
      </c>
      <c r="J123" s="185" t="str">
        <f>IFERROR(_xlfn.XLOOKUP($A123,Input_Raw!$A:$A,Input_Raw!$CZ:$CZ),"")</f>
        <v/>
      </c>
      <c r="K123" s="201" t="str">
        <f>IFERROR(_xlfn.XLOOKUP($A123,Input_Raw!$A:$A,Input_Raw!$DB:$DB),"")</f>
        <v/>
      </c>
      <c r="L123" s="201" t="str">
        <f>IFERROR(_xlfn.XLOOKUP($A123,Input_Raw!$A:$A,Input_Raw!$DC:$DC),"")</f>
        <v/>
      </c>
      <c r="M123" s="200" t="str">
        <f>IFERROR(_xlfn.XLOOKUP($A123,Input_Raw!$A:$A,Input_Raw!$DF:$DF),"")</f>
        <v/>
      </c>
      <c r="N123" s="200" t="str">
        <f>IFERROR(_xlfn.XLOOKUP($A123,Input_Raw!$A:$A,Input_Raw!$DG:$DG),"")</f>
        <v/>
      </c>
      <c r="O123" s="230" t="str">
        <f>IFERROR(1-(SUMIF(Plant_BD!$B:$B,$A123,Plant_BD!$AL:$AL)/($AA123+SUMIF(Plant_BD!$B:$B,$A123,Plant_BD!$AL:$AL))),"")</f>
        <v/>
      </c>
      <c r="P123" s="230"/>
      <c r="Q123" s="231" t="str">
        <f>IFERROR(1-(SUMIF(Grid_BD!$B:$B,$A123,Grid_BD!$V:$V)/($AA123+SUMIF(Grid_BD!$B:$B,$A123,Grid_BD!$V:$V))),"")</f>
        <v/>
      </c>
      <c r="R123" s="230" t="str">
        <f>IFERROR(1-(SUMIF(Grid_BD!$B:$B,$A123,Grid_BD!$V:$V)/($AA123+SUMIF(Grid_BD!$B:$B,$A123,Grid_BD!$V:$V))),"")</f>
        <v/>
      </c>
      <c r="S123" s="9"/>
      <c r="T123" s="231"/>
      <c r="U123" s="232" t="str">
        <f t="shared" si="11"/>
        <v/>
      </c>
      <c r="V123" s="232" t="str">
        <f>IFERROR(_xlfn.XLOOKUP($A123,Input_Raw!$A:$A,Input_Raw!$FG:$FG),"")</f>
        <v/>
      </c>
      <c r="W123" s="233">
        <f t="shared" si="12"/>
        <v>0</v>
      </c>
      <c r="X123" s="29">
        <f>IFERROR(_xlfn.XLOOKUP($A123,Input_Raw!$A:$A,Input_Raw!$DP:$DP),"")</f>
        <v>0</v>
      </c>
      <c r="Y123" s="29">
        <f>IFERROR(_xlfn.XLOOKUP($A123,Input_Raw!$A:$A,Input_Raw!EW:EW),"")</f>
        <v>0</v>
      </c>
      <c r="Z123" s="29">
        <f>IFERROR(_xlfn.XLOOKUP($A123,Input_Raw!$A:$A,Input_Raw!EX:EX),"")</f>
        <v>0</v>
      </c>
      <c r="AA123" s="29">
        <f>IFERROR(_xlfn.XLOOKUP($A123,Input_Raw!$A:$A,Input_Raw!FA:FA),"")</f>
        <v>0</v>
      </c>
      <c r="AB123" s="9">
        <f>IFERROR(_xlfn.XLOOKUP($A123,Input_Raw!$A:$A,Input_Raw!FD:FD),"")</f>
        <v>0</v>
      </c>
      <c r="AC123" s="185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33">
        <f>IFERROR(_xlfn.XLOOKUP($D123,'Modelling New'!$D:$D,'Modelling New'!O:O),"")</f>
        <v>0.85307603301688106</v>
      </c>
      <c r="AF123" s="233">
        <f>IFERROR(_xlfn.XLOOKUP($D123,'Modelling New'!$D:$D,'Modelling New'!W:W),"")</f>
        <v>0.13495571113721361</v>
      </c>
      <c r="AG123" s="233">
        <f>IFERROR(_xlfn.XLOOKUP($D123,'Modelling New'!$D:$D,'Modelling New'!AE:AE),"")</f>
        <v>0.995</v>
      </c>
      <c r="AH123" s="233">
        <f>IFERROR(_xlfn.XLOOKUP($D123,'Modelling New'!$D:$D,'Modelling New'!AF:AF),"")</f>
        <v>0.995</v>
      </c>
      <c r="AI123" s="9"/>
      <c r="AJ123" s="9"/>
      <c r="AK123" s="256"/>
      <c r="AL123" s="256"/>
      <c r="AM123" s="256"/>
      <c r="AN123" s="230"/>
      <c r="AO123" s="233"/>
      <c r="AP123" s="233"/>
      <c r="AQ123" s="233"/>
      <c r="AR123" s="234">
        <f>_xlfn.XLOOKUP(D123,'Modelling New'!$D:$D,'Modelling New'!$N:$N)</f>
        <v>130</v>
      </c>
      <c r="AS123" s="234">
        <f t="shared" si="13"/>
        <v>0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29">
        <f>Table13[[#This Row],[Date]]-DAY(Table13[[#This Row],[Date]])+1</f>
        <v>45839</v>
      </c>
      <c r="E124" s="9">
        <f t="shared" si="10"/>
        <v>31</v>
      </c>
      <c r="F124" s="199">
        <f>IFERROR(_xlfn.XLOOKUP($A124,Input_Raw!$A:$A,Input_Raw!$FC:$FC),"")</f>
        <v>0</v>
      </c>
      <c r="G124" s="200" t="str">
        <f>IFERROR(_xlfn.XLOOKUP($A124,Input_Raw!$A:$A,Input_Raw!$CY:$CY),"")</f>
        <v/>
      </c>
      <c r="H124" s="200" t="str">
        <f>IFERROR(_xlfn.XLOOKUP($A124,Input_Raw!$A:$A,Input_Raw!$DA:$DA),"")</f>
        <v/>
      </c>
      <c r="I124" s="200" t="str">
        <f>IFERROR(_xlfn.XLOOKUP($A124,Input_Raw!$A:$A,Input_Raw!$CX:$CX),"")</f>
        <v/>
      </c>
      <c r="J124" s="200" t="str">
        <f>IFERROR(_xlfn.XLOOKUP($A124,Input_Raw!$A:$A,Input_Raw!$CZ:$CZ),"")</f>
        <v/>
      </c>
      <c r="K124" s="201" t="str">
        <f>IFERROR(_xlfn.XLOOKUP($A124,Input_Raw!$A:$A,Input_Raw!$DB:$DB),"")</f>
        <v/>
      </c>
      <c r="L124" s="201" t="str">
        <f>IFERROR(_xlfn.XLOOKUP($A124,Input_Raw!$A:$A,Input_Raw!$DC:$DC),"")</f>
        <v/>
      </c>
      <c r="M124" s="200" t="str">
        <f>IFERROR(_xlfn.XLOOKUP($A124,Input_Raw!$A:$A,Input_Raw!$DF:$DF),"")</f>
        <v/>
      </c>
      <c r="N124" s="200" t="str">
        <f>IFERROR(_xlfn.XLOOKUP($A124,Input_Raw!$A:$A,Input_Raw!$DG:$DG),"")</f>
        <v/>
      </c>
      <c r="O124" s="230" t="str">
        <f>IFERROR(1-(SUMIF(Plant_BD!$B:$B,$A124,Plant_BD!$AL:$AL)/($AA124+SUMIF(Plant_BD!$B:$B,$A124,Plant_BD!$AL:$AL))),"")</f>
        <v/>
      </c>
      <c r="P124" s="230"/>
      <c r="Q124" s="231" t="str">
        <f>IFERROR(1-(SUMIF(Grid_BD!$B:$B,$A124,Grid_BD!$V:$V)/($AA124+SUMIF(Grid_BD!$B:$B,$A124,Grid_BD!$V:$V))),"")</f>
        <v/>
      </c>
      <c r="R124" s="230" t="str">
        <f>IFERROR(1-(SUMIF(Grid_BD!$B:$B,$A124,Grid_BD!$V:$V)/($AA124+SUMIF(Grid_BD!$B:$B,$A124,Grid_BD!$V:$V))),"")</f>
        <v/>
      </c>
      <c r="S124" s="9"/>
      <c r="T124" s="231"/>
      <c r="U124" s="232" t="str">
        <f t="shared" si="11"/>
        <v/>
      </c>
      <c r="V124" s="232" t="str">
        <f>IFERROR(_xlfn.XLOOKUP($A124,Input_Raw!$A:$A,Input_Raw!$FG:$FG),"")</f>
        <v/>
      </c>
      <c r="W124" s="233" t="str">
        <f t="shared" si="12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85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33">
        <f>IFERROR(_xlfn.XLOOKUP($D124,'Modelling New'!$D:$D,'Modelling New'!O:O),"")</f>
        <v>0.85307603301688106</v>
      </c>
      <c r="AF124" s="233">
        <f>IFERROR(_xlfn.XLOOKUP($D124,'Modelling New'!$D:$D,'Modelling New'!W:W),"")</f>
        <v>0.13495571113721361</v>
      </c>
      <c r="AG124" s="233">
        <f>IFERROR(_xlfn.XLOOKUP($D124,'Modelling New'!$D:$D,'Modelling New'!AE:AE),"")</f>
        <v>0.995</v>
      </c>
      <c r="AH124" s="233">
        <f>IFERROR(_xlfn.XLOOKUP($D124,'Modelling New'!$D:$D,'Modelling New'!AF:AF),"")</f>
        <v>0.995</v>
      </c>
      <c r="AI124" s="9"/>
      <c r="AJ124" s="9"/>
      <c r="AK124" s="256"/>
      <c r="AL124" s="256"/>
      <c r="AM124" s="256"/>
      <c r="AN124" s="230"/>
      <c r="AO124" s="233"/>
      <c r="AP124" s="233"/>
      <c r="AQ124" s="233"/>
      <c r="AR124" s="234">
        <f>_xlfn.XLOOKUP(D124,'Modelling New'!$D:$D,'Modelling New'!$N:$N)</f>
        <v>130</v>
      </c>
      <c r="AS124" s="234">
        <f t="shared" si="13"/>
        <v>0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29">
        <f>Table13[[#This Row],[Date]]-DAY(Table13[[#This Row],[Date]])+1</f>
        <v>45839</v>
      </c>
      <c r="E125" s="9">
        <f t="shared" si="10"/>
        <v>31</v>
      </c>
      <c r="F125" s="199">
        <f>IFERROR(_xlfn.XLOOKUP($A125,Input_Raw!$A:$A,Input_Raw!$FC:$FC),"")</f>
        <v>0</v>
      </c>
      <c r="G125" s="185" t="str">
        <f>IFERROR(_xlfn.XLOOKUP($A125,Input_Raw!$A:$A,Input_Raw!$CY:$CY),"")</f>
        <v/>
      </c>
      <c r="H125" s="185" t="str">
        <f>IFERROR(_xlfn.XLOOKUP($A125,Input_Raw!$A:$A,Input_Raw!$DA:$DA),"")</f>
        <v/>
      </c>
      <c r="I125" s="185" t="str">
        <f>IFERROR(_xlfn.XLOOKUP($A125,Input_Raw!$A:$A,Input_Raw!$CX:$CX),"")</f>
        <v/>
      </c>
      <c r="J125" s="185" t="str">
        <f>IFERROR(_xlfn.XLOOKUP($A125,Input_Raw!$A:$A,Input_Raw!$CZ:$CZ),"")</f>
        <v/>
      </c>
      <c r="K125" s="201" t="str">
        <f>IFERROR(_xlfn.XLOOKUP($A125,Input_Raw!$A:$A,Input_Raw!$DB:$DB),"")</f>
        <v/>
      </c>
      <c r="L125" s="201" t="str">
        <f>IFERROR(_xlfn.XLOOKUP($A125,Input_Raw!$A:$A,Input_Raw!$DC:$DC),"")</f>
        <v/>
      </c>
      <c r="M125" s="200" t="str">
        <f>IFERROR(_xlfn.XLOOKUP($A125,Input_Raw!$A:$A,Input_Raw!$DF:$DF),"")</f>
        <v/>
      </c>
      <c r="N125" s="200" t="str">
        <f>IFERROR(_xlfn.XLOOKUP($A125,Input_Raw!$A:$A,Input_Raw!$DG:$DG),"")</f>
        <v/>
      </c>
      <c r="O125" s="230" t="str">
        <f>IFERROR(1-(SUMIF(Plant_BD!$B:$B,$A125,Plant_BD!$AL:$AL)/($AA125+SUMIF(Plant_BD!$B:$B,$A125,Plant_BD!$AL:$AL))),"")</f>
        <v/>
      </c>
      <c r="P125" s="230"/>
      <c r="Q125" s="231" t="str">
        <f>IFERROR(1-(SUMIF(Grid_BD!$B:$B,$A125,Grid_BD!$V:$V)/($AA125+SUMIF(Grid_BD!$B:$B,$A125,Grid_BD!$V:$V))),"")</f>
        <v/>
      </c>
      <c r="R125" s="230" t="str">
        <f>IFERROR(1-(SUMIF(Grid_BD!$B:$B,$A125,Grid_BD!$V:$V)/($AA125+SUMIF(Grid_BD!$B:$B,$A125,Grid_BD!$V:$V))),"")</f>
        <v/>
      </c>
      <c r="S125" s="9"/>
      <c r="T125" s="231"/>
      <c r="U125" s="232" t="str">
        <f t="shared" si="11"/>
        <v/>
      </c>
      <c r="V125" s="232" t="str">
        <f>IFERROR(_xlfn.XLOOKUP($A125,Input_Raw!$A:$A,Input_Raw!$FG:$FG),"")</f>
        <v/>
      </c>
      <c r="W125" s="233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85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33">
        <f>IFERROR(_xlfn.XLOOKUP($D125,'Modelling New'!$D:$D,'Modelling New'!O:O),"")</f>
        <v>0.85307603301688106</v>
      </c>
      <c r="AF125" s="233">
        <f>IFERROR(_xlfn.XLOOKUP($D125,'Modelling New'!$D:$D,'Modelling New'!W:W),"")</f>
        <v>0.13495571113721361</v>
      </c>
      <c r="AG125" s="233">
        <f>IFERROR(_xlfn.XLOOKUP($D125,'Modelling New'!$D:$D,'Modelling New'!AE:AE),"")</f>
        <v>0.995</v>
      </c>
      <c r="AH125" s="233">
        <f>IFERROR(_xlfn.XLOOKUP($D125,'Modelling New'!$D:$D,'Modelling New'!AF:AF),"")</f>
        <v>0.995</v>
      </c>
      <c r="AI125" s="9"/>
      <c r="AJ125" s="9"/>
      <c r="AK125" s="256"/>
      <c r="AL125" s="256"/>
      <c r="AM125" s="256"/>
      <c r="AN125" s="230"/>
      <c r="AO125" s="233"/>
      <c r="AP125" s="233"/>
      <c r="AQ125" s="233"/>
      <c r="AR125" s="234">
        <f>_xlfn.XLOOKUP(D125,'Modelling New'!$D:$D,'Modelling New'!$N:$N)</f>
        <v>130</v>
      </c>
      <c r="AS125" s="234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29">
        <f>Table13[[#This Row],[Date]]-DAY(Table13[[#This Row],[Date]])+1</f>
        <v>45839</v>
      </c>
      <c r="E126" s="9">
        <f t="shared" si="10"/>
        <v>31</v>
      </c>
      <c r="F126" s="199">
        <f>IFERROR(_xlfn.XLOOKUP($A126,Input_Raw!$A:$A,Input_Raw!$FC:$FC),"")</f>
        <v>0</v>
      </c>
      <c r="G126" s="200" t="str">
        <f>IFERROR(_xlfn.XLOOKUP($A126,Input_Raw!$A:$A,Input_Raw!$CY:$CY),"")</f>
        <v/>
      </c>
      <c r="H126" s="200" t="str">
        <f>IFERROR(_xlfn.XLOOKUP($A126,Input_Raw!$A:$A,Input_Raw!$DA:$DA),"")</f>
        <v/>
      </c>
      <c r="I126" s="200" t="str">
        <f>IFERROR(_xlfn.XLOOKUP($A126,Input_Raw!$A:$A,Input_Raw!$CX:$CX),"")</f>
        <v/>
      </c>
      <c r="J126" s="200" t="str">
        <f>IFERROR(_xlfn.XLOOKUP($A126,Input_Raw!$A:$A,Input_Raw!$CZ:$CZ),"")</f>
        <v/>
      </c>
      <c r="K126" s="201" t="str">
        <f>IFERROR(_xlfn.XLOOKUP($A126,Input_Raw!$A:$A,Input_Raw!$DB:$DB),"")</f>
        <v/>
      </c>
      <c r="L126" s="201" t="str">
        <f>IFERROR(_xlfn.XLOOKUP($A126,Input_Raw!$A:$A,Input_Raw!$DC:$DC),"")</f>
        <v/>
      </c>
      <c r="M126" s="200" t="str">
        <f>IFERROR(_xlfn.XLOOKUP($A126,Input_Raw!$A:$A,Input_Raw!$DF:$DF),"")</f>
        <v/>
      </c>
      <c r="N126" s="200" t="str">
        <f>IFERROR(_xlfn.XLOOKUP($A126,Input_Raw!$A:$A,Input_Raw!$DG:$DG),"")</f>
        <v/>
      </c>
      <c r="O126" s="230" t="str">
        <f>IFERROR(1-(SUMIF(Plant_BD!$B:$B,$A126,Plant_BD!$AL:$AL)/($AA126+SUMIF(Plant_BD!$B:$B,$A126,Plant_BD!$AL:$AL))),"")</f>
        <v/>
      </c>
      <c r="P126" s="230"/>
      <c r="Q126" s="231" t="str">
        <f>IFERROR(1-(SUMIF(Grid_BD!$B:$B,$A126,Grid_BD!$V:$V)/($AA126+SUMIF(Grid_BD!$B:$B,$A126,Grid_BD!$V:$V))),"")</f>
        <v/>
      </c>
      <c r="R126" s="230" t="str">
        <f>IFERROR(1-(SUMIF(Grid_BD!$B:$B,$A126,Grid_BD!$V:$V)/($AA126+SUMIF(Grid_BD!$B:$B,$A126,Grid_BD!$V:$V))),"")</f>
        <v/>
      </c>
      <c r="S126" s="9"/>
      <c r="T126" s="231"/>
      <c r="U126" s="232" t="str">
        <f t="shared" si="11"/>
        <v/>
      </c>
      <c r="V126" s="232" t="str">
        <f>IFERROR(_xlfn.XLOOKUP($A126,Input_Raw!$A:$A,Input_Raw!$FG:$FG),"")</f>
        <v/>
      </c>
      <c r="W126" s="233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85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33">
        <f>IFERROR(_xlfn.XLOOKUP($D126,'Modelling New'!$D:$D,'Modelling New'!O:O),"")</f>
        <v>0.85307603301688106</v>
      </c>
      <c r="AF126" s="233">
        <f>IFERROR(_xlfn.XLOOKUP($D126,'Modelling New'!$D:$D,'Modelling New'!W:W),"")</f>
        <v>0.13495571113721361</v>
      </c>
      <c r="AG126" s="233">
        <f>IFERROR(_xlfn.XLOOKUP($D126,'Modelling New'!$D:$D,'Modelling New'!AE:AE),"")</f>
        <v>0.995</v>
      </c>
      <c r="AH126" s="233">
        <f>IFERROR(_xlfn.XLOOKUP($D126,'Modelling New'!$D:$D,'Modelling New'!AF:AF),"")</f>
        <v>0.995</v>
      </c>
      <c r="AI126" s="9"/>
      <c r="AJ126" s="9"/>
      <c r="AK126" s="256"/>
      <c r="AL126" s="256"/>
      <c r="AM126" s="256"/>
      <c r="AN126" s="230"/>
      <c r="AO126" s="233"/>
      <c r="AP126" s="233"/>
      <c r="AQ126" s="233"/>
      <c r="AR126" s="234">
        <f>_xlfn.XLOOKUP(D126,'Modelling New'!$D:$D,'Modelling New'!$N:$N)</f>
        <v>130</v>
      </c>
      <c r="AS126" s="234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29">
        <f>Table13[[#This Row],[Date]]-DAY(Table13[[#This Row],[Date]])+1</f>
        <v>45870</v>
      </c>
      <c r="E127" s="9">
        <f t="shared" si="10"/>
        <v>31</v>
      </c>
      <c r="F127" s="199">
        <f>IFERROR(_xlfn.XLOOKUP($A127,Input_Raw!$A:$A,Input_Raw!$FC:$FC),"")</f>
        <v>0</v>
      </c>
      <c r="G127" s="185" t="str">
        <f>IFERROR(_xlfn.XLOOKUP($A127,Input_Raw!$A:$A,Input_Raw!$CY:$CY),"")</f>
        <v/>
      </c>
      <c r="H127" s="185" t="str">
        <f>IFERROR(_xlfn.XLOOKUP($A127,Input_Raw!$A:$A,Input_Raw!$DA:$DA),"")</f>
        <v/>
      </c>
      <c r="I127" s="185" t="str">
        <f>IFERROR(_xlfn.XLOOKUP($A127,Input_Raw!$A:$A,Input_Raw!$CX:$CX),"")</f>
        <v/>
      </c>
      <c r="J127" s="185" t="str">
        <f>IFERROR(_xlfn.XLOOKUP($A127,Input_Raw!$A:$A,Input_Raw!$CZ:$CZ),"")</f>
        <v/>
      </c>
      <c r="K127" s="201" t="str">
        <f>IFERROR(_xlfn.XLOOKUP($A127,Input_Raw!$A:$A,Input_Raw!$DB:$DB),"")</f>
        <v/>
      </c>
      <c r="L127" s="201" t="str">
        <f>IFERROR(_xlfn.XLOOKUP($A127,Input_Raw!$A:$A,Input_Raw!$DC:$DC),"")</f>
        <v/>
      </c>
      <c r="M127" s="200" t="str">
        <f>IFERROR(_xlfn.XLOOKUP($A127,Input_Raw!$A:$A,Input_Raw!$DF:$DF),"")</f>
        <v/>
      </c>
      <c r="N127" s="200" t="str">
        <f>IFERROR(_xlfn.XLOOKUP($A127,Input_Raw!$A:$A,Input_Raw!$DG:$DG),"")</f>
        <v/>
      </c>
      <c r="O127" s="230" t="str">
        <f>IFERROR(1-(SUMIF(Plant_BD!$B:$B,$A127,Plant_BD!$AL:$AL)/($AA127+SUMIF(Plant_BD!$B:$B,$A127,Plant_BD!$AL:$AL))),"")</f>
        <v/>
      </c>
      <c r="P127" s="230"/>
      <c r="Q127" s="231" t="str">
        <f>IFERROR(1-(SUMIF(Grid_BD!$B:$B,$A127,Grid_BD!$V:$V)/($AA127+SUMIF(Grid_BD!$B:$B,$A127,Grid_BD!$V:$V))),"")</f>
        <v/>
      </c>
      <c r="R127" s="230" t="str">
        <f>IFERROR(1-(SUMIF(Grid_BD!$B:$B,$A127,Grid_BD!$V:$V)/($AA127+SUMIF(Grid_BD!$B:$B,$A127,Grid_BD!$V:$V))),"")</f>
        <v/>
      </c>
      <c r="S127" s="9"/>
      <c r="T127" s="231"/>
      <c r="U127" s="232" t="str">
        <f t="shared" si="11"/>
        <v/>
      </c>
      <c r="V127" s="232" t="str">
        <f>IFERROR(_xlfn.XLOOKUP($A127,Input_Raw!$A:$A,Input_Raw!$FG:$FG),"")</f>
        <v/>
      </c>
      <c r="W127" s="233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85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33">
        <f>IFERROR(_xlfn.XLOOKUP($D127,'Modelling New'!$D:$D,'Modelling New'!O:O),"")</f>
        <v>0.85441089246197577</v>
      </c>
      <c r="AF127" s="233">
        <f>IFERROR(_xlfn.XLOOKUP($D127,'Modelling New'!$D:$D,'Modelling New'!W:W),"")</f>
        <v>0.14182761454173928</v>
      </c>
      <c r="AG127" s="233">
        <f>IFERROR(_xlfn.XLOOKUP($D127,'Modelling New'!$D:$D,'Modelling New'!AE:AE),"")</f>
        <v>0.995</v>
      </c>
      <c r="AH127" s="233">
        <f>IFERROR(_xlfn.XLOOKUP($D127,'Modelling New'!$D:$D,'Modelling New'!AF:AF),"")</f>
        <v>0.995</v>
      </c>
      <c r="AI127" s="9"/>
      <c r="AJ127" s="9"/>
      <c r="AK127" s="256"/>
      <c r="AL127" s="256"/>
      <c r="AM127" s="256"/>
      <c r="AN127" s="230"/>
      <c r="AO127" s="233"/>
      <c r="AP127" s="233"/>
      <c r="AQ127" s="233"/>
      <c r="AR127" s="234">
        <f>_xlfn.XLOOKUP(D127,'Modelling New'!$D:$D,'Modelling New'!$N:$N)</f>
        <v>130</v>
      </c>
      <c r="AS127" s="234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29">
        <f>Table13[[#This Row],[Date]]-DAY(Table13[[#This Row],[Date]])+1</f>
        <v>45870</v>
      </c>
      <c r="E128" s="9">
        <f t="shared" si="10"/>
        <v>31</v>
      </c>
      <c r="F128" s="199">
        <f>IFERROR(_xlfn.XLOOKUP($A128,Input_Raw!$A:$A,Input_Raw!$FC:$FC),"")</f>
        <v>0</v>
      </c>
      <c r="G128" s="200" t="str">
        <f>IFERROR(_xlfn.XLOOKUP($A128,Input_Raw!$A:$A,Input_Raw!$CY:$CY),"")</f>
        <v/>
      </c>
      <c r="H128" s="200" t="str">
        <f>IFERROR(_xlfn.XLOOKUP($A128,Input_Raw!$A:$A,Input_Raw!$DA:$DA),"")</f>
        <v/>
      </c>
      <c r="I128" s="200" t="str">
        <f>IFERROR(_xlfn.XLOOKUP($A128,Input_Raw!$A:$A,Input_Raw!$CX:$CX),"")</f>
        <v/>
      </c>
      <c r="J128" s="200" t="str">
        <f>IFERROR(_xlfn.XLOOKUP($A128,Input_Raw!$A:$A,Input_Raw!$CZ:$CZ),"")</f>
        <v/>
      </c>
      <c r="K128" s="201" t="str">
        <f>IFERROR(_xlfn.XLOOKUP($A128,Input_Raw!$A:$A,Input_Raw!$DB:$DB),"")</f>
        <v/>
      </c>
      <c r="L128" s="201" t="str">
        <f>IFERROR(_xlfn.XLOOKUP($A128,Input_Raw!$A:$A,Input_Raw!$DC:$DC),"")</f>
        <v/>
      </c>
      <c r="M128" s="200" t="str">
        <f>IFERROR(_xlfn.XLOOKUP($A128,Input_Raw!$A:$A,Input_Raw!$DF:$DF),"")</f>
        <v/>
      </c>
      <c r="N128" s="200" t="str">
        <f>IFERROR(_xlfn.XLOOKUP($A128,Input_Raw!$A:$A,Input_Raw!$DG:$DG),"")</f>
        <v/>
      </c>
      <c r="O128" s="230" t="str">
        <f>IFERROR(1-(SUMIF(Plant_BD!$B:$B,$A128,Plant_BD!$AL:$AL)/($AA128+SUMIF(Plant_BD!$B:$B,$A128,Plant_BD!$AL:$AL))),"")</f>
        <v/>
      </c>
      <c r="P128" s="230"/>
      <c r="Q128" s="231" t="str">
        <f>IFERROR(1-(SUMIF(Grid_BD!$B:$B,$A128,Grid_BD!$V:$V)/($AA128+SUMIF(Grid_BD!$B:$B,$A128,Grid_BD!$V:$V))),"")</f>
        <v/>
      </c>
      <c r="R128" s="230" t="str">
        <f>IFERROR(1-(SUMIF(Grid_BD!$B:$B,$A128,Grid_BD!$V:$V)/($AA128+SUMIF(Grid_BD!$B:$B,$A128,Grid_BD!$V:$V))),"")</f>
        <v/>
      </c>
      <c r="S128" s="9"/>
      <c r="T128" s="231"/>
      <c r="U128" s="232" t="str">
        <f t="shared" si="11"/>
        <v/>
      </c>
      <c r="V128" s="232" t="str">
        <f>IFERROR(_xlfn.XLOOKUP($A128,Input_Raw!$A:$A,Input_Raw!$FG:$FG),"")</f>
        <v/>
      </c>
      <c r="W128" s="233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85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33">
        <f>IFERROR(_xlfn.XLOOKUP($D128,'Modelling New'!$D:$D,'Modelling New'!O:O),"")</f>
        <v>0.85441089246197577</v>
      </c>
      <c r="AF128" s="233">
        <f>IFERROR(_xlfn.XLOOKUP($D128,'Modelling New'!$D:$D,'Modelling New'!W:W),"")</f>
        <v>0.14182761454173928</v>
      </c>
      <c r="AG128" s="233">
        <f>IFERROR(_xlfn.XLOOKUP($D128,'Modelling New'!$D:$D,'Modelling New'!AE:AE),"")</f>
        <v>0.995</v>
      </c>
      <c r="AH128" s="233">
        <f>IFERROR(_xlfn.XLOOKUP($D128,'Modelling New'!$D:$D,'Modelling New'!AF:AF),"")</f>
        <v>0.995</v>
      </c>
      <c r="AI128" s="9"/>
      <c r="AJ128" s="9"/>
      <c r="AK128" s="256"/>
      <c r="AL128" s="256"/>
      <c r="AM128" s="256"/>
      <c r="AN128" s="230"/>
      <c r="AO128" s="233"/>
      <c r="AP128" s="233"/>
      <c r="AQ128" s="233"/>
      <c r="AR128" s="234">
        <f>_xlfn.XLOOKUP(D128,'Modelling New'!$D:$D,'Modelling New'!$N:$N)</f>
        <v>130</v>
      </c>
      <c r="AS128" s="234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29">
        <f>Table13[[#This Row],[Date]]-DAY(Table13[[#This Row],[Date]])+1</f>
        <v>45870</v>
      </c>
      <c r="E129" s="9">
        <f t="shared" si="10"/>
        <v>31</v>
      </c>
      <c r="F129" s="199">
        <f>IFERROR(_xlfn.XLOOKUP($A129,Input_Raw!$A:$A,Input_Raw!$FC:$FC),"")</f>
        <v>0</v>
      </c>
      <c r="G129" s="185" t="str">
        <f>IFERROR(_xlfn.XLOOKUP($A129,Input_Raw!$A:$A,Input_Raw!$CY:$CY),"")</f>
        <v/>
      </c>
      <c r="H129" s="185" t="str">
        <f>IFERROR(_xlfn.XLOOKUP($A129,Input_Raw!$A:$A,Input_Raw!$DA:$DA),"")</f>
        <v/>
      </c>
      <c r="I129" s="185" t="str">
        <f>IFERROR(_xlfn.XLOOKUP($A129,Input_Raw!$A:$A,Input_Raw!$CX:$CX),"")</f>
        <v/>
      </c>
      <c r="J129" s="185" t="str">
        <f>IFERROR(_xlfn.XLOOKUP($A129,Input_Raw!$A:$A,Input_Raw!$CZ:$CZ),"")</f>
        <v/>
      </c>
      <c r="K129" s="201" t="str">
        <f>IFERROR(_xlfn.XLOOKUP($A129,Input_Raw!$A:$A,Input_Raw!$DB:$DB),"")</f>
        <v/>
      </c>
      <c r="L129" s="201" t="str">
        <f>IFERROR(_xlfn.XLOOKUP($A129,Input_Raw!$A:$A,Input_Raw!$DC:$DC),"")</f>
        <v/>
      </c>
      <c r="M129" s="200" t="str">
        <f>IFERROR(_xlfn.XLOOKUP($A129,Input_Raw!$A:$A,Input_Raw!$DF:$DF),"")</f>
        <v/>
      </c>
      <c r="N129" s="200" t="str">
        <f>IFERROR(_xlfn.XLOOKUP($A129,Input_Raw!$A:$A,Input_Raw!$DG:$DG),"")</f>
        <v/>
      </c>
      <c r="O129" s="230" t="str">
        <f>IFERROR(1-(SUMIF(Plant_BD!$B:$B,$A129,Plant_BD!$AL:$AL)/($AA129+SUMIF(Plant_BD!$B:$B,$A129,Plant_BD!$AL:$AL))),"")</f>
        <v/>
      </c>
      <c r="P129" s="230"/>
      <c r="Q129" s="231" t="str">
        <f>IFERROR(1-(SUMIF(Grid_BD!$B:$B,$A129,Grid_BD!$V:$V)/($AA129+SUMIF(Grid_BD!$B:$B,$A129,Grid_BD!$V:$V))),"")</f>
        <v/>
      </c>
      <c r="R129" s="230" t="str">
        <f>IFERROR(1-(SUMIF(Grid_BD!$B:$B,$A129,Grid_BD!$V:$V)/($AA129+SUMIF(Grid_BD!$B:$B,$A129,Grid_BD!$V:$V))),"")</f>
        <v/>
      </c>
      <c r="S129" s="9"/>
      <c r="T129" s="231"/>
      <c r="U129" s="232" t="str">
        <f t="shared" si="11"/>
        <v/>
      </c>
      <c r="V129" s="232" t="str">
        <f>IFERROR(_xlfn.XLOOKUP($A129,Input_Raw!$A:$A,Input_Raw!$FG:$FG),"")</f>
        <v/>
      </c>
      <c r="W129" s="233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85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33">
        <f>IFERROR(_xlfn.XLOOKUP($D129,'Modelling New'!$D:$D,'Modelling New'!O:O),"")</f>
        <v>0.85441089246197577</v>
      </c>
      <c r="AF129" s="233">
        <f>IFERROR(_xlfn.XLOOKUP($D129,'Modelling New'!$D:$D,'Modelling New'!W:W),"")</f>
        <v>0.14182761454173928</v>
      </c>
      <c r="AG129" s="233">
        <f>IFERROR(_xlfn.XLOOKUP($D129,'Modelling New'!$D:$D,'Modelling New'!AE:AE),"")</f>
        <v>0.995</v>
      </c>
      <c r="AH129" s="233">
        <f>IFERROR(_xlfn.XLOOKUP($D129,'Modelling New'!$D:$D,'Modelling New'!AF:AF),"")</f>
        <v>0.995</v>
      </c>
      <c r="AI129" s="9"/>
      <c r="AJ129" s="9"/>
      <c r="AK129" s="256"/>
      <c r="AL129" s="256"/>
      <c r="AM129" s="256"/>
      <c r="AN129" s="230"/>
      <c r="AO129" s="233"/>
      <c r="AP129" s="233"/>
      <c r="AQ129" s="233"/>
      <c r="AR129" s="234">
        <f>_xlfn.XLOOKUP(D129,'Modelling New'!$D:$D,'Modelling New'!$N:$N)</f>
        <v>130</v>
      </c>
      <c r="AS129" s="234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29">
        <f>Table13[[#This Row],[Date]]-DAY(Table13[[#This Row],[Date]])+1</f>
        <v>45870</v>
      </c>
      <c r="E130" s="9">
        <f t="shared" si="10"/>
        <v>31</v>
      </c>
      <c r="F130" s="199">
        <f>IFERROR(_xlfn.XLOOKUP($A130,Input_Raw!$A:$A,Input_Raw!$FC:$FC),"")</f>
        <v>0</v>
      </c>
      <c r="G130" s="200" t="str">
        <f>IFERROR(_xlfn.XLOOKUP($A130,Input_Raw!$A:$A,Input_Raw!$CY:$CY),"")</f>
        <v/>
      </c>
      <c r="H130" s="200" t="str">
        <f>IFERROR(_xlfn.XLOOKUP($A130,Input_Raw!$A:$A,Input_Raw!$DA:$DA),"")</f>
        <v/>
      </c>
      <c r="I130" s="200" t="str">
        <f>IFERROR(_xlfn.XLOOKUP($A130,Input_Raw!$A:$A,Input_Raw!$CX:$CX),"")</f>
        <v/>
      </c>
      <c r="J130" s="200" t="str">
        <f>IFERROR(_xlfn.XLOOKUP($A130,Input_Raw!$A:$A,Input_Raw!$CZ:$CZ),"")</f>
        <v/>
      </c>
      <c r="K130" s="201" t="str">
        <f>IFERROR(_xlfn.XLOOKUP($A130,Input_Raw!$A:$A,Input_Raw!$DB:$DB),"")</f>
        <v/>
      </c>
      <c r="L130" s="201" t="str">
        <f>IFERROR(_xlfn.XLOOKUP($A130,Input_Raw!$A:$A,Input_Raw!$DC:$DC),"")</f>
        <v/>
      </c>
      <c r="M130" s="200" t="str">
        <f>IFERROR(_xlfn.XLOOKUP($A130,Input_Raw!$A:$A,Input_Raw!$DF:$DF),"")</f>
        <v/>
      </c>
      <c r="N130" s="200" t="str">
        <f>IFERROR(_xlfn.XLOOKUP($A130,Input_Raw!$A:$A,Input_Raw!$DG:$DG),"")</f>
        <v/>
      </c>
      <c r="O130" s="230" t="str">
        <f>IFERROR(1-(SUMIF(Plant_BD!$B:$B,$A130,Plant_BD!$AL:$AL)/($AA130+SUMIF(Plant_BD!$B:$B,$A130,Plant_BD!$AL:$AL))),"")</f>
        <v/>
      </c>
      <c r="P130" s="230"/>
      <c r="Q130" s="231" t="str">
        <f>IFERROR(1-(SUMIF(Grid_BD!$B:$B,$A130,Grid_BD!$V:$V)/($AA130+SUMIF(Grid_BD!$B:$B,$A130,Grid_BD!$V:$V))),"")</f>
        <v/>
      </c>
      <c r="R130" s="230" t="str">
        <f>IFERROR(1-(SUMIF(Grid_BD!$B:$B,$A130,Grid_BD!$V:$V)/($AA130+SUMIF(Grid_BD!$B:$B,$A130,Grid_BD!$V:$V))),"")</f>
        <v/>
      </c>
      <c r="S130" s="9"/>
      <c r="T130" s="231"/>
      <c r="U130" s="232" t="str">
        <f t="shared" si="11"/>
        <v/>
      </c>
      <c r="V130" s="232" t="str">
        <f>IFERROR(_xlfn.XLOOKUP($A130,Input_Raw!$A:$A,Input_Raw!$FG:$FG),"")</f>
        <v/>
      </c>
      <c r="W130" s="233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85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33">
        <f>IFERROR(_xlfn.XLOOKUP($D130,'Modelling New'!$D:$D,'Modelling New'!O:O),"")</f>
        <v>0.85441089246197577</v>
      </c>
      <c r="AF130" s="233">
        <f>IFERROR(_xlfn.XLOOKUP($D130,'Modelling New'!$D:$D,'Modelling New'!W:W),"")</f>
        <v>0.14182761454173928</v>
      </c>
      <c r="AG130" s="233">
        <f>IFERROR(_xlfn.XLOOKUP($D130,'Modelling New'!$D:$D,'Modelling New'!AE:AE),"")</f>
        <v>0.995</v>
      </c>
      <c r="AH130" s="233">
        <f>IFERROR(_xlfn.XLOOKUP($D130,'Modelling New'!$D:$D,'Modelling New'!AF:AF),"")</f>
        <v>0.995</v>
      </c>
      <c r="AI130" s="9"/>
      <c r="AJ130" s="9"/>
      <c r="AK130" s="256"/>
      <c r="AL130" s="256"/>
      <c r="AM130" s="256"/>
      <c r="AN130" s="230"/>
      <c r="AO130" s="233"/>
      <c r="AP130" s="233"/>
      <c r="AQ130" s="233"/>
      <c r="AR130" s="234">
        <f>_xlfn.XLOOKUP(D130,'Modelling New'!$D:$D,'Modelling New'!$N:$N)</f>
        <v>130</v>
      </c>
      <c r="AS130" s="234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29">
        <f>Table13[[#This Row],[Date]]-DAY(Table13[[#This Row],[Date]])+1</f>
        <v>45870</v>
      </c>
      <c r="E131" s="9">
        <f t="shared" si="10"/>
        <v>31</v>
      </c>
      <c r="F131" s="199">
        <f>IFERROR(_xlfn.XLOOKUP($A131,Input_Raw!$A:$A,Input_Raw!$FC:$FC),"")</f>
        <v>0</v>
      </c>
      <c r="G131" s="185" t="str">
        <f>IFERROR(_xlfn.XLOOKUP($A131,Input_Raw!$A:$A,Input_Raw!$CY:$CY),"")</f>
        <v/>
      </c>
      <c r="H131" s="185" t="str">
        <f>IFERROR(_xlfn.XLOOKUP($A131,Input_Raw!$A:$A,Input_Raw!$DA:$DA),"")</f>
        <v/>
      </c>
      <c r="I131" s="185" t="str">
        <f>IFERROR(_xlfn.XLOOKUP($A131,Input_Raw!$A:$A,Input_Raw!$CX:$CX),"")</f>
        <v/>
      </c>
      <c r="J131" s="185" t="str">
        <f>IFERROR(_xlfn.XLOOKUP($A131,Input_Raw!$A:$A,Input_Raw!$CZ:$CZ),"")</f>
        <v/>
      </c>
      <c r="K131" s="201" t="str">
        <f>IFERROR(_xlfn.XLOOKUP($A131,Input_Raw!$A:$A,Input_Raw!$DB:$DB),"")</f>
        <v/>
      </c>
      <c r="L131" s="201" t="str">
        <f>IFERROR(_xlfn.XLOOKUP($A131,Input_Raw!$A:$A,Input_Raw!$DC:$DC),"")</f>
        <v/>
      </c>
      <c r="M131" s="200" t="str">
        <f>IFERROR(_xlfn.XLOOKUP($A131,Input_Raw!$A:$A,Input_Raw!$DF:$DF),"")</f>
        <v/>
      </c>
      <c r="N131" s="200" t="str">
        <f>IFERROR(_xlfn.XLOOKUP($A131,Input_Raw!$A:$A,Input_Raw!$DG:$DG),"")</f>
        <v/>
      </c>
      <c r="O131" s="230" t="str">
        <f>IFERROR(1-(SUMIF(Plant_BD!$B:$B,$A131,Plant_BD!$AL:$AL)/($AA131+SUMIF(Plant_BD!$B:$B,$A131,Plant_BD!$AL:$AL))),"")</f>
        <v/>
      </c>
      <c r="P131" s="230"/>
      <c r="Q131" s="231" t="str">
        <f>IFERROR(1-(SUMIF(Grid_BD!$B:$B,$A131,Grid_BD!$V:$V)/($AA131+SUMIF(Grid_BD!$B:$B,$A131,Grid_BD!$V:$V))),"")</f>
        <v/>
      </c>
      <c r="R131" s="230" t="str">
        <f>IFERROR(1-(SUMIF(Grid_BD!$B:$B,$A131,Grid_BD!$V:$V)/($AA131+SUMIF(Grid_BD!$B:$B,$A131,Grid_BD!$V:$V))),"")</f>
        <v/>
      </c>
      <c r="S131" s="9"/>
      <c r="T131" s="231"/>
      <c r="U131" s="232" t="str">
        <f t="shared" si="11"/>
        <v/>
      </c>
      <c r="V131" s="232" t="str">
        <f>IFERROR(_xlfn.XLOOKUP($A131,Input_Raw!$A:$A,Input_Raw!$FG:$FG),"")</f>
        <v/>
      </c>
      <c r="W131" s="233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85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33">
        <f>IFERROR(_xlfn.XLOOKUP($D131,'Modelling New'!$D:$D,'Modelling New'!O:O),"")</f>
        <v>0.85441089246197577</v>
      </c>
      <c r="AF131" s="233">
        <f>IFERROR(_xlfn.XLOOKUP($D131,'Modelling New'!$D:$D,'Modelling New'!W:W),"")</f>
        <v>0.14182761454173928</v>
      </c>
      <c r="AG131" s="233">
        <f>IFERROR(_xlfn.XLOOKUP($D131,'Modelling New'!$D:$D,'Modelling New'!AE:AE),"")</f>
        <v>0.995</v>
      </c>
      <c r="AH131" s="233">
        <f>IFERROR(_xlfn.XLOOKUP($D131,'Modelling New'!$D:$D,'Modelling New'!AF:AF),"")</f>
        <v>0.995</v>
      </c>
      <c r="AI131" s="9"/>
      <c r="AJ131" s="9"/>
      <c r="AK131" s="256"/>
      <c r="AL131" s="256"/>
      <c r="AM131" s="256"/>
      <c r="AN131" s="230"/>
      <c r="AO131" s="233"/>
      <c r="AP131" s="233"/>
      <c r="AQ131" s="233"/>
      <c r="AR131" s="234">
        <f>_xlfn.XLOOKUP(D131,'Modelling New'!$D:$D,'Modelling New'!$N:$N)</f>
        <v>130</v>
      </c>
      <c r="AS131" s="234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29">
        <f>Table13[[#This Row],[Date]]-DAY(Table13[[#This Row],[Date]])+1</f>
        <v>45870</v>
      </c>
      <c r="E132" s="9">
        <f t="shared" si="10"/>
        <v>31</v>
      </c>
      <c r="F132" s="199">
        <f>IFERROR(_xlfn.XLOOKUP($A132,Input_Raw!$A:$A,Input_Raw!$FC:$FC),"")</f>
        <v>0</v>
      </c>
      <c r="G132" s="200" t="str">
        <f>IFERROR(_xlfn.XLOOKUP($A132,Input_Raw!$A:$A,Input_Raw!$CY:$CY),"")</f>
        <v/>
      </c>
      <c r="H132" s="200" t="str">
        <f>IFERROR(_xlfn.XLOOKUP($A132,Input_Raw!$A:$A,Input_Raw!$DA:$DA),"")</f>
        <v/>
      </c>
      <c r="I132" s="200" t="str">
        <f>IFERROR(_xlfn.XLOOKUP($A132,Input_Raw!$A:$A,Input_Raw!$CX:$CX),"")</f>
        <v/>
      </c>
      <c r="J132" s="200" t="str">
        <f>IFERROR(_xlfn.XLOOKUP($A132,Input_Raw!$A:$A,Input_Raw!$CZ:$CZ),"")</f>
        <v/>
      </c>
      <c r="K132" s="201" t="str">
        <f>IFERROR(_xlfn.XLOOKUP($A132,Input_Raw!$A:$A,Input_Raw!$DB:$DB),"")</f>
        <v/>
      </c>
      <c r="L132" s="201" t="str">
        <f>IFERROR(_xlfn.XLOOKUP($A132,Input_Raw!$A:$A,Input_Raw!$DC:$DC),"")</f>
        <v/>
      </c>
      <c r="M132" s="200" t="str">
        <f>IFERROR(_xlfn.XLOOKUP($A132,Input_Raw!$A:$A,Input_Raw!$DF:$DF),"")</f>
        <v/>
      </c>
      <c r="N132" s="200" t="str">
        <f>IFERROR(_xlfn.XLOOKUP($A132,Input_Raw!$A:$A,Input_Raw!$DG:$DG),"")</f>
        <v/>
      </c>
      <c r="O132" s="230" t="str">
        <f>IFERROR(1-(SUMIF(Plant_BD!$B:$B,$A132,Plant_BD!$AL:$AL)/($AA132+SUMIF(Plant_BD!$B:$B,$A132,Plant_BD!$AL:$AL))),"")</f>
        <v/>
      </c>
      <c r="P132" s="230"/>
      <c r="Q132" s="231" t="str">
        <f>IFERROR(1-(SUMIF(Grid_BD!$B:$B,$A132,Grid_BD!$V:$V)/($AA132+SUMIF(Grid_BD!$B:$B,$A132,Grid_BD!$V:$V))),"")</f>
        <v/>
      </c>
      <c r="R132" s="230" t="str">
        <f>IFERROR(1-(SUMIF(Grid_BD!$B:$B,$A132,Grid_BD!$V:$V)/($AA132+SUMIF(Grid_BD!$B:$B,$A132,Grid_BD!$V:$V))),"")</f>
        <v/>
      </c>
      <c r="S132" s="9"/>
      <c r="T132" s="231"/>
      <c r="U132" s="232" t="str">
        <f t="shared" si="11"/>
        <v/>
      </c>
      <c r="V132" s="232" t="str">
        <f>IFERROR(_xlfn.XLOOKUP($A132,Input_Raw!$A:$A,Input_Raw!$FG:$FG),"")</f>
        <v/>
      </c>
      <c r="W132" s="233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85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33">
        <f>IFERROR(_xlfn.XLOOKUP($D132,'Modelling New'!$D:$D,'Modelling New'!O:O),"")</f>
        <v>0.85441089246197577</v>
      </c>
      <c r="AF132" s="233">
        <f>IFERROR(_xlfn.XLOOKUP($D132,'Modelling New'!$D:$D,'Modelling New'!W:W),"")</f>
        <v>0.14182761454173928</v>
      </c>
      <c r="AG132" s="233">
        <f>IFERROR(_xlfn.XLOOKUP($D132,'Modelling New'!$D:$D,'Modelling New'!AE:AE),"")</f>
        <v>0.995</v>
      </c>
      <c r="AH132" s="233">
        <f>IFERROR(_xlfn.XLOOKUP($D132,'Modelling New'!$D:$D,'Modelling New'!AF:AF),"")</f>
        <v>0.995</v>
      </c>
      <c r="AI132" s="9"/>
      <c r="AJ132" s="9"/>
      <c r="AK132" s="256"/>
      <c r="AL132" s="256"/>
      <c r="AM132" s="256"/>
      <c r="AN132" s="230"/>
      <c r="AO132" s="233"/>
      <c r="AP132" s="233"/>
      <c r="AQ132" s="233"/>
      <c r="AR132" s="234">
        <f>_xlfn.XLOOKUP(D132,'Modelling New'!$D:$D,'Modelling New'!$N:$N)</f>
        <v>130</v>
      </c>
      <c r="AS132" s="234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29">
        <f>Table13[[#This Row],[Date]]-DAY(Table13[[#This Row],[Date]])+1</f>
        <v>45870</v>
      </c>
      <c r="E133" s="9">
        <f t="shared" si="10"/>
        <v>31</v>
      </c>
      <c r="F133" s="199">
        <f>IFERROR(_xlfn.XLOOKUP($A133,Input_Raw!$A:$A,Input_Raw!$FC:$FC),"")</f>
        <v>0</v>
      </c>
      <c r="G133" s="185" t="str">
        <f>IFERROR(_xlfn.XLOOKUP($A133,Input_Raw!$A:$A,Input_Raw!$CY:$CY),"")</f>
        <v/>
      </c>
      <c r="H133" s="185" t="str">
        <f>IFERROR(_xlfn.XLOOKUP($A133,Input_Raw!$A:$A,Input_Raw!$DA:$DA),"")</f>
        <v/>
      </c>
      <c r="I133" s="185" t="str">
        <f>IFERROR(_xlfn.XLOOKUP($A133,Input_Raw!$A:$A,Input_Raw!$CX:$CX),"")</f>
        <v/>
      </c>
      <c r="J133" s="185" t="str">
        <f>IFERROR(_xlfn.XLOOKUP($A133,Input_Raw!$A:$A,Input_Raw!$CZ:$CZ),"")</f>
        <v/>
      </c>
      <c r="K133" s="201" t="str">
        <f>IFERROR(_xlfn.XLOOKUP($A133,Input_Raw!$A:$A,Input_Raw!$DB:$DB),"")</f>
        <v/>
      </c>
      <c r="L133" s="201" t="str">
        <f>IFERROR(_xlfn.XLOOKUP($A133,Input_Raw!$A:$A,Input_Raw!$DC:$DC),"")</f>
        <v/>
      </c>
      <c r="M133" s="200" t="str">
        <f>IFERROR(_xlfn.XLOOKUP($A133,Input_Raw!$A:$A,Input_Raw!$DF:$DF),"")</f>
        <v/>
      </c>
      <c r="N133" s="200" t="str">
        <f>IFERROR(_xlfn.XLOOKUP($A133,Input_Raw!$A:$A,Input_Raw!$DG:$DG),"")</f>
        <v/>
      </c>
      <c r="O133" s="230" t="str">
        <f>IFERROR(1-(SUMIF(Plant_BD!$B:$B,$A133,Plant_BD!$AL:$AL)/($AA133+SUMIF(Plant_BD!$B:$B,$A133,Plant_BD!$AL:$AL))),"")</f>
        <v/>
      </c>
      <c r="P133" s="230"/>
      <c r="Q133" s="231" t="str">
        <f>IFERROR(1-(SUMIF(Grid_BD!$B:$B,$A133,Grid_BD!$V:$V)/($AA133+SUMIF(Grid_BD!$B:$B,$A133,Grid_BD!$V:$V))),"")</f>
        <v/>
      </c>
      <c r="R133" s="230" t="str">
        <f>IFERROR(1-(SUMIF(Grid_BD!$B:$B,$A133,Grid_BD!$V:$V)/($AA133+SUMIF(Grid_BD!$B:$B,$A133,Grid_BD!$V:$V))),"")</f>
        <v/>
      </c>
      <c r="S133" s="9"/>
      <c r="T133" s="231"/>
      <c r="U133" s="232" t="str">
        <f t="shared" si="11"/>
        <v/>
      </c>
      <c r="V133" s="232" t="str">
        <f>IFERROR(_xlfn.XLOOKUP($A133,Input_Raw!$A:$A,Input_Raw!$FG:$FG),"")</f>
        <v/>
      </c>
      <c r="W133" s="233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85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33">
        <f>IFERROR(_xlfn.XLOOKUP($D133,'Modelling New'!$D:$D,'Modelling New'!O:O),"")</f>
        <v>0.85441089246197577</v>
      </c>
      <c r="AF133" s="233">
        <f>IFERROR(_xlfn.XLOOKUP($D133,'Modelling New'!$D:$D,'Modelling New'!W:W),"")</f>
        <v>0.14182761454173928</v>
      </c>
      <c r="AG133" s="233">
        <f>IFERROR(_xlfn.XLOOKUP($D133,'Modelling New'!$D:$D,'Modelling New'!AE:AE),"")</f>
        <v>0.995</v>
      </c>
      <c r="AH133" s="233">
        <f>IFERROR(_xlfn.XLOOKUP($D133,'Modelling New'!$D:$D,'Modelling New'!AF:AF),"")</f>
        <v>0.995</v>
      </c>
      <c r="AI133" s="9"/>
      <c r="AJ133" s="9"/>
      <c r="AK133" s="256"/>
      <c r="AL133" s="256"/>
      <c r="AM133" s="256"/>
      <c r="AN133" s="230"/>
      <c r="AO133" s="233"/>
      <c r="AP133" s="233"/>
      <c r="AQ133" s="233"/>
      <c r="AR133" s="234">
        <f>_xlfn.XLOOKUP(D133,'Modelling New'!$D:$D,'Modelling New'!$N:$N)</f>
        <v>130</v>
      </c>
      <c r="AS133" s="234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29">
        <f>Table13[[#This Row],[Date]]-DAY(Table13[[#This Row],[Date]])+1</f>
        <v>45870</v>
      </c>
      <c r="E134" s="9">
        <f t="shared" si="10"/>
        <v>31</v>
      </c>
      <c r="F134" s="199" t="str">
        <f>IFERROR(_xlfn.XLOOKUP($A134,Input_Raw!$A:$A,Input_Raw!$FC:$FC),"")</f>
        <v/>
      </c>
      <c r="G134" s="200" t="str">
        <f>IFERROR(_xlfn.XLOOKUP($A134,Input_Raw!$A:$A,Input_Raw!$CY:$CY),"")</f>
        <v/>
      </c>
      <c r="H134" s="200" t="str">
        <f>IFERROR(_xlfn.XLOOKUP($A134,Input_Raw!$A:$A,Input_Raw!$DA:$DA),"")</f>
        <v/>
      </c>
      <c r="I134" s="200" t="str">
        <f>IFERROR(_xlfn.XLOOKUP($A134,Input_Raw!$A:$A,Input_Raw!$CX:$CX),"")</f>
        <v/>
      </c>
      <c r="J134" s="200" t="str">
        <f>IFERROR(_xlfn.XLOOKUP($A134,Input_Raw!$A:$A,Input_Raw!$CZ:$CZ),"")</f>
        <v/>
      </c>
      <c r="K134" s="201" t="str">
        <f>IFERROR(_xlfn.XLOOKUP($A134,Input_Raw!$A:$A,Input_Raw!$DB:$DB),"")</f>
        <v/>
      </c>
      <c r="L134" s="201" t="str">
        <f>IFERROR(_xlfn.XLOOKUP($A134,Input_Raw!$A:$A,Input_Raw!$DC:$DC),"")</f>
        <v/>
      </c>
      <c r="M134" s="200" t="str">
        <f>IFERROR(_xlfn.XLOOKUP($A134,Input_Raw!$A:$A,Input_Raw!$DF:$DF),"")</f>
        <v/>
      </c>
      <c r="N134" s="200" t="str">
        <f>IFERROR(_xlfn.XLOOKUP($A134,Input_Raw!$A:$A,Input_Raw!$DG:$DG),"")</f>
        <v/>
      </c>
      <c r="O134" s="230" t="str">
        <f>IFERROR(1-(SUMIF(Plant_BD!$B:$B,$A134,Plant_BD!$AL:$AL)/($AA134+SUMIF(Plant_BD!$B:$B,$A134,Plant_BD!$AL:$AL))),"")</f>
        <v/>
      </c>
      <c r="P134" s="230"/>
      <c r="Q134" s="231" t="str">
        <f>IFERROR(1-(SUMIF(Grid_BD!$B:$B,$A134,Grid_BD!$V:$V)/($AA134+SUMIF(Grid_BD!$B:$B,$A134,Grid_BD!$V:$V))),"")</f>
        <v/>
      </c>
      <c r="R134" s="230" t="str">
        <f>IFERROR(1-(SUMIF(Grid_BD!$B:$B,$A134,Grid_BD!$V:$V)/($AA134+SUMIF(Grid_BD!$B:$B,$A134,Grid_BD!$V:$V))),"")</f>
        <v/>
      </c>
      <c r="S134" s="9"/>
      <c r="T134" s="231"/>
      <c r="U134" s="232" t="str">
        <f t="shared" si="11"/>
        <v/>
      </c>
      <c r="V134" s="232" t="str">
        <f>IFERROR(_xlfn.XLOOKUP($A134,Input_Raw!$A:$A,Input_Raw!$FG:$FG),"")</f>
        <v/>
      </c>
      <c r="W134" s="233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85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33">
        <f>IFERROR(_xlfn.XLOOKUP($D134,'Modelling New'!$D:$D,'Modelling New'!O:O),"")</f>
        <v>0.85441089246197577</v>
      </c>
      <c r="AF134" s="233">
        <f>IFERROR(_xlfn.XLOOKUP($D134,'Modelling New'!$D:$D,'Modelling New'!W:W),"")</f>
        <v>0.14182761454173928</v>
      </c>
      <c r="AG134" s="233">
        <f>IFERROR(_xlfn.XLOOKUP($D134,'Modelling New'!$D:$D,'Modelling New'!AE:AE),"")</f>
        <v>0.995</v>
      </c>
      <c r="AH134" s="233">
        <f>IFERROR(_xlfn.XLOOKUP($D134,'Modelling New'!$D:$D,'Modelling New'!AF:AF),"")</f>
        <v>0.995</v>
      </c>
      <c r="AI134" s="9"/>
      <c r="AJ134" s="9"/>
      <c r="AK134" s="256"/>
      <c r="AL134" s="256"/>
      <c r="AM134" s="256"/>
      <c r="AN134" s="230"/>
      <c r="AO134" s="233"/>
      <c r="AP134" s="233"/>
      <c r="AQ134" s="233"/>
      <c r="AR134" s="234">
        <f>_xlfn.XLOOKUP(D134,'Modelling New'!$D:$D,'Modelling New'!$N:$N)</f>
        <v>130</v>
      </c>
      <c r="AS134" s="234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29">
        <f>Table13[[#This Row],[Date]]-DAY(Table13[[#This Row],[Date]])+1</f>
        <v>45870</v>
      </c>
      <c r="E135" s="9">
        <f t="shared" si="10"/>
        <v>31</v>
      </c>
      <c r="F135" s="199" t="str">
        <f>IFERROR(_xlfn.XLOOKUP($A135,Input_Raw!$A:$A,Input_Raw!$FC:$FC),"")</f>
        <v/>
      </c>
      <c r="G135" s="185" t="str">
        <f>IFERROR(_xlfn.XLOOKUP($A135,Input_Raw!$A:$A,Input_Raw!$CY:$CY),"")</f>
        <v/>
      </c>
      <c r="H135" s="185" t="str">
        <f>IFERROR(_xlfn.XLOOKUP($A135,Input_Raw!$A:$A,Input_Raw!$DA:$DA),"")</f>
        <v/>
      </c>
      <c r="I135" s="185" t="str">
        <f>IFERROR(_xlfn.XLOOKUP($A135,Input_Raw!$A:$A,Input_Raw!$CX:$CX),"")</f>
        <v/>
      </c>
      <c r="J135" s="185" t="str">
        <f>IFERROR(_xlfn.XLOOKUP($A135,Input_Raw!$A:$A,Input_Raw!$CZ:$CZ),"")</f>
        <v/>
      </c>
      <c r="K135" s="201" t="str">
        <f>IFERROR(_xlfn.XLOOKUP($A135,Input_Raw!$A:$A,Input_Raw!$DB:$DB),"")</f>
        <v/>
      </c>
      <c r="L135" s="201" t="str">
        <f>IFERROR(_xlfn.XLOOKUP($A135,Input_Raw!$A:$A,Input_Raw!$DC:$DC),"")</f>
        <v/>
      </c>
      <c r="M135" s="200" t="str">
        <f>IFERROR(_xlfn.XLOOKUP($A135,Input_Raw!$A:$A,Input_Raw!$DF:$DF),"")</f>
        <v/>
      </c>
      <c r="N135" s="200" t="str">
        <f>IFERROR(_xlfn.XLOOKUP($A135,Input_Raw!$A:$A,Input_Raw!$DG:$DG),"")</f>
        <v/>
      </c>
      <c r="O135" s="230" t="str">
        <f>IFERROR(1-(SUMIF(Plant_BD!$B:$B,$A135,Plant_BD!$AL:$AL)/($AA135+SUMIF(Plant_BD!$B:$B,$A135,Plant_BD!$AL:$AL))),"")</f>
        <v/>
      </c>
      <c r="P135" s="230"/>
      <c r="Q135" s="231" t="str">
        <f>IFERROR(1-(SUMIF(Grid_BD!$B:$B,$A135,Grid_BD!$V:$V)/($AA135+SUMIF(Grid_BD!$B:$B,$A135,Grid_BD!$V:$V))),"")</f>
        <v/>
      </c>
      <c r="R135" s="230" t="str">
        <f>IFERROR(1-(SUMIF(Grid_BD!$B:$B,$A135,Grid_BD!$V:$V)/($AA135+SUMIF(Grid_BD!$B:$B,$A135,Grid_BD!$V:$V))),"")</f>
        <v/>
      </c>
      <c r="S135" s="9"/>
      <c r="T135" s="231"/>
      <c r="U135" s="232" t="str">
        <f t="shared" si="11"/>
        <v/>
      </c>
      <c r="V135" s="232" t="str">
        <f>IFERROR(_xlfn.XLOOKUP($A135,Input_Raw!$A:$A,Input_Raw!$FG:$FG),"")</f>
        <v/>
      </c>
      <c r="W135" s="233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85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33">
        <f>IFERROR(_xlfn.XLOOKUP($D135,'Modelling New'!$D:$D,'Modelling New'!O:O),"")</f>
        <v>0.85441089246197577</v>
      </c>
      <c r="AF135" s="233">
        <f>IFERROR(_xlfn.XLOOKUP($D135,'Modelling New'!$D:$D,'Modelling New'!W:W),"")</f>
        <v>0.14182761454173928</v>
      </c>
      <c r="AG135" s="233">
        <f>IFERROR(_xlfn.XLOOKUP($D135,'Modelling New'!$D:$D,'Modelling New'!AE:AE),"")</f>
        <v>0.995</v>
      </c>
      <c r="AH135" s="233">
        <f>IFERROR(_xlfn.XLOOKUP($D135,'Modelling New'!$D:$D,'Modelling New'!AF:AF),"")</f>
        <v>0.995</v>
      </c>
      <c r="AI135" s="9"/>
      <c r="AJ135" s="9"/>
      <c r="AK135" s="256"/>
      <c r="AL135" s="256"/>
      <c r="AM135" s="256"/>
      <c r="AN135" s="230"/>
      <c r="AO135" s="233"/>
      <c r="AP135" s="233"/>
      <c r="AQ135" s="233"/>
      <c r="AR135" s="234">
        <f>_xlfn.XLOOKUP(D135,'Modelling New'!$D:$D,'Modelling New'!$N:$N)</f>
        <v>130</v>
      </c>
      <c r="AS135" s="234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29">
        <f>Table13[[#This Row],[Date]]-DAY(Table13[[#This Row],[Date]])+1</f>
        <v>45870</v>
      </c>
      <c r="E136" s="9">
        <f t="shared" si="10"/>
        <v>31</v>
      </c>
      <c r="F136" s="199" t="str">
        <f>IFERROR(_xlfn.XLOOKUP($A136,Input_Raw!$A:$A,Input_Raw!$FC:$FC),"")</f>
        <v/>
      </c>
      <c r="G136" s="200" t="str">
        <f>IFERROR(_xlfn.XLOOKUP($A136,Input_Raw!$A:$A,Input_Raw!$CY:$CY),"")</f>
        <v/>
      </c>
      <c r="H136" s="200" t="str">
        <f>IFERROR(_xlfn.XLOOKUP($A136,Input_Raw!$A:$A,Input_Raw!$DA:$DA),"")</f>
        <v/>
      </c>
      <c r="I136" s="200" t="str">
        <f>IFERROR(_xlfn.XLOOKUP($A136,Input_Raw!$A:$A,Input_Raw!$CX:$CX),"")</f>
        <v/>
      </c>
      <c r="J136" s="200" t="str">
        <f>IFERROR(_xlfn.XLOOKUP($A136,Input_Raw!$A:$A,Input_Raw!$CZ:$CZ),"")</f>
        <v/>
      </c>
      <c r="K136" s="201" t="str">
        <f>IFERROR(_xlfn.XLOOKUP($A136,Input_Raw!$A:$A,Input_Raw!$DB:$DB),"")</f>
        <v/>
      </c>
      <c r="L136" s="201" t="str">
        <f>IFERROR(_xlfn.XLOOKUP($A136,Input_Raw!$A:$A,Input_Raw!$DC:$DC),"")</f>
        <v/>
      </c>
      <c r="M136" s="200" t="str">
        <f>IFERROR(_xlfn.XLOOKUP($A136,Input_Raw!$A:$A,Input_Raw!$DF:$DF),"")</f>
        <v/>
      </c>
      <c r="N136" s="200" t="str">
        <f>IFERROR(_xlfn.XLOOKUP($A136,Input_Raw!$A:$A,Input_Raw!$DG:$DG),"")</f>
        <v/>
      </c>
      <c r="O136" s="230" t="str">
        <f>IFERROR(1-(SUMIF(Plant_BD!$B:$B,$A136,Plant_BD!$AL:$AL)/($AA136+SUMIF(Plant_BD!$B:$B,$A136,Plant_BD!$AL:$AL))),"")</f>
        <v/>
      </c>
      <c r="P136" s="230"/>
      <c r="Q136" s="231" t="str">
        <f>IFERROR(1-(SUMIF(Grid_BD!$B:$B,$A136,Grid_BD!$V:$V)/($AA136+SUMIF(Grid_BD!$B:$B,$A136,Grid_BD!$V:$V))),"")</f>
        <v/>
      </c>
      <c r="R136" s="230" t="str">
        <f>IFERROR(1-(SUMIF(Grid_BD!$B:$B,$A136,Grid_BD!$V:$V)/($AA136+SUMIF(Grid_BD!$B:$B,$A136,Grid_BD!$V:$V))),"")</f>
        <v/>
      </c>
      <c r="S136" s="9"/>
      <c r="T136" s="231"/>
      <c r="U136" s="232" t="str">
        <f t="shared" si="11"/>
        <v/>
      </c>
      <c r="V136" s="232" t="str">
        <f>IFERROR(_xlfn.XLOOKUP($A136,Input_Raw!$A:$A,Input_Raw!$FG:$FG),"")</f>
        <v/>
      </c>
      <c r="W136" s="233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85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33">
        <f>IFERROR(_xlfn.XLOOKUP($D136,'Modelling New'!$D:$D,'Modelling New'!O:O),"")</f>
        <v>0.85441089246197577</v>
      </c>
      <c r="AF136" s="233">
        <f>IFERROR(_xlfn.XLOOKUP($D136,'Modelling New'!$D:$D,'Modelling New'!W:W),"")</f>
        <v>0.14182761454173928</v>
      </c>
      <c r="AG136" s="233">
        <f>IFERROR(_xlfn.XLOOKUP($D136,'Modelling New'!$D:$D,'Modelling New'!AE:AE),"")</f>
        <v>0.995</v>
      </c>
      <c r="AH136" s="233">
        <f>IFERROR(_xlfn.XLOOKUP($D136,'Modelling New'!$D:$D,'Modelling New'!AF:AF),"")</f>
        <v>0.995</v>
      </c>
      <c r="AI136" s="9"/>
      <c r="AJ136" s="9"/>
      <c r="AK136" s="256"/>
      <c r="AL136" s="256"/>
      <c r="AM136" s="256"/>
      <c r="AN136" s="230"/>
      <c r="AO136" s="233"/>
      <c r="AP136" s="233"/>
      <c r="AQ136" s="233"/>
      <c r="AR136" s="234">
        <f>_xlfn.XLOOKUP(D136,'Modelling New'!$D:$D,'Modelling New'!$N:$N)</f>
        <v>130</v>
      </c>
      <c r="AS136" s="234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29">
        <f>Table13[[#This Row],[Date]]-DAY(Table13[[#This Row],[Date]])+1</f>
        <v>45870</v>
      </c>
      <c r="E137" s="9">
        <f t="shared" si="10"/>
        <v>31</v>
      </c>
      <c r="F137" s="199" t="str">
        <f>IFERROR(_xlfn.XLOOKUP($A137,Input_Raw!$A:$A,Input_Raw!$FC:$FC),"")</f>
        <v/>
      </c>
      <c r="G137" s="185" t="str">
        <f>IFERROR(_xlfn.XLOOKUP($A137,Input_Raw!$A:$A,Input_Raw!$CY:$CY),"")</f>
        <v/>
      </c>
      <c r="H137" s="185" t="str">
        <f>IFERROR(_xlfn.XLOOKUP($A137,Input_Raw!$A:$A,Input_Raw!$DA:$DA),"")</f>
        <v/>
      </c>
      <c r="I137" s="185" t="str">
        <f>IFERROR(_xlfn.XLOOKUP($A137,Input_Raw!$A:$A,Input_Raw!$CX:$CX),"")</f>
        <v/>
      </c>
      <c r="J137" s="185" t="str">
        <f>IFERROR(_xlfn.XLOOKUP($A137,Input_Raw!$A:$A,Input_Raw!$CZ:$CZ),"")</f>
        <v/>
      </c>
      <c r="K137" s="201" t="str">
        <f>IFERROR(_xlfn.XLOOKUP($A137,Input_Raw!$A:$A,Input_Raw!$DB:$DB),"")</f>
        <v/>
      </c>
      <c r="L137" s="201" t="str">
        <f>IFERROR(_xlfn.XLOOKUP($A137,Input_Raw!$A:$A,Input_Raw!$DC:$DC),"")</f>
        <v/>
      </c>
      <c r="M137" s="200" t="str">
        <f>IFERROR(_xlfn.XLOOKUP($A137,Input_Raw!$A:$A,Input_Raw!$DF:$DF),"")</f>
        <v/>
      </c>
      <c r="N137" s="200" t="str">
        <f>IFERROR(_xlfn.XLOOKUP($A137,Input_Raw!$A:$A,Input_Raw!$DG:$DG),"")</f>
        <v/>
      </c>
      <c r="O137" s="230" t="str">
        <f>IFERROR(1-(SUMIF(Plant_BD!$B:$B,$A137,Plant_BD!$AL:$AL)/($AA137+SUMIF(Plant_BD!$B:$B,$A137,Plant_BD!$AL:$AL))),"")</f>
        <v/>
      </c>
      <c r="P137" s="230"/>
      <c r="Q137" s="231" t="str">
        <f>IFERROR(1-(SUMIF(Grid_BD!$B:$B,$A137,Grid_BD!$V:$V)/($AA137+SUMIF(Grid_BD!$B:$B,$A137,Grid_BD!$V:$V))),"")</f>
        <v/>
      </c>
      <c r="R137" s="230" t="str">
        <f>IFERROR(1-(SUMIF(Grid_BD!$B:$B,$A137,Grid_BD!$V:$V)/($AA137+SUMIF(Grid_BD!$B:$B,$A137,Grid_BD!$V:$V))),"")</f>
        <v/>
      </c>
      <c r="S137" s="9"/>
      <c r="T137" s="231"/>
      <c r="U137" s="232" t="str">
        <f t="shared" si="11"/>
        <v/>
      </c>
      <c r="V137" s="232" t="str">
        <f>IFERROR(_xlfn.XLOOKUP($A137,Input_Raw!$A:$A,Input_Raw!$FG:$FG),"")</f>
        <v/>
      </c>
      <c r="W137" s="233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85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33">
        <f>IFERROR(_xlfn.XLOOKUP($D137,'Modelling New'!$D:$D,'Modelling New'!O:O),"")</f>
        <v>0.85441089246197577</v>
      </c>
      <c r="AF137" s="233">
        <f>IFERROR(_xlfn.XLOOKUP($D137,'Modelling New'!$D:$D,'Modelling New'!W:W),"")</f>
        <v>0.14182761454173928</v>
      </c>
      <c r="AG137" s="233">
        <f>IFERROR(_xlfn.XLOOKUP($D137,'Modelling New'!$D:$D,'Modelling New'!AE:AE),"")</f>
        <v>0.995</v>
      </c>
      <c r="AH137" s="233">
        <f>IFERROR(_xlfn.XLOOKUP($D137,'Modelling New'!$D:$D,'Modelling New'!AF:AF),"")</f>
        <v>0.995</v>
      </c>
      <c r="AI137" s="9"/>
      <c r="AJ137" s="9"/>
      <c r="AK137" s="256"/>
      <c r="AL137" s="256"/>
      <c r="AM137" s="256"/>
      <c r="AN137" s="230"/>
      <c r="AO137" s="233"/>
      <c r="AP137" s="233"/>
      <c r="AQ137" s="233"/>
      <c r="AR137" s="234">
        <f>_xlfn.XLOOKUP(D137,'Modelling New'!$D:$D,'Modelling New'!$N:$N)</f>
        <v>130</v>
      </c>
      <c r="AS137" s="234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29">
        <f>Table13[[#This Row],[Date]]-DAY(Table13[[#This Row],[Date]])+1</f>
        <v>45870</v>
      </c>
      <c r="E138" s="9">
        <f t="shared" si="10"/>
        <v>31</v>
      </c>
      <c r="F138" s="199" t="str">
        <f>IFERROR(_xlfn.XLOOKUP($A138,Input_Raw!$A:$A,Input_Raw!$FC:$FC),"")</f>
        <v/>
      </c>
      <c r="G138" s="200" t="str">
        <f>IFERROR(_xlfn.XLOOKUP($A138,Input_Raw!$A:$A,Input_Raw!$CY:$CY),"")</f>
        <v/>
      </c>
      <c r="H138" s="200" t="str">
        <f>IFERROR(_xlfn.XLOOKUP($A138,Input_Raw!$A:$A,Input_Raw!$DA:$DA),"")</f>
        <v/>
      </c>
      <c r="I138" s="200" t="str">
        <f>IFERROR(_xlfn.XLOOKUP($A138,Input_Raw!$A:$A,Input_Raw!$CX:$CX),"")</f>
        <v/>
      </c>
      <c r="J138" s="200" t="str">
        <f>IFERROR(_xlfn.XLOOKUP($A138,Input_Raw!$A:$A,Input_Raw!$CZ:$CZ),"")</f>
        <v/>
      </c>
      <c r="K138" s="201" t="str">
        <f>IFERROR(_xlfn.XLOOKUP($A138,Input_Raw!$A:$A,Input_Raw!$DB:$DB),"")</f>
        <v/>
      </c>
      <c r="L138" s="201" t="str">
        <f>IFERROR(_xlfn.XLOOKUP($A138,Input_Raw!$A:$A,Input_Raw!$DC:$DC),"")</f>
        <v/>
      </c>
      <c r="M138" s="200" t="str">
        <f>IFERROR(_xlfn.XLOOKUP($A138,Input_Raw!$A:$A,Input_Raw!$DF:$DF),"")</f>
        <v/>
      </c>
      <c r="N138" s="200" t="str">
        <f>IFERROR(_xlfn.XLOOKUP($A138,Input_Raw!$A:$A,Input_Raw!$DG:$DG),"")</f>
        <v/>
      </c>
      <c r="O138" s="230" t="str">
        <f>IFERROR(1-(SUMIF(Plant_BD!$B:$B,$A138,Plant_BD!$AL:$AL)/($AA138+SUMIF(Plant_BD!$B:$B,$A138,Plant_BD!$AL:$AL))),"")</f>
        <v/>
      </c>
      <c r="P138" s="230"/>
      <c r="Q138" s="231" t="str">
        <f>IFERROR(1-(SUMIF(Grid_BD!$B:$B,$A138,Grid_BD!$V:$V)/($AA138+SUMIF(Grid_BD!$B:$B,$A138,Grid_BD!$V:$V))),"")</f>
        <v/>
      </c>
      <c r="R138" s="230" t="str">
        <f>IFERROR(1-(SUMIF(Grid_BD!$B:$B,$A138,Grid_BD!$V:$V)/($AA138+SUMIF(Grid_BD!$B:$B,$A138,Grid_BD!$V:$V))),"")</f>
        <v/>
      </c>
      <c r="S138" s="9"/>
      <c r="T138" s="231"/>
      <c r="U138" s="232" t="str">
        <f t="shared" si="11"/>
        <v/>
      </c>
      <c r="V138" s="232" t="str">
        <f>IFERROR(_xlfn.XLOOKUP($A138,Input_Raw!$A:$A,Input_Raw!$FG:$FG),"")</f>
        <v/>
      </c>
      <c r="W138" s="233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85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33">
        <f>IFERROR(_xlfn.XLOOKUP($D138,'Modelling New'!$D:$D,'Modelling New'!O:O),"")</f>
        <v>0.85441089246197577</v>
      </c>
      <c r="AF138" s="233">
        <f>IFERROR(_xlfn.XLOOKUP($D138,'Modelling New'!$D:$D,'Modelling New'!W:W),"")</f>
        <v>0.14182761454173928</v>
      </c>
      <c r="AG138" s="233">
        <f>IFERROR(_xlfn.XLOOKUP($D138,'Modelling New'!$D:$D,'Modelling New'!AE:AE),"")</f>
        <v>0.995</v>
      </c>
      <c r="AH138" s="233">
        <f>IFERROR(_xlfn.XLOOKUP($D138,'Modelling New'!$D:$D,'Modelling New'!AF:AF),"")</f>
        <v>0.995</v>
      </c>
      <c r="AI138" s="9"/>
      <c r="AJ138" s="9"/>
      <c r="AK138" s="256"/>
      <c r="AL138" s="256"/>
      <c r="AM138" s="256"/>
      <c r="AN138" s="230"/>
      <c r="AO138" s="233"/>
      <c r="AP138" s="233"/>
      <c r="AQ138" s="233"/>
      <c r="AR138" s="234">
        <f>_xlfn.XLOOKUP(D138,'Modelling New'!$D:$D,'Modelling New'!$N:$N)</f>
        <v>130</v>
      </c>
      <c r="AS138" s="234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29">
        <f>Table13[[#This Row],[Date]]-DAY(Table13[[#This Row],[Date]])+1</f>
        <v>45870</v>
      </c>
      <c r="E139" s="9">
        <f t="shared" si="10"/>
        <v>31</v>
      </c>
      <c r="F139" s="199" t="str">
        <f>IFERROR(_xlfn.XLOOKUP($A139,Input_Raw!$A:$A,Input_Raw!$FC:$FC),"")</f>
        <v/>
      </c>
      <c r="G139" s="185" t="str">
        <f>IFERROR(_xlfn.XLOOKUP($A139,Input_Raw!$A:$A,Input_Raw!$CY:$CY),"")</f>
        <v/>
      </c>
      <c r="H139" s="185" t="str">
        <f>IFERROR(_xlfn.XLOOKUP($A139,Input_Raw!$A:$A,Input_Raw!$DA:$DA),"")</f>
        <v/>
      </c>
      <c r="I139" s="185" t="str">
        <f>IFERROR(_xlfn.XLOOKUP($A139,Input_Raw!$A:$A,Input_Raw!$CX:$CX),"")</f>
        <v/>
      </c>
      <c r="J139" s="185" t="str">
        <f>IFERROR(_xlfn.XLOOKUP($A139,Input_Raw!$A:$A,Input_Raw!$CZ:$CZ),"")</f>
        <v/>
      </c>
      <c r="K139" s="201" t="str">
        <f>IFERROR(_xlfn.XLOOKUP($A139,Input_Raw!$A:$A,Input_Raw!$DB:$DB),"")</f>
        <v/>
      </c>
      <c r="L139" s="201" t="str">
        <f>IFERROR(_xlfn.XLOOKUP($A139,Input_Raw!$A:$A,Input_Raw!$DC:$DC),"")</f>
        <v/>
      </c>
      <c r="M139" s="200" t="str">
        <f>IFERROR(_xlfn.XLOOKUP($A139,Input_Raw!$A:$A,Input_Raw!$DF:$DF),"")</f>
        <v/>
      </c>
      <c r="N139" s="200" t="str">
        <f>IFERROR(_xlfn.XLOOKUP($A139,Input_Raw!$A:$A,Input_Raw!$DG:$DG),"")</f>
        <v/>
      </c>
      <c r="O139" s="230" t="str">
        <f>IFERROR(1-(SUMIF(Plant_BD!$B:$B,$A139,Plant_BD!$AL:$AL)/($AA139+SUMIF(Plant_BD!$B:$B,$A139,Plant_BD!$AL:$AL))),"")</f>
        <v/>
      </c>
      <c r="P139" s="230"/>
      <c r="Q139" s="231" t="str">
        <f>IFERROR(1-(SUMIF(Grid_BD!$B:$B,$A139,Grid_BD!$V:$V)/($AA139+SUMIF(Grid_BD!$B:$B,$A139,Grid_BD!$V:$V))),"")</f>
        <v/>
      </c>
      <c r="R139" s="230" t="str">
        <f>IFERROR(1-(SUMIF(Grid_BD!$B:$B,$A139,Grid_BD!$V:$V)/($AA139+SUMIF(Grid_BD!$B:$B,$A139,Grid_BD!$V:$V))),"")</f>
        <v/>
      </c>
      <c r="S139" s="9"/>
      <c r="T139" s="231"/>
      <c r="U139" s="232" t="str">
        <f t="shared" si="11"/>
        <v/>
      </c>
      <c r="V139" s="232" t="str">
        <f>IFERROR(_xlfn.XLOOKUP($A139,Input_Raw!$A:$A,Input_Raw!$FG:$FG),"")</f>
        <v/>
      </c>
      <c r="W139" s="233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85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33">
        <f>IFERROR(_xlfn.XLOOKUP($D139,'Modelling New'!$D:$D,'Modelling New'!O:O),"")</f>
        <v>0.85441089246197577</v>
      </c>
      <c r="AF139" s="233">
        <f>IFERROR(_xlfn.XLOOKUP($D139,'Modelling New'!$D:$D,'Modelling New'!W:W),"")</f>
        <v>0.14182761454173928</v>
      </c>
      <c r="AG139" s="233">
        <f>IFERROR(_xlfn.XLOOKUP($D139,'Modelling New'!$D:$D,'Modelling New'!AE:AE),"")</f>
        <v>0.995</v>
      </c>
      <c r="AH139" s="233">
        <f>IFERROR(_xlfn.XLOOKUP($D139,'Modelling New'!$D:$D,'Modelling New'!AF:AF),"")</f>
        <v>0.995</v>
      </c>
      <c r="AI139" s="9"/>
      <c r="AJ139" s="9"/>
      <c r="AK139" s="256"/>
      <c r="AL139" s="256"/>
      <c r="AM139" s="256"/>
      <c r="AN139" s="230"/>
      <c r="AO139" s="233"/>
      <c r="AP139" s="233"/>
      <c r="AQ139" s="233"/>
      <c r="AR139" s="234">
        <f>_xlfn.XLOOKUP(D139,'Modelling New'!$D:$D,'Modelling New'!$N:$N)</f>
        <v>130</v>
      </c>
      <c r="AS139" s="234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29">
        <f>Table13[[#This Row],[Date]]-DAY(Table13[[#This Row],[Date]])+1</f>
        <v>45870</v>
      </c>
      <c r="E140" s="9">
        <f t="shared" si="10"/>
        <v>31</v>
      </c>
      <c r="F140" s="199" t="str">
        <f>IFERROR(_xlfn.XLOOKUP($A140,Input_Raw!$A:$A,Input_Raw!$FC:$FC),"")</f>
        <v/>
      </c>
      <c r="G140" s="200" t="str">
        <f>IFERROR(_xlfn.XLOOKUP($A140,Input_Raw!$A:$A,Input_Raw!$CY:$CY),"")</f>
        <v/>
      </c>
      <c r="H140" s="200" t="str">
        <f>IFERROR(_xlfn.XLOOKUP($A140,Input_Raw!$A:$A,Input_Raw!$DA:$DA),"")</f>
        <v/>
      </c>
      <c r="I140" s="200" t="str">
        <f>IFERROR(_xlfn.XLOOKUP($A140,Input_Raw!$A:$A,Input_Raw!$CX:$CX),"")</f>
        <v/>
      </c>
      <c r="J140" s="200" t="str">
        <f>IFERROR(_xlfn.XLOOKUP($A140,Input_Raw!$A:$A,Input_Raw!$CZ:$CZ),"")</f>
        <v/>
      </c>
      <c r="K140" s="201" t="str">
        <f>IFERROR(_xlfn.XLOOKUP($A140,Input_Raw!$A:$A,Input_Raw!$DB:$DB),"")</f>
        <v/>
      </c>
      <c r="L140" s="201" t="str">
        <f>IFERROR(_xlfn.XLOOKUP($A140,Input_Raw!$A:$A,Input_Raw!$DC:$DC),"")</f>
        <v/>
      </c>
      <c r="M140" s="200" t="str">
        <f>IFERROR(_xlfn.XLOOKUP($A140,Input_Raw!$A:$A,Input_Raw!$DF:$DF),"")</f>
        <v/>
      </c>
      <c r="N140" s="200" t="str">
        <f>IFERROR(_xlfn.XLOOKUP($A140,Input_Raw!$A:$A,Input_Raw!$DG:$DG),"")</f>
        <v/>
      </c>
      <c r="O140" s="230" t="str">
        <f>IFERROR(1-(SUMIF(Plant_BD!$B:$B,$A140,Plant_BD!$AL:$AL)/($AA140+SUMIF(Plant_BD!$B:$B,$A140,Plant_BD!$AL:$AL))),"")</f>
        <v/>
      </c>
      <c r="P140" s="230"/>
      <c r="Q140" s="231" t="str">
        <f>IFERROR(1-(SUMIF(Grid_BD!$B:$B,$A140,Grid_BD!$V:$V)/($AA140+SUMIF(Grid_BD!$B:$B,$A140,Grid_BD!$V:$V))),"")</f>
        <v/>
      </c>
      <c r="R140" s="230" t="str">
        <f>IFERROR(1-(SUMIF(Grid_BD!$B:$B,$A140,Grid_BD!$V:$V)/($AA140+SUMIF(Grid_BD!$B:$B,$A140,Grid_BD!$V:$V))),"")</f>
        <v/>
      </c>
      <c r="S140" s="9"/>
      <c r="T140" s="231"/>
      <c r="U140" s="232" t="str">
        <f t="shared" si="11"/>
        <v/>
      </c>
      <c r="V140" s="232" t="str">
        <f>IFERROR(_xlfn.XLOOKUP($A140,Input_Raw!$A:$A,Input_Raw!$FG:$FG),"")</f>
        <v/>
      </c>
      <c r="W140" s="233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85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33">
        <f>IFERROR(_xlfn.XLOOKUP($D140,'Modelling New'!$D:$D,'Modelling New'!O:O),"")</f>
        <v>0.85441089246197577</v>
      </c>
      <c r="AF140" s="233">
        <f>IFERROR(_xlfn.XLOOKUP($D140,'Modelling New'!$D:$D,'Modelling New'!W:W),"")</f>
        <v>0.14182761454173928</v>
      </c>
      <c r="AG140" s="233">
        <f>IFERROR(_xlfn.XLOOKUP($D140,'Modelling New'!$D:$D,'Modelling New'!AE:AE),"")</f>
        <v>0.995</v>
      </c>
      <c r="AH140" s="233">
        <f>IFERROR(_xlfn.XLOOKUP($D140,'Modelling New'!$D:$D,'Modelling New'!AF:AF),"")</f>
        <v>0.995</v>
      </c>
      <c r="AI140" s="9"/>
      <c r="AJ140" s="9"/>
      <c r="AK140" s="256"/>
      <c r="AL140" s="256"/>
      <c r="AM140" s="256"/>
      <c r="AN140" s="230"/>
      <c r="AO140" s="233"/>
      <c r="AP140" s="233"/>
      <c r="AQ140" s="233"/>
      <c r="AR140" s="234">
        <f>_xlfn.XLOOKUP(D140,'Modelling New'!$D:$D,'Modelling New'!$N:$N)</f>
        <v>130</v>
      </c>
      <c r="AS140" s="234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29">
        <f>Table13[[#This Row],[Date]]-DAY(Table13[[#This Row],[Date]])+1</f>
        <v>45870</v>
      </c>
      <c r="E141" s="9">
        <f t="shared" si="10"/>
        <v>31</v>
      </c>
      <c r="F141" s="199" t="str">
        <f>IFERROR(_xlfn.XLOOKUP($A141,Input_Raw!$A:$A,Input_Raw!$FC:$FC),"")</f>
        <v/>
      </c>
      <c r="G141" s="185" t="str">
        <f>IFERROR(_xlfn.XLOOKUP($A141,Input_Raw!$A:$A,Input_Raw!$CY:$CY),"")</f>
        <v/>
      </c>
      <c r="H141" s="185" t="str">
        <f>IFERROR(_xlfn.XLOOKUP($A141,Input_Raw!$A:$A,Input_Raw!$DA:$DA),"")</f>
        <v/>
      </c>
      <c r="I141" s="185" t="str">
        <f>IFERROR(_xlfn.XLOOKUP($A141,Input_Raw!$A:$A,Input_Raw!$CX:$CX),"")</f>
        <v/>
      </c>
      <c r="J141" s="185" t="str">
        <f>IFERROR(_xlfn.XLOOKUP($A141,Input_Raw!$A:$A,Input_Raw!$CZ:$CZ),"")</f>
        <v/>
      </c>
      <c r="K141" s="201" t="str">
        <f>IFERROR(_xlfn.XLOOKUP($A141,Input_Raw!$A:$A,Input_Raw!$DB:$DB),"")</f>
        <v/>
      </c>
      <c r="L141" s="201" t="str">
        <f>IFERROR(_xlfn.XLOOKUP($A141,Input_Raw!$A:$A,Input_Raw!$DC:$DC),"")</f>
        <v/>
      </c>
      <c r="M141" s="200" t="str">
        <f>IFERROR(_xlfn.XLOOKUP($A141,Input_Raw!$A:$A,Input_Raw!$DF:$DF),"")</f>
        <v/>
      </c>
      <c r="N141" s="200" t="str">
        <f>IFERROR(_xlfn.XLOOKUP($A141,Input_Raw!$A:$A,Input_Raw!$DG:$DG),"")</f>
        <v/>
      </c>
      <c r="O141" s="230" t="str">
        <f>IFERROR(1-(SUMIF(Plant_BD!$B:$B,$A141,Plant_BD!$AL:$AL)/($AA141+SUMIF(Plant_BD!$B:$B,$A141,Plant_BD!$AL:$AL))),"")</f>
        <v/>
      </c>
      <c r="P141" s="230"/>
      <c r="Q141" s="231" t="str">
        <f>IFERROR(1-(SUMIF(Grid_BD!$B:$B,$A141,Grid_BD!$V:$V)/($AA141+SUMIF(Grid_BD!$B:$B,$A141,Grid_BD!$V:$V))),"")</f>
        <v/>
      </c>
      <c r="R141" s="230" t="str">
        <f>IFERROR(1-(SUMIF(Grid_BD!$B:$B,$A141,Grid_BD!$V:$V)/($AA141+SUMIF(Grid_BD!$B:$B,$A141,Grid_BD!$V:$V))),"")</f>
        <v/>
      </c>
      <c r="S141" s="9"/>
      <c r="T141" s="231"/>
      <c r="U141" s="232" t="str">
        <f t="shared" si="11"/>
        <v/>
      </c>
      <c r="V141" s="232" t="str">
        <f>IFERROR(_xlfn.XLOOKUP($A141,Input_Raw!$A:$A,Input_Raw!$FG:$FG),"")</f>
        <v/>
      </c>
      <c r="W141" s="233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85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33">
        <f>IFERROR(_xlfn.XLOOKUP($D141,'Modelling New'!$D:$D,'Modelling New'!O:O),"")</f>
        <v>0.85441089246197577</v>
      </c>
      <c r="AF141" s="233">
        <f>IFERROR(_xlfn.XLOOKUP($D141,'Modelling New'!$D:$D,'Modelling New'!W:W),"")</f>
        <v>0.14182761454173928</v>
      </c>
      <c r="AG141" s="233">
        <f>IFERROR(_xlfn.XLOOKUP($D141,'Modelling New'!$D:$D,'Modelling New'!AE:AE),"")</f>
        <v>0.995</v>
      </c>
      <c r="AH141" s="233">
        <f>IFERROR(_xlfn.XLOOKUP($D141,'Modelling New'!$D:$D,'Modelling New'!AF:AF),"")</f>
        <v>0.995</v>
      </c>
      <c r="AI141" s="9"/>
      <c r="AJ141" s="9"/>
      <c r="AK141" s="256"/>
      <c r="AL141" s="256"/>
      <c r="AM141" s="256"/>
      <c r="AN141" s="230"/>
      <c r="AO141" s="233"/>
      <c r="AP141" s="233"/>
      <c r="AQ141" s="233"/>
      <c r="AR141" s="234">
        <f>_xlfn.XLOOKUP(D141,'Modelling New'!$D:$D,'Modelling New'!$N:$N)</f>
        <v>130</v>
      </c>
      <c r="AS141" s="234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29">
        <f>Table13[[#This Row],[Date]]-DAY(Table13[[#This Row],[Date]])+1</f>
        <v>45870</v>
      </c>
      <c r="E142" s="9">
        <f t="shared" si="10"/>
        <v>31</v>
      </c>
      <c r="F142" s="199" t="str">
        <f>IFERROR(_xlfn.XLOOKUP($A142,Input_Raw!$A:$A,Input_Raw!$FC:$FC),"")</f>
        <v/>
      </c>
      <c r="G142" s="200" t="str">
        <f>IFERROR(_xlfn.XLOOKUP($A142,Input_Raw!$A:$A,Input_Raw!$CY:$CY),"")</f>
        <v/>
      </c>
      <c r="H142" s="200" t="str">
        <f>IFERROR(_xlfn.XLOOKUP($A142,Input_Raw!$A:$A,Input_Raw!$DA:$DA),"")</f>
        <v/>
      </c>
      <c r="I142" s="200" t="str">
        <f>IFERROR(_xlfn.XLOOKUP($A142,Input_Raw!$A:$A,Input_Raw!$CX:$CX),"")</f>
        <v/>
      </c>
      <c r="J142" s="200" t="str">
        <f>IFERROR(_xlfn.XLOOKUP($A142,Input_Raw!$A:$A,Input_Raw!$CZ:$CZ),"")</f>
        <v/>
      </c>
      <c r="K142" s="201" t="str">
        <f>IFERROR(_xlfn.XLOOKUP($A142,Input_Raw!$A:$A,Input_Raw!$DB:$DB),"")</f>
        <v/>
      </c>
      <c r="L142" s="201" t="str">
        <f>IFERROR(_xlfn.XLOOKUP($A142,Input_Raw!$A:$A,Input_Raw!$DC:$DC),"")</f>
        <v/>
      </c>
      <c r="M142" s="200" t="str">
        <f>IFERROR(_xlfn.XLOOKUP($A142,Input_Raw!$A:$A,Input_Raw!$DF:$DF),"")</f>
        <v/>
      </c>
      <c r="N142" s="200" t="str">
        <f>IFERROR(_xlfn.XLOOKUP($A142,Input_Raw!$A:$A,Input_Raw!$DG:$DG),"")</f>
        <v/>
      </c>
      <c r="O142" s="230" t="str">
        <f>IFERROR(1-(SUMIF(Plant_BD!$B:$B,$A142,Plant_BD!$AL:$AL)/($AA142+SUMIF(Plant_BD!$B:$B,$A142,Plant_BD!$AL:$AL))),"")</f>
        <v/>
      </c>
      <c r="P142" s="230"/>
      <c r="Q142" s="231" t="str">
        <f>IFERROR(1-(SUMIF(Grid_BD!$B:$B,$A142,Grid_BD!$V:$V)/($AA142+SUMIF(Grid_BD!$B:$B,$A142,Grid_BD!$V:$V))),"")</f>
        <v/>
      </c>
      <c r="R142" s="230" t="str">
        <f>IFERROR(1-(SUMIF(Grid_BD!$B:$B,$A142,Grid_BD!$V:$V)/($AA142+SUMIF(Grid_BD!$B:$B,$A142,Grid_BD!$V:$V))),"")</f>
        <v/>
      </c>
      <c r="S142" s="9"/>
      <c r="T142" s="231"/>
      <c r="U142" s="232" t="str">
        <f t="shared" si="11"/>
        <v/>
      </c>
      <c r="V142" s="232" t="str">
        <f>IFERROR(_xlfn.XLOOKUP($A142,Input_Raw!$A:$A,Input_Raw!$FG:$FG),"")</f>
        <v/>
      </c>
      <c r="W142" s="233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85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33">
        <f>IFERROR(_xlfn.XLOOKUP($D142,'Modelling New'!$D:$D,'Modelling New'!O:O),"")</f>
        <v>0.85441089246197577</v>
      </c>
      <c r="AF142" s="233">
        <f>IFERROR(_xlfn.XLOOKUP($D142,'Modelling New'!$D:$D,'Modelling New'!W:W),"")</f>
        <v>0.14182761454173928</v>
      </c>
      <c r="AG142" s="233">
        <f>IFERROR(_xlfn.XLOOKUP($D142,'Modelling New'!$D:$D,'Modelling New'!AE:AE),"")</f>
        <v>0.995</v>
      </c>
      <c r="AH142" s="233">
        <f>IFERROR(_xlfn.XLOOKUP($D142,'Modelling New'!$D:$D,'Modelling New'!AF:AF),"")</f>
        <v>0.995</v>
      </c>
      <c r="AI142" s="9"/>
      <c r="AJ142" s="9"/>
      <c r="AK142" s="256"/>
      <c r="AL142" s="256"/>
      <c r="AM142" s="256"/>
      <c r="AN142" s="230"/>
      <c r="AO142" s="233"/>
      <c r="AP142" s="233"/>
      <c r="AQ142" s="233"/>
      <c r="AR142" s="234">
        <f>_xlfn.XLOOKUP(D142,'Modelling New'!$D:$D,'Modelling New'!$N:$N)</f>
        <v>130</v>
      </c>
      <c r="AS142" s="234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29">
        <f>Table13[[#This Row],[Date]]-DAY(Table13[[#This Row],[Date]])+1</f>
        <v>45870</v>
      </c>
      <c r="E143" s="9">
        <f t="shared" si="10"/>
        <v>31</v>
      </c>
      <c r="F143" s="199" t="str">
        <f>IFERROR(_xlfn.XLOOKUP($A143,Input_Raw!$A:$A,Input_Raw!$FC:$FC),"")</f>
        <v/>
      </c>
      <c r="G143" s="185" t="str">
        <f>IFERROR(_xlfn.XLOOKUP($A143,Input_Raw!$A:$A,Input_Raw!$CY:$CY),"")</f>
        <v/>
      </c>
      <c r="H143" s="185" t="str">
        <f>IFERROR(_xlfn.XLOOKUP($A143,Input_Raw!$A:$A,Input_Raw!$DA:$DA),"")</f>
        <v/>
      </c>
      <c r="I143" s="185" t="str">
        <f>IFERROR(_xlfn.XLOOKUP($A143,Input_Raw!$A:$A,Input_Raw!$CX:$CX),"")</f>
        <v/>
      </c>
      <c r="J143" s="185" t="str">
        <f>IFERROR(_xlfn.XLOOKUP($A143,Input_Raw!$A:$A,Input_Raw!$CZ:$CZ),"")</f>
        <v/>
      </c>
      <c r="K143" s="201" t="str">
        <f>IFERROR(_xlfn.XLOOKUP($A143,Input_Raw!$A:$A,Input_Raw!$DB:$DB),"")</f>
        <v/>
      </c>
      <c r="L143" s="201" t="str">
        <f>IFERROR(_xlfn.XLOOKUP($A143,Input_Raw!$A:$A,Input_Raw!$DC:$DC),"")</f>
        <v/>
      </c>
      <c r="M143" s="200" t="str">
        <f>IFERROR(_xlfn.XLOOKUP($A143,Input_Raw!$A:$A,Input_Raw!$DF:$DF),"")</f>
        <v/>
      </c>
      <c r="N143" s="200" t="str">
        <f>IFERROR(_xlfn.XLOOKUP($A143,Input_Raw!$A:$A,Input_Raw!$DG:$DG),"")</f>
        <v/>
      </c>
      <c r="O143" s="230" t="str">
        <f>IFERROR(1-(SUMIF(Plant_BD!$B:$B,$A143,Plant_BD!$AL:$AL)/($AA143+SUMIF(Plant_BD!$B:$B,$A143,Plant_BD!$AL:$AL))),"")</f>
        <v/>
      </c>
      <c r="P143" s="230"/>
      <c r="Q143" s="231" t="str">
        <f>IFERROR(1-(SUMIF(Grid_BD!$B:$B,$A143,Grid_BD!$V:$V)/($AA143+SUMIF(Grid_BD!$B:$B,$A143,Grid_BD!$V:$V))),"")</f>
        <v/>
      </c>
      <c r="R143" s="230" t="str">
        <f>IFERROR(1-(SUMIF(Grid_BD!$B:$B,$A143,Grid_BD!$V:$V)/($AA143+SUMIF(Grid_BD!$B:$B,$A143,Grid_BD!$V:$V))),"")</f>
        <v/>
      </c>
      <c r="S143" s="9"/>
      <c r="T143" s="231"/>
      <c r="U143" s="232" t="str">
        <f t="shared" si="11"/>
        <v/>
      </c>
      <c r="V143" s="232" t="str">
        <f>IFERROR(_xlfn.XLOOKUP($A143,Input_Raw!$A:$A,Input_Raw!$FG:$FG),"")</f>
        <v/>
      </c>
      <c r="W143" s="233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85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33">
        <f>IFERROR(_xlfn.XLOOKUP($D143,'Modelling New'!$D:$D,'Modelling New'!O:O),"")</f>
        <v>0.85441089246197577</v>
      </c>
      <c r="AF143" s="233">
        <f>IFERROR(_xlfn.XLOOKUP($D143,'Modelling New'!$D:$D,'Modelling New'!W:W),"")</f>
        <v>0.14182761454173928</v>
      </c>
      <c r="AG143" s="233">
        <f>IFERROR(_xlfn.XLOOKUP($D143,'Modelling New'!$D:$D,'Modelling New'!AE:AE),"")</f>
        <v>0.995</v>
      </c>
      <c r="AH143" s="233">
        <f>IFERROR(_xlfn.XLOOKUP($D143,'Modelling New'!$D:$D,'Modelling New'!AF:AF),"")</f>
        <v>0.995</v>
      </c>
      <c r="AI143" s="9"/>
      <c r="AJ143" s="9"/>
      <c r="AK143" s="256"/>
      <c r="AL143" s="256"/>
      <c r="AM143" s="256"/>
      <c r="AN143" s="230"/>
      <c r="AO143" s="233"/>
      <c r="AP143" s="233"/>
      <c r="AQ143" s="233"/>
      <c r="AR143" s="234">
        <f>_xlfn.XLOOKUP(D143,'Modelling New'!$D:$D,'Modelling New'!$N:$N)</f>
        <v>130</v>
      </c>
      <c r="AS143" s="234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29">
        <f>Table13[[#This Row],[Date]]-DAY(Table13[[#This Row],[Date]])+1</f>
        <v>45870</v>
      </c>
      <c r="E144" s="9">
        <f t="shared" si="10"/>
        <v>31</v>
      </c>
      <c r="F144" s="199" t="str">
        <f>IFERROR(_xlfn.XLOOKUP($A144,Input_Raw!$A:$A,Input_Raw!$FC:$FC),"")</f>
        <v/>
      </c>
      <c r="G144" s="200" t="str">
        <f>IFERROR(_xlfn.XLOOKUP($A144,Input_Raw!$A:$A,Input_Raw!$CY:$CY),"")</f>
        <v/>
      </c>
      <c r="H144" s="200" t="str">
        <f>IFERROR(_xlfn.XLOOKUP($A144,Input_Raw!$A:$A,Input_Raw!$DA:$DA),"")</f>
        <v/>
      </c>
      <c r="I144" s="200" t="str">
        <f>IFERROR(_xlfn.XLOOKUP($A144,Input_Raw!$A:$A,Input_Raw!$CX:$CX),"")</f>
        <v/>
      </c>
      <c r="J144" s="200" t="str">
        <f>IFERROR(_xlfn.XLOOKUP($A144,Input_Raw!$A:$A,Input_Raw!$CZ:$CZ),"")</f>
        <v/>
      </c>
      <c r="K144" s="201" t="str">
        <f>IFERROR(_xlfn.XLOOKUP($A144,Input_Raw!$A:$A,Input_Raw!$DB:$DB),"")</f>
        <v/>
      </c>
      <c r="L144" s="201" t="str">
        <f>IFERROR(_xlfn.XLOOKUP($A144,Input_Raw!$A:$A,Input_Raw!$DC:$DC),"")</f>
        <v/>
      </c>
      <c r="M144" s="200" t="str">
        <f>IFERROR(_xlfn.XLOOKUP($A144,Input_Raw!$A:$A,Input_Raw!$DF:$DF),"")</f>
        <v/>
      </c>
      <c r="N144" s="200" t="str">
        <f>IFERROR(_xlfn.XLOOKUP($A144,Input_Raw!$A:$A,Input_Raw!$DG:$DG),"")</f>
        <v/>
      </c>
      <c r="O144" s="230" t="str">
        <f>IFERROR(1-(SUMIF(Plant_BD!$B:$B,$A144,Plant_BD!$AL:$AL)/($AA144+SUMIF(Plant_BD!$B:$B,$A144,Plant_BD!$AL:$AL))),"")</f>
        <v/>
      </c>
      <c r="P144" s="230"/>
      <c r="Q144" s="231" t="str">
        <f>IFERROR(1-(SUMIF(Grid_BD!$B:$B,$A144,Grid_BD!$V:$V)/($AA144+SUMIF(Grid_BD!$B:$B,$A144,Grid_BD!$V:$V))),"")</f>
        <v/>
      </c>
      <c r="R144" s="230" t="str">
        <f>IFERROR(1-(SUMIF(Grid_BD!$B:$B,$A144,Grid_BD!$V:$V)/($AA144+SUMIF(Grid_BD!$B:$B,$A144,Grid_BD!$V:$V))),"")</f>
        <v/>
      </c>
      <c r="S144" s="9"/>
      <c r="T144" s="231"/>
      <c r="U144" s="232" t="str">
        <f t="shared" si="11"/>
        <v/>
      </c>
      <c r="V144" s="232" t="str">
        <f>IFERROR(_xlfn.XLOOKUP($A144,Input_Raw!$A:$A,Input_Raw!$FG:$FG),"")</f>
        <v/>
      </c>
      <c r="W144" s="233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85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33">
        <f>IFERROR(_xlfn.XLOOKUP($D144,'Modelling New'!$D:$D,'Modelling New'!O:O),"")</f>
        <v>0.85441089246197577</v>
      </c>
      <c r="AF144" s="233">
        <f>IFERROR(_xlfn.XLOOKUP($D144,'Modelling New'!$D:$D,'Modelling New'!W:W),"")</f>
        <v>0.14182761454173928</v>
      </c>
      <c r="AG144" s="233">
        <f>IFERROR(_xlfn.XLOOKUP($D144,'Modelling New'!$D:$D,'Modelling New'!AE:AE),"")</f>
        <v>0.995</v>
      </c>
      <c r="AH144" s="233">
        <f>IFERROR(_xlfn.XLOOKUP($D144,'Modelling New'!$D:$D,'Modelling New'!AF:AF),"")</f>
        <v>0.995</v>
      </c>
      <c r="AI144" s="9"/>
      <c r="AJ144" s="9"/>
      <c r="AK144" s="256"/>
      <c r="AL144" s="256"/>
      <c r="AM144" s="256"/>
      <c r="AN144" s="230"/>
      <c r="AO144" s="233"/>
      <c r="AP144" s="233"/>
      <c r="AQ144" s="233"/>
      <c r="AR144" s="234">
        <f>_xlfn.XLOOKUP(D144,'Modelling New'!$D:$D,'Modelling New'!$N:$N)</f>
        <v>130</v>
      </c>
      <c r="AS144" s="234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29">
        <f>Table13[[#This Row],[Date]]-DAY(Table13[[#This Row],[Date]])+1</f>
        <v>45870</v>
      </c>
      <c r="E145" s="9">
        <f t="shared" si="10"/>
        <v>31</v>
      </c>
      <c r="F145" s="199" t="str">
        <f>IFERROR(_xlfn.XLOOKUP($A145,Input_Raw!$A:$A,Input_Raw!$FC:$FC),"")</f>
        <v/>
      </c>
      <c r="G145" s="185" t="str">
        <f>IFERROR(_xlfn.XLOOKUP($A145,Input_Raw!$A:$A,Input_Raw!$CY:$CY),"")</f>
        <v/>
      </c>
      <c r="H145" s="185" t="str">
        <f>IFERROR(_xlfn.XLOOKUP($A145,Input_Raw!$A:$A,Input_Raw!$DA:$DA),"")</f>
        <v/>
      </c>
      <c r="I145" s="185" t="str">
        <f>IFERROR(_xlfn.XLOOKUP($A145,Input_Raw!$A:$A,Input_Raw!$CX:$CX),"")</f>
        <v/>
      </c>
      <c r="J145" s="185" t="str">
        <f>IFERROR(_xlfn.XLOOKUP($A145,Input_Raw!$A:$A,Input_Raw!$CZ:$CZ),"")</f>
        <v/>
      </c>
      <c r="K145" s="201" t="str">
        <f>IFERROR(_xlfn.XLOOKUP($A145,Input_Raw!$A:$A,Input_Raw!$DB:$DB),"")</f>
        <v/>
      </c>
      <c r="L145" s="201" t="str">
        <f>IFERROR(_xlfn.XLOOKUP($A145,Input_Raw!$A:$A,Input_Raw!$DC:$DC),"")</f>
        <v/>
      </c>
      <c r="M145" s="200" t="str">
        <f>IFERROR(_xlfn.XLOOKUP($A145,Input_Raw!$A:$A,Input_Raw!$DF:$DF),"")</f>
        <v/>
      </c>
      <c r="N145" s="200" t="str">
        <f>IFERROR(_xlfn.XLOOKUP($A145,Input_Raw!$A:$A,Input_Raw!$DG:$DG),"")</f>
        <v/>
      </c>
      <c r="O145" s="230" t="str">
        <f>IFERROR(1-(SUMIF(Plant_BD!$B:$B,$A145,Plant_BD!$AL:$AL)/($AA145+SUMIF(Plant_BD!$B:$B,$A145,Plant_BD!$AL:$AL))),"")</f>
        <v/>
      </c>
      <c r="P145" s="230"/>
      <c r="Q145" s="231" t="str">
        <f>IFERROR(1-(SUMIF(Grid_BD!$B:$B,$A145,Grid_BD!$V:$V)/($AA145+SUMIF(Grid_BD!$B:$B,$A145,Grid_BD!$V:$V))),"")</f>
        <v/>
      </c>
      <c r="R145" s="230" t="str">
        <f>IFERROR(1-(SUMIF(Grid_BD!$B:$B,$A145,Grid_BD!$V:$V)/($AA145+SUMIF(Grid_BD!$B:$B,$A145,Grid_BD!$V:$V))),"")</f>
        <v/>
      </c>
      <c r="S145" s="9"/>
      <c r="T145" s="231"/>
      <c r="U145" s="232" t="str">
        <f t="shared" si="11"/>
        <v/>
      </c>
      <c r="V145" s="232" t="str">
        <f>IFERROR(_xlfn.XLOOKUP($A145,Input_Raw!$A:$A,Input_Raw!$FG:$FG),"")</f>
        <v/>
      </c>
      <c r="W145" s="233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85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33">
        <f>IFERROR(_xlfn.XLOOKUP($D145,'Modelling New'!$D:$D,'Modelling New'!O:O),"")</f>
        <v>0.85441089246197577</v>
      </c>
      <c r="AF145" s="233">
        <f>IFERROR(_xlfn.XLOOKUP($D145,'Modelling New'!$D:$D,'Modelling New'!W:W),"")</f>
        <v>0.14182761454173928</v>
      </c>
      <c r="AG145" s="233">
        <f>IFERROR(_xlfn.XLOOKUP($D145,'Modelling New'!$D:$D,'Modelling New'!AE:AE),"")</f>
        <v>0.995</v>
      </c>
      <c r="AH145" s="233">
        <f>IFERROR(_xlfn.XLOOKUP($D145,'Modelling New'!$D:$D,'Modelling New'!AF:AF),"")</f>
        <v>0.995</v>
      </c>
      <c r="AI145" s="9"/>
      <c r="AJ145" s="9"/>
      <c r="AK145" s="256"/>
      <c r="AL145" s="256"/>
      <c r="AM145" s="256"/>
      <c r="AN145" s="230"/>
      <c r="AO145" s="233"/>
      <c r="AP145" s="233"/>
      <c r="AQ145" s="233"/>
      <c r="AR145" s="234">
        <f>_xlfn.XLOOKUP(D145,'Modelling New'!$D:$D,'Modelling New'!$N:$N)</f>
        <v>130</v>
      </c>
      <c r="AS145" s="234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29">
        <f>Table13[[#This Row],[Date]]-DAY(Table13[[#This Row],[Date]])+1</f>
        <v>45870</v>
      </c>
      <c r="E146" s="9">
        <f t="shared" si="10"/>
        <v>31</v>
      </c>
      <c r="F146" s="199" t="str">
        <f>IFERROR(_xlfn.XLOOKUP($A146,Input_Raw!$A:$A,Input_Raw!$FC:$FC),"")</f>
        <v/>
      </c>
      <c r="G146" s="200" t="str">
        <f>IFERROR(_xlfn.XLOOKUP($A146,Input_Raw!$A:$A,Input_Raw!$CY:$CY),"")</f>
        <v/>
      </c>
      <c r="H146" s="200" t="str">
        <f>IFERROR(_xlfn.XLOOKUP($A146,Input_Raw!$A:$A,Input_Raw!$DA:$DA),"")</f>
        <v/>
      </c>
      <c r="I146" s="200" t="str">
        <f>IFERROR(_xlfn.XLOOKUP($A146,Input_Raw!$A:$A,Input_Raw!$CX:$CX),"")</f>
        <v/>
      </c>
      <c r="J146" s="200" t="str">
        <f>IFERROR(_xlfn.XLOOKUP($A146,Input_Raw!$A:$A,Input_Raw!$CZ:$CZ),"")</f>
        <v/>
      </c>
      <c r="K146" s="201" t="str">
        <f>IFERROR(_xlfn.XLOOKUP($A146,Input_Raw!$A:$A,Input_Raw!$DB:$DB),"")</f>
        <v/>
      </c>
      <c r="L146" s="201" t="str">
        <f>IFERROR(_xlfn.XLOOKUP($A146,Input_Raw!$A:$A,Input_Raw!$DC:$DC),"")</f>
        <v/>
      </c>
      <c r="M146" s="200" t="str">
        <f>IFERROR(_xlfn.XLOOKUP($A146,Input_Raw!$A:$A,Input_Raw!$DF:$DF),"")</f>
        <v/>
      </c>
      <c r="N146" s="200" t="str">
        <f>IFERROR(_xlfn.XLOOKUP($A146,Input_Raw!$A:$A,Input_Raw!$DG:$DG),"")</f>
        <v/>
      </c>
      <c r="O146" s="230" t="str">
        <f>IFERROR(1-(SUMIF(Plant_BD!$B:$B,$A146,Plant_BD!$AL:$AL)/($AA146+SUMIF(Plant_BD!$B:$B,$A146,Plant_BD!$AL:$AL))),"")</f>
        <v/>
      </c>
      <c r="P146" s="230"/>
      <c r="Q146" s="231" t="str">
        <f>IFERROR(1-(SUMIF(Grid_BD!$B:$B,$A146,Grid_BD!$V:$V)/($AA146+SUMIF(Grid_BD!$B:$B,$A146,Grid_BD!$V:$V))),"")</f>
        <v/>
      </c>
      <c r="R146" s="230" t="str">
        <f>IFERROR(1-(SUMIF(Grid_BD!$B:$B,$A146,Grid_BD!$V:$V)/($AA146+SUMIF(Grid_BD!$B:$B,$A146,Grid_BD!$V:$V))),"")</f>
        <v/>
      </c>
      <c r="S146" s="9"/>
      <c r="T146" s="231"/>
      <c r="U146" s="232" t="str">
        <f t="shared" si="11"/>
        <v/>
      </c>
      <c r="V146" s="232" t="str">
        <f>IFERROR(_xlfn.XLOOKUP($A146,Input_Raw!$A:$A,Input_Raw!$FG:$FG),"")</f>
        <v/>
      </c>
      <c r="W146" s="233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85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33">
        <f>IFERROR(_xlfn.XLOOKUP($D146,'Modelling New'!$D:$D,'Modelling New'!O:O),"")</f>
        <v>0.85441089246197577</v>
      </c>
      <c r="AF146" s="233">
        <f>IFERROR(_xlfn.XLOOKUP($D146,'Modelling New'!$D:$D,'Modelling New'!W:W),"")</f>
        <v>0.14182761454173928</v>
      </c>
      <c r="AG146" s="233">
        <f>IFERROR(_xlfn.XLOOKUP($D146,'Modelling New'!$D:$D,'Modelling New'!AE:AE),"")</f>
        <v>0.995</v>
      </c>
      <c r="AH146" s="233">
        <f>IFERROR(_xlfn.XLOOKUP($D146,'Modelling New'!$D:$D,'Modelling New'!AF:AF),"")</f>
        <v>0.995</v>
      </c>
      <c r="AI146" s="9"/>
      <c r="AJ146" s="9"/>
      <c r="AK146" s="256"/>
      <c r="AL146" s="256"/>
      <c r="AM146" s="256"/>
      <c r="AN146" s="230"/>
      <c r="AO146" s="233"/>
      <c r="AP146" s="233"/>
      <c r="AQ146" s="233"/>
      <c r="AR146" s="234">
        <f>_xlfn.XLOOKUP(D146,'Modelling New'!$D:$D,'Modelling New'!$N:$N)</f>
        <v>130</v>
      </c>
      <c r="AS146" s="234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29">
        <f>Table13[[#This Row],[Date]]-DAY(Table13[[#This Row],[Date]])+1</f>
        <v>45870</v>
      </c>
      <c r="E147" s="9">
        <f t="shared" si="10"/>
        <v>31</v>
      </c>
      <c r="F147" s="199" t="str">
        <f>IFERROR(_xlfn.XLOOKUP($A147,Input_Raw!$A:$A,Input_Raw!$FC:$FC),"")</f>
        <v/>
      </c>
      <c r="G147" s="185" t="str">
        <f>IFERROR(_xlfn.XLOOKUP($A147,Input_Raw!$A:$A,Input_Raw!$CY:$CY),"")</f>
        <v/>
      </c>
      <c r="H147" s="185" t="str">
        <f>IFERROR(_xlfn.XLOOKUP($A147,Input_Raw!$A:$A,Input_Raw!$DA:$DA),"")</f>
        <v/>
      </c>
      <c r="I147" s="185" t="str">
        <f>IFERROR(_xlfn.XLOOKUP($A147,Input_Raw!$A:$A,Input_Raw!$CX:$CX),"")</f>
        <v/>
      </c>
      <c r="J147" s="185" t="str">
        <f>IFERROR(_xlfn.XLOOKUP($A147,Input_Raw!$A:$A,Input_Raw!$CZ:$CZ),"")</f>
        <v/>
      </c>
      <c r="K147" s="201" t="str">
        <f>IFERROR(_xlfn.XLOOKUP($A147,Input_Raw!$A:$A,Input_Raw!$DB:$DB),"")</f>
        <v/>
      </c>
      <c r="L147" s="201" t="str">
        <f>IFERROR(_xlfn.XLOOKUP($A147,Input_Raw!$A:$A,Input_Raw!$DC:$DC),"")</f>
        <v/>
      </c>
      <c r="M147" s="200" t="str">
        <f>IFERROR(_xlfn.XLOOKUP($A147,Input_Raw!$A:$A,Input_Raw!$DF:$DF),"")</f>
        <v/>
      </c>
      <c r="N147" s="200" t="str">
        <f>IFERROR(_xlfn.XLOOKUP($A147,Input_Raw!$A:$A,Input_Raw!$DG:$DG),"")</f>
        <v/>
      </c>
      <c r="O147" s="230" t="str">
        <f>IFERROR(1-(SUMIF(Plant_BD!$B:$B,$A147,Plant_BD!$AL:$AL)/($AA147+SUMIF(Plant_BD!$B:$B,$A147,Plant_BD!$AL:$AL))),"")</f>
        <v/>
      </c>
      <c r="P147" s="230"/>
      <c r="Q147" s="231" t="str">
        <f>IFERROR(1-(SUMIF(Grid_BD!$B:$B,$A147,Grid_BD!$V:$V)/($AA147+SUMIF(Grid_BD!$B:$B,$A147,Grid_BD!$V:$V))),"")</f>
        <v/>
      </c>
      <c r="R147" s="230" t="str">
        <f>IFERROR(1-(SUMIF(Grid_BD!$B:$B,$A147,Grid_BD!$V:$V)/($AA147+SUMIF(Grid_BD!$B:$B,$A147,Grid_BD!$V:$V))),"")</f>
        <v/>
      </c>
      <c r="S147" s="9"/>
      <c r="T147" s="231"/>
      <c r="U147" s="232" t="str">
        <f t="shared" si="11"/>
        <v/>
      </c>
      <c r="V147" s="232" t="str">
        <f>IFERROR(_xlfn.XLOOKUP($A147,Input_Raw!$A:$A,Input_Raw!$FG:$FG),"")</f>
        <v/>
      </c>
      <c r="W147" s="233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85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33">
        <f>IFERROR(_xlfn.XLOOKUP($D147,'Modelling New'!$D:$D,'Modelling New'!O:O),"")</f>
        <v>0.85441089246197577</v>
      </c>
      <c r="AF147" s="233">
        <f>IFERROR(_xlfn.XLOOKUP($D147,'Modelling New'!$D:$D,'Modelling New'!W:W),"")</f>
        <v>0.14182761454173928</v>
      </c>
      <c r="AG147" s="233">
        <f>IFERROR(_xlfn.XLOOKUP($D147,'Modelling New'!$D:$D,'Modelling New'!AE:AE),"")</f>
        <v>0.995</v>
      </c>
      <c r="AH147" s="233">
        <f>IFERROR(_xlfn.XLOOKUP($D147,'Modelling New'!$D:$D,'Modelling New'!AF:AF),"")</f>
        <v>0.995</v>
      </c>
      <c r="AI147" s="9"/>
      <c r="AJ147" s="9"/>
      <c r="AK147" s="256"/>
      <c r="AL147" s="256"/>
      <c r="AM147" s="256"/>
      <c r="AN147" s="230"/>
      <c r="AO147" s="233"/>
      <c r="AP147" s="233"/>
      <c r="AQ147" s="233"/>
      <c r="AR147" s="234">
        <f>_xlfn.XLOOKUP(D147,'Modelling New'!$D:$D,'Modelling New'!$N:$N)</f>
        <v>130</v>
      </c>
      <c r="AS147" s="234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29">
        <f>Table13[[#This Row],[Date]]-DAY(Table13[[#This Row],[Date]])+1</f>
        <v>45870</v>
      </c>
      <c r="E148" s="9">
        <f t="shared" si="10"/>
        <v>31</v>
      </c>
      <c r="F148" s="199" t="str">
        <f>IFERROR(_xlfn.XLOOKUP($A148,Input_Raw!$A:$A,Input_Raw!$FC:$FC),"")</f>
        <v/>
      </c>
      <c r="G148" s="200" t="str">
        <f>IFERROR(_xlfn.XLOOKUP($A148,Input_Raw!$A:$A,Input_Raw!$CY:$CY),"")</f>
        <v/>
      </c>
      <c r="H148" s="200" t="str">
        <f>IFERROR(_xlfn.XLOOKUP($A148,Input_Raw!$A:$A,Input_Raw!$DA:$DA),"")</f>
        <v/>
      </c>
      <c r="I148" s="200" t="str">
        <f>IFERROR(_xlfn.XLOOKUP($A148,Input_Raw!$A:$A,Input_Raw!$CX:$CX),"")</f>
        <v/>
      </c>
      <c r="J148" s="200" t="str">
        <f>IFERROR(_xlfn.XLOOKUP($A148,Input_Raw!$A:$A,Input_Raw!$CZ:$CZ),"")</f>
        <v/>
      </c>
      <c r="K148" s="201" t="str">
        <f>IFERROR(_xlfn.XLOOKUP($A148,Input_Raw!$A:$A,Input_Raw!$DB:$DB),"")</f>
        <v/>
      </c>
      <c r="L148" s="201" t="str">
        <f>IFERROR(_xlfn.XLOOKUP($A148,Input_Raw!$A:$A,Input_Raw!$DC:$DC),"")</f>
        <v/>
      </c>
      <c r="M148" s="200" t="str">
        <f>IFERROR(_xlfn.XLOOKUP($A148,Input_Raw!$A:$A,Input_Raw!$DF:$DF),"")</f>
        <v/>
      </c>
      <c r="N148" s="200" t="str">
        <f>IFERROR(_xlfn.XLOOKUP($A148,Input_Raw!$A:$A,Input_Raw!$DG:$DG),"")</f>
        <v/>
      </c>
      <c r="O148" s="230" t="str">
        <f>IFERROR(1-(SUMIF(Plant_BD!$B:$B,$A148,Plant_BD!$AL:$AL)/($AA148+SUMIF(Plant_BD!$B:$B,$A148,Plant_BD!$AL:$AL))),"")</f>
        <v/>
      </c>
      <c r="P148" s="230"/>
      <c r="Q148" s="231" t="str">
        <f>IFERROR(1-(SUMIF(Grid_BD!$B:$B,$A148,Grid_BD!$V:$V)/($AA148+SUMIF(Grid_BD!$B:$B,$A148,Grid_BD!$V:$V))),"")</f>
        <v/>
      </c>
      <c r="R148" s="230" t="str">
        <f>IFERROR(1-(SUMIF(Grid_BD!$B:$B,$A148,Grid_BD!$V:$V)/($AA148+SUMIF(Grid_BD!$B:$B,$A148,Grid_BD!$V:$V))),"")</f>
        <v/>
      </c>
      <c r="S148" s="9"/>
      <c r="T148" s="231"/>
      <c r="U148" s="232" t="str">
        <f t="shared" si="11"/>
        <v/>
      </c>
      <c r="V148" s="232" t="str">
        <f>IFERROR(_xlfn.XLOOKUP($A148,Input_Raw!$A:$A,Input_Raw!$FG:$FG),"")</f>
        <v/>
      </c>
      <c r="W148" s="233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85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33">
        <f>IFERROR(_xlfn.XLOOKUP($D148,'Modelling New'!$D:$D,'Modelling New'!O:O),"")</f>
        <v>0.85441089246197577</v>
      </c>
      <c r="AF148" s="233">
        <f>IFERROR(_xlfn.XLOOKUP($D148,'Modelling New'!$D:$D,'Modelling New'!W:W),"")</f>
        <v>0.14182761454173928</v>
      </c>
      <c r="AG148" s="233">
        <f>IFERROR(_xlfn.XLOOKUP($D148,'Modelling New'!$D:$D,'Modelling New'!AE:AE),"")</f>
        <v>0.995</v>
      </c>
      <c r="AH148" s="233">
        <f>IFERROR(_xlfn.XLOOKUP($D148,'Modelling New'!$D:$D,'Modelling New'!AF:AF),"")</f>
        <v>0.995</v>
      </c>
      <c r="AI148" s="9"/>
      <c r="AJ148" s="9"/>
      <c r="AK148" s="256"/>
      <c r="AL148" s="256"/>
      <c r="AM148" s="256"/>
      <c r="AN148" s="230"/>
      <c r="AO148" s="233"/>
      <c r="AP148" s="233"/>
      <c r="AQ148" s="233"/>
      <c r="AR148" s="234">
        <f>_xlfn.XLOOKUP(D148,'Modelling New'!$D:$D,'Modelling New'!$N:$N)</f>
        <v>130</v>
      </c>
      <c r="AS148" s="234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29">
        <f>Table13[[#This Row],[Date]]-DAY(Table13[[#This Row],[Date]])+1</f>
        <v>45870</v>
      </c>
      <c r="E149" s="9">
        <f t="shared" si="10"/>
        <v>31</v>
      </c>
      <c r="F149" s="199" t="str">
        <f>IFERROR(_xlfn.XLOOKUP($A149,Input_Raw!$A:$A,Input_Raw!$FC:$FC),"")</f>
        <v/>
      </c>
      <c r="G149" s="185" t="str">
        <f>IFERROR(_xlfn.XLOOKUP($A149,Input_Raw!$A:$A,Input_Raw!$CY:$CY),"")</f>
        <v/>
      </c>
      <c r="H149" s="185" t="str">
        <f>IFERROR(_xlfn.XLOOKUP($A149,Input_Raw!$A:$A,Input_Raw!$DA:$DA),"")</f>
        <v/>
      </c>
      <c r="I149" s="185" t="str">
        <f>IFERROR(_xlfn.XLOOKUP($A149,Input_Raw!$A:$A,Input_Raw!$CX:$CX),"")</f>
        <v/>
      </c>
      <c r="J149" s="185" t="str">
        <f>IFERROR(_xlfn.XLOOKUP($A149,Input_Raw!$A:$A,Input_Raw!$CZ:$CZ),"")</f>
        <v/>
      </c>
      <c r="K149" s="201" t="str">
        <f>IFERROR(_xlfn.XLOOKUP($A149,Input_Raw!$A:$A,Input_Raw!$DB:$DB),"")</f>
        <v/>
      </c>
      <c r="L149" s="201" t="str">
        <f>IFERROR(_xlfn.XLOOKUP($A149,Input_Raw!$A:$A,Input_Raw!$DC:$DC),"")</f>
        <v/>
      </c>
      <c r="M149" s="200" t="str">
        <f>IFERROR(_xlfn.XLOOKUP($A149,Input_Raw!$A:$A,Input_Raw!$DF:$DF),"")</f>
        <v/>
      </c>
      <c r="N149" s="200" t="str">
        <f>IFERROR(_xlfn.XLOOKUP($A149,Input_Raw!$A:$A,Input_Raw!$DG:$DG),"")</f>
        <v/>
      </c>
      <c r="O149" s="230" t="str">
        <f>IFERROR(1-(SUMIF(Plant_BD!$B:$B,$A149,Plant_BD!$AL:$AL)/($AA149+SUMIF(Plant_BD!$B:$B,$A149,Plant_BD!$AL:$AL))),"")</f>
        <v/>
      </c>
      <c r="P149" s="230"/>
      <c r="Q149" s="231" t="str">
        <f>IFERROR(1-(SUMIF(Grid_BD!$B:$B,$A149,Grid_BD!$V:$V)/($AA149+SUMIF(Grid_BD!$B:$B,$A149,Grid_BD!$V:$V))),"")</f>
        <v/>
      </c>
      <c r="R149" s="230" t="str">
        <f>IFERROR(1-(SUMIF(Grid_BD!$B:$B,$A149,Grid_BD!$V:$V)/($AA149+SUMIF(Grid_BD!$B:$B,$A149,Grid_BD!$V:$V))),"")</f>
        <v/>
      </c>
      <c r="S149" s="9"/>
      <c r="T149" s="231"/>
      <c r="U149" s="232" t="str">
        <f t="shared" si="11"/>
        <v/>
      </c>
      <c r="V149" s="232" t="str">
        <f>IFERROR(_xlfn.XLOOKUP($A149,Input_Raw!$A:$A,Input_Raw!$FG:$FG),"")</f>
        <v/>
      </c>
      <c r="W149" s="233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85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33">
        <f>IFERROR(_xlfn.XLOOKUP($D149,'Modelling New'!$D:$D,'Modelling New'!O:O),"")</f>
        <v>0.85441089246197577</v>
      </c>
      <c r="AF149" s="233">
        <f>IFERROR(_xlfn.XLOOKUP($D149,'Modelling New'!$D:$D,'Modelling New'!W:W),"")</f>
        <v>0.14182761454173928</v>
      </c>
      <c r="AG149" s="233">
        <f>IFERROR(_xlfn.XLOOKUP($D149,'Modelling New'!$D:$D,'Modelling New'!AE:AE),"")</f>
        <v>0.995</v>
      </c>
      <c r="AH149" s="233">
        <f>IFERROR(_xlfn.XLOOKUP($D149,'Modelling New'!$D:$D,'Modelling New'!AF:AF),"")</f>
        <v>0.995</v>
      </c>
      <c r="AI149" s="9"/>
      <c r="AJ149" s="9"/>
      <c r="AK149" s="256"/>
      <c r="AL149" s="256"/>
      <c r="AM149" s="256"/>
      <c r="AN149" s="230"/>
      <c r="AO149" s="233"/>
      <c r="AP149" s="233"/>
      <c r="AQ149" s="233"/>
      <c r="AR149" s="234">
        <f>_xlfn.XLOOKUP(D149,'Modelling New'!$D:$D,'Modelling New'!$N:$N)</f>
        <v>130</v>
      </c>
      <c r="AS149" s="234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29">
        <f>Table13[[#This Row],[Date]]-DAY(Table13[[#This Row],[Date]])+1</f>
        <v>45870</v>
      </c>
      <c r="E150" s="9">
        <f t="shared" si="10"/>
        <v>31</v>
      </c>
      <c r="F150" s="199" t="str">
        <f>IFERROR(_xlfn.XLOOKUP($A150,Input_Raw!$A:$A,Input_Raw!$FC:$FC),"")</f>
        <v/>
      </c>
      <c r="G150" s="200" t="str">
        <f>IFERROR(_xlfn.XLOOKUP($A150,Input_Raw!$A:$A,Input_Raw!$CY:$CY),"")</f>
        <v/>
      </c>
      <c r="H150" s="200" t="str">
        <f>IFERROR(_xlfn.XLOOKUP($A150,Input_Raw!$A:$A,Input_Raw!$DA:$DA),"")</f>
        <v/>
      </c>
      <c r="I150" s="200" t="str">
        <f>IFERROR(_xlfn.XLOOKUP($A150,Input_Raw!$A:$A,Input_Raw!$CX:$CX),"")</f>
        <v/>
      </c>
      <c r="J150" s="200" t="str">
        <f>IFERROR(_xlfn.XLOOKUP($A150,Input_Raw!$A:$A,Input_Raw!$CZ:$CZ),"")</f>
        <v/>
      </c>
      <c r="K150" s="201" t="str">
        <f>IFERROR(_xlfn.XLOOKUP($A150,Input_Raw!$A:$A,Input_Raw!$DB:$DB),"")</f>
        <v/>
      </c>
      <c r="L150" s="201" t="str">
        <f>IFERROR(_xlfn.XLOOKUP($A150,Input_Raw!$A:$A,Input_Raw!$DC:$DC),"")</f>
        <v/>
      </c>
      <c r="M150" s="200" t="str">
        <f>IFERROR(_xlfn.XLOOKUP($A150,Input_Raw!$A:$A,Input_Raw!$DF:$DF),"")</f>
        <v/>
      </c>
      <c r="N150" s="200" t="str">
        <f>IFERROR(_xlfn.XLOOKUP($A150,Input_Raw!$A:$A,Input_Raw!$DG:$DG),"")</f>
        <v/>
      </c>
      <c r="O150" s="230" t="str">
        <f>IFERROR(1-(SUMIF(Plant_BD!$B:$B,$A150,Plant_BD!$AL:$AL)/($AA150+SUMIF(Plant_BD!$B:$B,$A150,Plant_BD!$AL:$AL))),"")</f>
        <v/>
      </c>
      <c r="P150" s="230"/>
      <c r="Q150" s="231" t="str">
        <f>IFERROR(1-(SUMIF(Grid_BD!$B:$B,$A150,Grid_BD!$V:$V)/($AA150+SUMIF(Grid_BD!$B:$B,$A150,Grid_BD!$V:$V))),"")</f>
        <v/>
      </c>
      <c r="R150" s="230" t="str">
        <f>IFERROR(1-(SUMIF(Grid_BD!$B:$B,$A150,Grid_BD!$V:$V)/($AA150+SUMIF(Grid_BD!$B:$B,$A150,Grid_BD!$V:$V))),"")</f>
        <v/>
      </c>
      <c r="S150" s="9"/>
      <c r="T150" s="231"/>
      <c r="U150" s="232" t="str">
        <f t="shared" si="11"/>
        <v/>
      </c>
      <c r="V150" s="232" t="str">
        <f>IFERROR(_xlfn.XLOOKUP($A150,Input_Raw!$A:$A,Input_Raw!$FG:$FG),"")</f>
        <v/>
      </c>
      <c r="W150" s="233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85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33">
        <f>IFERROR(_xlfn.XLOOKUP($D150,'Modelling New'!$D:$D,'Modelling New'!O:O),"")</f>
        <v>0.85441089246197577</v>
      </c>
      <c r="AF150" s="233">
        <f>IFERROR(_xlfn.XLOOKUP($D150,'Modelling New'!$D:$D,'Modelling New'!W:W),"")</f>
        <v>0.14182761454173928</v>
      </c>
      <c r="AG150" s="233">
        <f>IFERROR(_xlfn.XLOOKUP($D150,'Modelling New'!$D:$D,'Modelling New'!AE:AE),"")</f>
        <v>0.995</v>
      </c>
      <c r="AH150" s="233">
        <f>IFERROR(_xlfn.XLOOKUP($D150,'Modelling New'!$D:$D,'Modelling New'!AF:AF),"")</f>
        <v>0.995</v>
      </c>
      <c r="AI150" s="9"/>
      <c r="AJ150" s="9"/>
      <c r="AK150" s="256"/>
      <c r="AL150" s="256"/>
      <c r="AM150" s="256"/>
      <c r="AN150" s="230"/>
      <c r="AO150" s="233"/>
      <c r="AP150" s="233"/>
      <c r="AQ150" s="233"/>
      <c r="AR150" s="234">
        <f>_xlfn.XLOOKUP(D150,'Modelling New'!$D:$D,'Modelling New'!$N:$N)</f>
        <v>130</v>
      </c>
      <c r="AS150" s="234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29">
        <f>Table13[[#This Row],[Date]]-DAY(Table13[[#This Row],[Date]])+1</f>
        <v>45870</v>
      </c>
      <c r="E151" s="9">
        <f t="shared" si="10"/>
        <v>31</v>
      </c>
      <c r="F151" s="199" t="str">
        <f>IFERROR(_xlfn.XLOOKUP($A151,Input_Raw!$A:$A,Input_Raw!$FC:$FC),"")</f>
        <v/>
      </c>
      <c r="G151" s="185" t="str">
        <f>IFERROR(_xlfn.XLOOKUP($A151,Input_Raw!$A:$A,Input_Raw!$CY:$CY),"")</f>
        <v/>
      </c>
      <c r="H151" s="185" t="str">
        <f>IFERROR(_xlfn.XLOOKUP($A151,Input_Raw!$A:$A,Input_Raw!$DA:$DA),"")</f>
        <v/>
      </c>
      <c r="I151" s="185" t="str">
        <f>IFERROR(_xlfn.XLOOKUP($A151,Input_Raw!$A:$A,Input_Raw!$CX:$CX),"")</f>
        <v/>
      </c>
      <c r="J151" s="185" t="str">
        <f>IFERROR(_xlfn.XLOOKUP($A151,Input_Raw!$A:$A,Input_Raw!$CZ:$CZ),"")</f>
        <v/>
      </c>
      <c r="K151" s="201" t="str">
        <f>IFERROR(_xlfn.XLOOKUP($A151,Input_Raw!$A:$A,Input_Raw!$DB:$DB),"")</f>
        <v/>
      </c>
      <c r="L151" s="201" t="str">
        <f>IFERROR(_xlfn.XLOOKUP($A151,Input_Raw!$A:$A,Input_Raw!$DC:$DC),"")</f>
        <v/>
      </c>
      <c r="M151" s="200" t="str">
        <f>IFERROR(_xlfn.XLOOKUP($A151,Input_Raw!$A:$A,Input_Raw!$DF:$DF),"")</f>
        <v/>
      </c>
      <c r="N151" s="200" t="str">
        <f>IFERROR(_xlfn.XLOOKUP($A151,Input_Raw!$A:$A,Input_Raw!$DG:$DG),"")</f>
        <v/>
      </c>
      <c r="O151" s="230" t="str">
        <f>IFERROR(1-(SUMIF(Plant_BD!$B:$B,$A151,Plant_BD!$AL:$AL)/($AA151+SUMIF(Plant_BD!$B:$B,$A151,Plant_BD!$AL:$AL))),"")</f>
        <v/>
      </c>
      <c r="P151" s="230"/>
      <c r="Q151" s="231" t="str">
        <f>IFERROR(1-(SUMIF(Grid_BD!$B:$B,$A151,Grid_BD!$V:$V)/($AA151+SUMIF(Grid_BD!$B:$B,$A151,Grid_BD!$V:$V))),"")</f>
        <v/>
      </c>
      <c r="R151" s="230" t="str">
        <f>IFERROR(1-(SUMIF(Grid_BD!$B:$B,$A151,Grid_BD!$V:$V)/($AA151+SUMIF(Grid_BD!$B:$B,$A151,Grid_BD!$V:$V))),"")</f>
        <v/>
      </c>
      <c r="S151" s="9"/>
      <c r="T151" s="231"/>
      <c r="U151" s="232" t="str">
        <f t="shared" si="11"/>
        <v/>
      </c>
      <c r="V151" s="232" t="str">
        <f>IFERROR(_xlfn.XLOOKUP($A151,Input_Raw!$A:$A,Input_Raw!$FG:$FG),"")</f>
        <v/>
      </c>
      <c r="W151" s="233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85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33">
        <f>IFERROR(_xlfn.XLOOKUP($D151,'Modelling New'!$D:$D,'Modelling New'!O:O),"")</f>
        <v>0.85441089246197577</v>
      </c>
      <c r="AF151" s="233">
        <f>IFERROR(_xlfn.XLOOKUP($D151,'Modelling New'!$D:$D,'Modelling New'!W:W),"")</f>
        <v>0.14182761454173928</v>
      </c>
      <c r="AG151" s="233">
        <f>IFERROR(_xlfn.XLOOKUP($D151,'Modelling New'!$D:$D,'Modelling New'!AE:AE),"")</f>
        <v>0.995</v>
      </c>
      <c r="AH151" s="233">
        <f>IFERROR(_xlfn.XLOOKUP($D151,'Modelling New'!$D:$D,'Modelling New'!AF:AF),"")</f>
        <v>0.995</v>
      </c>
      <c r="AI151" s="9"/>
      <c r="AJ151" s="9"/>
      <c r="AK151" s="256"/>
      <c r="AL151" s="256"/>
      <c r="AM151" s="256"/>
      <c r="AN151" s="230"/>
      <c r="AO151" s="233"/>
      <c r="AP151" s="233"/>
      <c r="AQ151" s="233"/>
      <c r="AR151" s="234">
        <f>_xlfn.XLOOKUP(D151,'Modelling New'!$D:$D,'Modelling New'!$N:$N)</f>
        <v>130</v>
      </c>
      <c r="AS151" s="234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29">
        <f>Table13[[#This Row],[Date]]-DAY(Table13[[#This Row],[Date]])+1</f>
        <v>45870</v>
      </c>
      <c r="E152" s="9">
        <f t="shared" si="10"/>
        <v>31</v>
      </c>
      <c r="F152" s="199" t="str">
        <f>IFERROR(_xlfn.XLOOKUP($A152,Input_Raw!$A:$A,Input_Raw!$FC:$FC),"")</f>
        <v/>
      </c>
      <c r="G152" s="200" t="str">
        <f>IFERROR(_xlfn.XLOOKUP($A152,Input_Raw!$A:$A,Input_Raw!$CY:$CY),"")</f>
        <v/>
      </c>
      <c r="H152" s="200" t="str">
        <f>IFERROR(_xlfn.XLOOKUP($A152,Input_Raw!$A:$A,Input_Raw!$DA:$DA),"")</f>
        <v/>
      </c>
      <c r="I152" s="200" t="str">
        <f>IFERROR(_xlfn.XLOOKUP($A152,Input_Raw!$A:$A,Input_Raw!$CX:$CX),"")</f>
        <v/>
      </c>
      <c r="J152" s="200" t="str">
        <f>IFERROR(_xlfn.XLOOKUP($A152,Input_Raw!$A:$A,Input_Raw!$CZ:$CZ),"")</f>
        <v/>
      </c>
      <c r="K152" s="201" t="str">
        <f>IFERROR(_xlfn.XLOOKUP($A152,Input_Raw!$A:$A,Input_Raw!$DB:$DB),"")</f>
        <v/>
      </c>
      <c r="L152" s="201" t="str">
        <f>IFERROR(_xlfn.XLOOKUP($A152,Input_Raw!$A:$A,Input_Raw!$DC:$DC),"")</f>
        <v/>
      </c>
      <c r="M152" s="200" t="str">
        <f>IFERROR(_xlfn.XLOOKUP($A152,Input_Raw!$A:$A,Input_Raw!$DF:$DF),"")</f>
        <v/>
      </c>
      <c r="N152" s="200" t="str">
        <f>IFERROR(_xlfn.XLOOKUP($A152,Input_Raw!$A:$A,Input_Raw!$DG:$DG),"")</f>
        <v/>
      </c>
      <c r="O152" s="230" t="str">
        <f>IFERROR(1-(SUMIF(Plant_BD!$B:$B,$A152,Plant_BD!$AL:$AL)/($AA152+SUMIF(Plant_BD!$B:$B,$A152,Plant_BD!$AL:$AL))),"")</f>
        <v/>
      </c>
      <c r="P152" s="230"/>
      <c r="Q152" s="231" t="str">
        <f>IFERROR(1-(SUMIF(Grid_BD!$B:$B,$A152,Grid_BD!$V:$V)/($AA152+SUMIF(Grid_BD!$B:$B,$A152,Grid_BD!$V:$V))),"")</f>
        <v/>
      </c>
      <c r="R152" s="230" t="str">
        <f>IFERROR(1-(SUMIF(Grid_BD!$B:$B,$A152,Grid_BD!$V:$V)/($AA152+SUMIF(Grid_BD!$B:$B,$A152,Grid_BD!$V:$V))),"")</f>
        <v/>
      </c>
      <c r="S152" s="9"/>
      <c r="T152" s="231"/>
      <c r="U152" s="232" t="str">
        <f t="shared" si="11"/>
        <v/>
      </c>
      <c r="V152" s="232" t="str">
        <f>IFERROR(_xlfn.XLOOKUP($A152,Input_Raw!$A:$A,Input_Raw!$FG:$FG),"")</f>
        <v/>
      </c>
      <c r="W152" s="233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85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33">
        <f>IFERROR(_xlfn.XLOOKUP($D152,'Modelling New'!$D:$D,'Modelling New'!O:O),"")</f>
        <v>0.85441089246197577</v>
      </c>
      <c r="AF152" s="233">
        <f>IFERROR(_xlfn.XLOOKUP($D152,'Modelling New'!$D:$D,'Modelling New'!W:W),"")</f>
        <v>0.14182761454173928</v>
      </c>
      <c r="AG152" s="233">
        <f>IFERROR(_xlfn.XLOOKUP($D152,'Modelling New'!$D:$D,'Modelling New'!AE:AE),"")</f>
        <v>0.995</v>
      </c>
      <c r="AH152" s="233">
        <f>IFERROR(_xlfn.XLOOKUP($D152,'Modelling New'!$D:$D,'Modelling New'!AF:AF),"")</f>
        <v>0.995</v>
      </c>
      <c r="AI152" s="9"/>
      <c r="AJ152" s="9"/>
      <c r="AK152" s="256"/>
      <c r="AL152" s="256"/>
      <c r="AM152" s="256"/>
      <c r="AN152" s="230"/>
      <c r="AO152" s="233"/>
      <c r="AP152" s="233"/>
      <c r="AQ152" s="233"/>
      <c r="AR152" s="234">
        <f>_xlfn.XLOOKUP(D152,'Modelling New'!$D:$D,'Modelling New'!$N:$N)</f>
        <v>130</v>
      </c>
      <c r="AS152" s="234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29">
        <f>Table13[[#This Row],[Date]]-DAY(Table13[[#This Row],[Date]])+1</f>
        <v>45870</v>
      </c>
      <c r="E153" s="9">
        <f t="shared" si="10"/>
        <v>31</v>
      </c>
      <c r="F153" s="199" t="str">
        <f>IFERROR(_xlfn.XLOOKUP($A153,Input_Raw!$A:$A,Input_Raw!$FC:$FC),"")</f>
        <v/>
      </c>
      <c r="G153" s="185" t="str">
        <f>IFERROR(_xlfn.XLOOKUP($A153,Input_Raw!$A:$A,Input_Raw!$CY:$CY),"")</f>
        <v/>
      </c>
      <c r="H153" s="185" t="str">
        <f>IFERROR(_xlfn.XLOOKUP($A153,Input_Raw!$A:$A,Input_Raw!$DA:$DA),"")</f>
        <v/>
      </c>
      <c r="I153" s="185" t="str">
        <f>IFERROR(_xlfn.XLOOKUP($A153,Input_Raw!$A:$A,Input_Raw!$CX:$CX),"")</f>
        <v/>
      </c>
      <c r="J153" s="185" t="str">
        <f>IFERROR(_xlfn.XLOOKUP($A153,Input_Raw!$A:$A,Input_Raw!$CZ:$CZ),"")</f>
        <v/>
      </c>
      <c r="K153" s="201" t="str">
        <f>IFERROR(_xlfn.XLOOKUP($A153,Input_Raw!$A:$A,Input_Raw!$DB:$DB),"")</f>
        <v/>
      </c>
      <c r="L153" s="201" t="str">
        <f>IFERROR(_xlfn.XLOOKUP($A153,Input_Raw!$A:$A,Input_Raw!$DC:$DC),"")</f>
        <v/>
      </c>
      <c r="M153" s="200" t="str">
        <f>IFERROR(_xlfn.XLOOKUP($A153,Input_Raw!$A:$A,Input_Raw!$DF:$DF),"")</f>
        <v/>
      </c>
      <c r="N153" s="200" t="str">
        <f>IFERROR(_xlfn.XLOOKUP($A153,Input_Raw!$A:$A,Input_Raw!$DG:$DG),"")</f>
        <v/>
      </c>
      <c r="O153" s="230" t="str">
        <f>IFERROR(1-(SUMIF(Plant_BD!$B:$B,$A153,Plant_BD!$AL:$AL)/($AA153+SUMIF(Plant_BD!$B:$B,$A153,Plant_BD!$AL:$AL))),"")</f>
        <v/>
      </c>
      <c r="P153" s="230"/>
      <c r="Q153" s="231" t="str">
        <f>IFERROR(1-(SUMIF(Grid_BD!$B:$B,$A153,Grid_BD!$V:$V)/($AA153+SUMIF(Grid_BD!$B:$B,$A153,Grid_BD!$V:$V))),"")</f>
        <v/>
      </c>
      <c r="R153" s="230" t="str">
        <f>IFERROR(1-(SUMIF(Grid_BD!$B:$B,$A153,Grid_BD!$V:$V)/($AA153+SUMIF(Grid_BD!$B:$B,$A153,Grid_BD!$V:$V))),"")</f>
        <v/>
      </c>
      <c r="S153" s="9"/>
      <c r="T153" s="231"/>
      <c r="U153" s="232" t="str">
        <f t="shared" si="11"/>
        <v/>
      </c>
      <c r="V153" s="232" t="str">
        <f>IFERROR(_xlfn.XLOOKUP($A153,Input_Raw!$A:$A,Input_Raw!$FG:$FG),"")</f>
        <v/>
      </c>
      <c r="W153" s="233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85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33">
        <f>IFERROR(_xlfn.XLOOKUP($D153,'Modelling New'!$D:$D,'Modelling New'!O:O),"")</f>
        <v>0.85441089246197577</v>
      </c>
      <c r="AF153" s="233">
        <f>IFERROR(_xlfn.XLOOKUP($D153,'Modelling New'!$D:$D,'Modelling New'!W:W),"")</f>
        <v>0.14182761454173928</v>
      </c>
      <c r="AG153" s="233">
        <f>IFERROR(_xlfn.XLOOKUP($D153,'Modelling New'!$D:$D,'Modelling New'!AE:AE),"")</f>
        <v>0.995</v>
      </c>
      <c r="AH153" s="233">
        <f>IFERROR(_xlfn.XLOOKUP($D153,'Modelling New'!$D:$D,'Modelling New'!AF:AF),"")</f>
        <v>0.995</v>
      </c>
      <c r="AI153" s="9"/>
      <c r="AJ153" s="9"/>
      <c r="AK153" s="256"/>
      <c r="AL153" s="256"/>
      <c r="AM153" s="256"/>
      <c r="AN153" s="230"/>
      <c r="AO153" s="233"/>
      <c r="AP153" s="233"/>
      <c r="AQ153" s="233"/>
      <c r="AR153" s="234">
        <f>_xlfn.XLOOKUP(D153,'Modelling New'!$D:$D,'Modelling New'!$N:$N)</f>
        <v>130</v>
      </c>
      <c r="AS153" s="234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29">
        <f>Table13[[#This Row],[Date]]-DAY(Table13[[#This Row],[Date]])+1</f>
        <v>45870</v>
      </c>
      <c r="E154" s="9">
        <f t="shared" si="10"/>
        <v>31</v>
      </c>
      <c r="F154" s="199" t="str">
        <f>IFERROR(_xlfn.XLOOKUP($A154,Input_Raw!$A:$A,Input_Raw!$FC:$FC),"")</f>
        <v/>
      </c>
      <c r="G154" s="200" t="str">
        <f>IFERROR(_xlfn.XLOOKUP($A154,Input_Raw!$A:$A,Input_Raw!$CY:$CY),"")</f>
        <v/>
      </c>
      <c r="H154" s="200" t="str">
        <f>IFERROR(_xlfn.XLOOKUP($A154,Input_Raw!$A:$A,Input_Raw!$DA:$DA),"")</f>
        <v/>
      </c>
      <c r="I154" s="200" t="str">
        <f>IFERROR(_xlfn.XLOOKUP($A154,Input_Raw!$A:$A,Input_Raw!$CX:$CX),"")</f>
        <v/>
      </c>
      <c r="J154" s="200" t="str">
        <f>IFERROR(_xlfn.XLOOKUP($A154,Input_Raw!$A:$A,Input_Raw!$CZ:$CZ),"")</f>
        <v/>
      </c>
      <c r="K154" s="201" t="str">
        <f>IFERROR(_xlfn.XLOOKUP($A154,Input_Raw!$A:$A,Input_Raw!$DB:$DB),"")</f>
        <v/>
      </c>
      <c r="L154" s="201" t="str">
        <f>IFERROR(_xlfn.XLOOKUP($A154,Input_Raw!$A:$A,Input_Raw!$DC:$DC),"")</f>
        <v/>
      </c>
      <c r="M154" s="200" t="str">
        <f>IFERROR(_xlfn.XLOOKUP($A154,Input_Raw!$A:$A,Input_Raw!$DF:$DF),"")</f>
        <v/>
      </c>
      <c r="N154" s="200" t="str">
        <f>IFERROR(_xlfn.XLOOKUP($A154,Input_Raw!$A:$A,Input_Raw!$DG:$DG),"")</f>
        <v/>
      </c>
      <c r="O154" s="230" t="str">
        <f>IFERROR(1-(SUMIF(Plant_BD!$B:$B,$A154,Plant_BD!$AL:$AL)/($AA154+SUMIF(Plant_BD!$B:$B,$A154,Plant_BD!$AL:$AL))),"")</f>
        <v/>
      </c>
      <c r="P154" s="230"/>
      <c r="Q154" s="231" t="str">
        <f>IFERROR(1-(SUMIF(Grid_BD!$B:$B,$A154,Grid_BD!$V:$V)/($AA154+SUMIF(Grid_BD!$B:$B,$A154,Grid_BD!$V:$V))),"")</f>
        <v/>
      </c>
      <c r="R154" s="230" t="str">
        <f>IFERROR(1-(SUMIF(Grid_BD!$B:$B,$A154,Grid_BD!$V:$V)/($AA154+SUMIF(Grid_BD!$B:$B,$A154,Grid_BD!$V:$V))),"")</f>
        <v/>
      </c>
      <c r="S154" s="9"/>
      <c r="T154" s="231"/>
      <c r="U154" s="232" t="str">
        <f t="shared" si="11"/>
        <v/>
      </c>
      <c r="V154" s="232" t="str">
        <f>IFERROR(_xlfn.XLOOKUP($A154,Input_Raw!$A:$A,Input_Raw!$FG:$FG),"")</f>
        <v/>
      </c>
      <c r="W154" s="233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85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33">
        <f>IFERROR(_xlfn.XLOOKUP($D154,'Modelling New'!$D:$D,'Modelling New'!O:O),"")</f>
        <v>0.85441089246197577</v>
      </c>
      <c r="AF154" s="233">
        <f>IFERROR(_xlfn.XLOOKUP($D154,'Modelling New'!$D:$D,'Modelling New'!W:W),"")</f>
        <v>0.14182761454173928</v>
      </c>
      <c r="AG154" s="233">
        <f>IFERROR(_xlfn.XLOOKUP($D154,'Modelling New'!$D:$D,'Modelling New'!AE:AE),"")</f>
        <v>0.995</v>
      </c>
      <c r="AH154" s="233">
        <f>IFERROR(_xlfn.XLOOKUP($D154,'Modelling New'!$D:$D,'Modelling New'!AF:AF),"")</f>
        <v>0.995</v>
      </c>
      <c r="AI154" s="9"/>
      <c r="AJ154" s="9"/>
      <c r="AK154" s="256"/>
      <c r="AL154" s="256"/>
      <c r="AM154" s="256"/>
      <c r="AN154" s="230"/>
      <c r="AO154" s="233"/>
      <c r="AP154" s="233"/>
      <c r="AQ154" s="233"/>
      <c r="AR154" s="234">
        <f>_xlfn.XLOOKUP(D154,'Modelling New'!$D:$D,'Modelling New'!$N:$N)</f>
        <v>130</v>
      </c>
      <c r="AS154" s="234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29">
        <f>Table13[[#This Row],[Date]]-DAY(Table13[[#This Row],[Date]])+1</f>
        <v>45870</v>
      </c>
      <c r="E155" s="9">
        <f t="shared" si="10"/>
        <v>31</v>
      </c>
      <c r="F155" s="199" t="str">
        <f>IFERROR(_xlfn.XLOOKUP($A155,Input_Raw!$A:$A,Input_Raw!$FC:$FC),"")</f>
        <v/>
      </c>
      <c r="G155" s="185" t="str">
        <f>IFERROR(_xlfn.XLOOKUP($A155,Input_Raw!$A:$A,Input_Raw!$CY:$CY),"")</f>
        <v/>
      </c>
      <c r="H155" s="185" t="str">
        <f>IFERROR(_xlfn.XLOOKUP($A155,Input_Raw!$A:$A,Input_Raw!$DA:$DA),"")</f>
        <v/>
      </c>
      <c r="I155" s="185" t="str">
        <f>IFERROR(_xlfn.XLOOKUP($A155,Input_Raw!$A:$A,Input_Raw!$CX:$CX),"")</f>
        <v/>
      </c>
      <c r="J155" s="185" t="str">
        <f>IFERROR(_xlfn.XLOOKUP($A155,Input_Raw!$A:$A,Input_Raw!$CZ:$CZ),"")</f>
        <v/>
      </c>
      <c r="K155" s="201" t="str">
        <f>IFERROR(_xlfn.XLOOKUP($A155,Input_Raw!$A:$A,Input_Raw!$DB:$DB),"")</f>
        <v/>
      </c>
      <c r="L155" s="201" t="str">
        <f>IFERROR(_xlfn.XLOOKUP($A155,Input_Raw!$A:$A,Input_Raw!$DC:$DC),"")</f>
        <v/>
      </c>
      <c r="M155" s="200" t="str">
        <f>IFERROR(_xlfn.XLOOKUP($A155,Input_Raw!$A:$A,Input_Raw!$DF:$DF),"")</f>
        <v/>
      </c>
      <c r="N155" s="200" t="str">
        <f>IFERROR(_xlfn.XLOOKUP($A155,Input_Raw!$A:$A,Input_Raw!$DG:$DG),"")</f>
        <v/>
      </c>
      <c r="O155" s="230" t="str">
        <f>IFERROR(1-(SUMIF(Plant_BD!$B:$B,$A155,Plant_BD!$AL:$AL)/($AA155+SUMIF(Plant_BD!$B:$B,$A155,Plant_BD!$AL:$AL))),"")</f>
        <v/>
      </c>
      <c r="P155" s="230"/>
      <c r="Q155" s="231" t="str">
        <f>IFERROR(1-(SUMIF(Grid_BD!$B:$B,$A155,Grid_BD!$V:$V)/($AA155+SUMIF(Grid_BD!$B:$B,$A155,Grid_BD!$V:$V))),"")</f>
        <v/>
      </c>
      <c r="R155" s="230" t="str">
        <f>IFERROR(1-(SUMIF(Grid_BD!$B:$B,$A155,Grid_BD!$V:$V)/($AA155+SUMIF(Grid_BD!$B:$B,$A155,Grid_BD!$V:$V))),"")</f>
        <v/>
      </c>
      <c r="S155" s="9"/>
      <c r="T155" s="231"/>
      <c r="U155" s="232" t="str">
        <f t="shared" si="11"/>
        <v/>
      </c>
      <c r="V155" s="232" t="str">
        <f>IFERROR(_xlfn.XLOOKUP($A155,Input_Raw!$A:$A,Input_Raw!$FG:$FG),"")</f>
        <v/>
      </c>
      <c r="W155" s="233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85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33">
        <f>IFERROR(_xlfn.XLOOKUP($D155,'Modelling New'!$D:$D,'Modelling New'!O:O),"")</f>
        <v>0.85441089246197577</v>
      </c>
      <c r="AF155" s="233">
        <f>IFERROR(_xlfn.XLOOKUP($D155,'Modelling New'!$D:$D,'Modelling New'!W:W),"")</f>
        <v>0.14182761454173928</v>
      </c>
      <c r="AG155" s="233">
        <f>IFERROR(_xlfn.XLOOKUP($D155,'Modelling New'!$D:$D,'Modelling New'!AE:AE),"")</f>
        <v>0.995</v>
      </c>
      <c r="AH155" s="233">
        <f>IFERROR(_xlfn.XLOOKUP($D155,'Modelling New'!$D:$D,'Modelling New'!AF:AF),"")</f>
        <v>0.995</v>
      </c>
      <c r="AI155" s="9"/>
      <c r="AJ155" s="9"/>
      <c r="AK155" s="256"/>
      <c r="AL155" s="256"/>
      <c r="AM155" s="256"/>
      <c r="AN155" s="230"/>
      <c r="AO155" s="233"/>
      <c r="AP155" s="233"/>
      <c r="AQ155" s="233"/>
      <c r="AR155" s="234">
        <f>_xlfn.XLOOKUP(D155,'Modelling New'!$D:$D,'Modelling New'!$N:$N)</f>
        <v>130</v>
      </c>
      <c r="AS155" s="234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29">
        <f>Table13[[#This Row],[Date]]-DAY(Table13[[#This Row],[Date]])+1</f>
        <v>45870</v>
      </c>
      <c r="E156" s="9">
        <f t="shared" si="10"/>
        <v>31</v>
      </c>
      <c r="F156" s="199" t="str">
        <f>IFERROR(_xlfn.XLOOKUP($A156,Input_Raw!$A:$A,Input_Raw!$FC:$FC),"")</f>
        <v/>
      </c>
      <c r="G156" s="200" t="str">
        <f>IFERROR(_xlfn.XLOOKUP($A156,Input_Raw!$A:$A,Input_Raw!$CY:$CY),"")</f>
        <v/>
      </c>
      <c r="H156" s="200" t="str">
        <f>IFERROR(_xlfn.XLOOKUP($A156,Input_Raw!$A:$A,Input_Raw!$DA:$DA),"")</f>
        <v/>
      </c>
      <c r="I156" s="200" t="str">
        <f>IFERROR(_xlfn.XLOOKUP($A156,Input_Raw!$A:$A,Input_Raw!$CX:$CX),"")</f>
        <v/>
      </c>
      <c r="J156" s="200" t="str">
        <f>IFERROR(_xlfn.XLOOKUP($A156,Input_Raw!$A:$A,Input_Raw!$CZ:$CZ),"")</f>
        <v/>
      </c>
      <c r="K156" s="201" t="str">
        <f>IFERROR(_xlfn.XLOOKUP($A156,Input_Raw!$A:$A,Input_Raw!$DB:$DB),"")</f>
        <v/>
      </c>
      <c r="L156" s="201" t="str">
        <f>IFERROR(_xlfn.XLOOKUP($A156,Input_Raw!$A:$A,Input_Raw!$DC:$DC),"")</f>
        <v/>
      </c>
      <c r="M156" s="200" t="str">
        <f>IFERROR(_xlfn.XLOOKUP($A156,Input_Raw!$A:$A,Input_Raw!$DF:$DF),"")</f>
        <v/>
      </c>
      <c r="N156" s="200" t="str">
        <f>IFERROR(_xlfn.XLOOKUP($A156,Input_Raw!$A:$A,Input_Raw!$DG:$DG),"")</f>
        <v/>
      </c>
      <c r="O156" s="230" t="str">
        <f>IFERROR(1-(SUMIF(Plant_BD!$B:$B,$A156,Plant_BD!$AL:$AL)/($AA156+SUMIF(Plant_BD!$B:$B,$A156,Plant_BD!$AL:$AL))),"")</f>
        <v/>
      </c>
      <c r="P156" s="230"/>
      <c r="Q156" s="231" t="str">
        <f>IFERROR(1-(SUMIF(Grid_BD!$B:$B,$A156,Grid_BD!$V:$V)/($AA156+SUMIF(Grid_BD!$B:$B,$A156,Grid_BD!$V:$V))),"")</f>
        <v/>
      </c>
      <c r="R156" s="230" t="str">
        <f>IFERROR(1-(SUMIF(Grid_BD!$B:$B,$A156,Grid_BD!$V:$V)/($AA156+SUMIF(Grid_BD!$B:$B,$A156,Grid_BD!$V:$V))),"")</f>
        <v/>
      </c>
      <c r="S156" s="9"/>
      <c r="T156" s="231"/>
      <c r="U156" s="232" t="str">
        <f t="shared" si="11"/>
        <v/>
      </c>
      <c r="V156" s="232" t="str">
        <f>IFERROR(_xlfn.XLOOKUP($A156,Input_Raw!$A:$A,Input_Raw!$FG:$FG),"")</f>
        <v/>
      </c>
      <c r="W156" s="233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85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33">
        <f>IFERROR(_xlfn.XLOOKUP($D156,'Modelling New'!$D:$D,'Modelling New'!O:O),"")</f>
        <v>0.85441089246197577</v>
      </c>
      <c r="AF156" s="233">
        <f>IFERROR(_xlfn.XLOOKUP($D156,'Modelling New'!$D:$D,'Modelling New'!W:W),"")</f>
        <v>0.14182761454173928</v>
      </c>
      <c r="AG156" s="233">
        <f>IFERROR(_xlfn.XLOOKUP($D156,'Modelling New'!$D:$D,'Modelling New'!AE:AE),"")</f>
        <v>0.995</v>
      </c>
      <c r="AH156" s="233">
        <f>IFERROR(_xlfn.XLOOKUP($D156,'Modelling New'!$D:$D,'Modelling New'!AF:AF),"")</f>
        <v>0.995</v>
      </c>
      <c r="AI156" s="9"/>
      <c r="AJ156" s="9"/>
      <c r="AK156" s="256"/>
      <c r="AL156" s="256"/>
      <c r="AM156" s="256"/>
      <c r="AN156" s="230"/>
      <c r="AO156" s="233"/>
      <c r="AP156" s="233"/>
      <c r="AQ156" s="233"/>
      <c r="AR156" s="234">
        <f>_xlfn.XLOOKUP(D156,'Modelling New'!$D:$D,'Modelling New'!$N:$N)</f>
        <v>130</v>
      </c>
      <c r="AS156" s="234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29">
        <f>Table13[[#This Row],[Date]]-DAY(Table13[[#This Row],[Date]])+1</f>
        <v>45870</v>
      </c>
      <c r="E157" s="9">
        <f t="shared" si="10"/>
        <v>31</v>
      </c>
      <c r="F157" s="199" t="str">
        <f>IFERROR(_xlfn.XLOOKUP($A157,Input_Raw!$A:$A,Input_Raw!$FC:$FC),"")</f>
        <v/>
      </c>
      <c r="G157" s="185" t="str">
        <f>IFERROR(_xlfn.XLOOKUP($A157,Input_Raw!$A:$A,Input_Raw!$CY:$CY),"")</f>
        <v/>
      </c>
      <c r="H157" s="185" t="str">
        <f>IFERROR(_xlfn.XLOOKUP($A157,Input_Raw!$A:$A,Input_Raw!$DA:$DA),"")</f>
        <v/>
      </c>
      <c r="I157" s="185" t="str">
        <f>IFERROR(_xlfn.XLOOKUP($A157,Input_Raw!$A:$A,Input_Raw!$CX:$CX),"")</f>
        <v/>
      </c>
      <c r="J157" s="185" t="str">
        <f>IFERROR(_xlfn.XLOOKUP($A157,Input_Raw!$A:$A,Input_Raw!$CZ:$CZ),"")</f>
        <v/>
      </c>
      <c r="K157" s="201" t="str">
        <f>IFERROR(_xlfn.XLOOKUP($A157,Input_Raw!$A:$A,Input_Raw!$DB:$DB),"")</f>
        <v/>
      </c>
      <c r="L157" s="201" t="str">
        <f>IFERROR(_xlfn.XLOOKUP($A157,Input_Raw!$A:$A,Input_Raw!$DC:$DC),"")</f>
        <v/>
      </c>
      <c r="M157" s="200" t="str">
        <f>IFERROR(_xlfn.XLOOKUP($A157,Input_Raw!$A:$A,Input_Raw!$DF:$DF),"")</f>
        <v/>
      </c>
      <c r="N157" s="200" t="str">
        <f>IFERROR(_xlfn.XLOOKUP($A157,Input_Raw!$A:$A,Input_Raw!$DG:$DG),"")</f>
        <v/>
      </c>
      <c r="O157" s="230" t="str">
        <f>IFERROR(1-(SUMIF(Plant_BD!$B:$B,$A157,Plant_BD!$AL:$AL)/($AA157+SUMIF(Plant_BD!$B:$B,$A157,Plant_BD!$AL:$AL))),"")</f>
        <v/>
      </c>
      <c r="P157" s="230"/>
      <c r="Q157" s="231" t="str">
        <f>IFERROR(1-(SUMIF(Grid_BD!$B:$B,$A157,Grid_BD!$V:$V)/($AA157+SUMIF(Grid_BD!$B:$B,$A157,Grid_BD!$V:$V))),"")</f>
        <v/>
      </c>
      <c r="R157" s="230" t="str">
        <f>IFERROR(1-(SUMIF(Grid_BD!$B:$B,$A157,Grid_BD!$V:$V)/($AA157+SUMIF(Grid_BD!$B:$B,$A157,Grid_BD!$V:$V))),"")</f>
        <v/>
      </c>
      <c r="S157" s="9"/>
      <c r="T157" s="231"/>
      <c r="U157" s="232" t="str">
        <f t="shared" si="11"/>
        <v/>
      </c>
      <c r="V157" s="232" t="str">
        <f>IFERROR(_xlfn.XLOOKUP($A157,Input_Raw!$A:$A,Input_Raw!$FG:$FG),"")</f>
        <v/>
      </c>
      <c r="W157" s="233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85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33">
        <f>IFERROR(_xlfn.XLOOKUP($D157,'Modelling New'!$D:$D,'Modelling New'!O:O),"")</f>
        <v>0.85441089246197577</v>
      </c>
      <c r="AF157" s="233">
        <f>IFERROR(_xlfn.XLOOKUP($D157,'Modelling New'!$D:$D,'Modelling New'!W:W),"")</f>
        <v>0.14182761454173928</v>
      </c>
      <c r="AG157" s="233">
        <f>IFERROR(_xlfn.XLOOKUP($D157,'Modelling New'!$D:$D,'Modelling New'!AE:AE),"")</f>
        <v>0.995</v>
      </c>
      <c r="AH157" s="233">
        <f>IFERROR(_xlfn.XLOOKUP($D157,'Modelling New'!$D:$D,'Modelling New'!AF:AF),"")</f>
        <v>0.995</v>
      </c>
      <c r="AI157" s="9"/>
      <c r="AJ157" s="9"/>
      <c r="AK157" s="256"/>
      <c r="AL157" s="256"/>
      <c r="AM157" s="256"/>
      <c r="AN157" s="230"/>
      <c r="AO157" s="233"/>
      <c r="AP157" s="233"/>
      <c r="AQ157" s="233"/>
      <c r="AR157" s="234">
        <f>_xlfn.XLOOKUP(D157,'Modelling New'!$D:$D,'Modelling New'!$N:$N)</f>
        <v>130</v>
      </c>
      <c r="AS157" s="234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29">
        <f>Table13[[#This Row],[Date]]-DAY(Table13[[#This Row],[Date]])+1</f>
        <v>45901</v>
      </c>
      <c r="E158" s="9">
        <f t="shared" si="10"/>
        <v>30</v>
      </c>
      <c r="F158" s="199" t="str">
        <f>IFERROR(_xlfn.XLOOKUP($A158,Input_Raw!$A:$A,Input_Raw!$FC:$FC),"")</f>
        <v/>
      </c>
      <c r="G158" s="200" t="str">
        <f>IFERROR(_xlfn.XLOOKUP($A158,Input_Raw!$A:$A,Input_Raw!$CY:$CY),"")</f>
        <v/>
      </c>
      <c r="H158" s="200" t="str">
        <f>IFERROR(_xlfn.XLOOKUP($A158,Input_Raw!$A:$A,Input_Raw!$DA:$DA),"")</f>
        <v/>
      </c>
      <c r="I158" s="200" t="str">
        <f>IFERROR(_xlfn.XLOOKUP($A158,Input_Raw!$A:$A,Input_Raw!$CX:$CX),"")</f>
        <v/>
      </c>
      <c r="J158" s="200" t="str">
        <f>IFERROR(_xlfn.XLOOKUP($A158,Input_Raw!$A:$A,Input_Raw!$CZ:$CZ),"")</f>
        <v/>
      </c>
      <c r="K158" s="201" t="str">
        <f>IFERROR(_xlfn.XLOOKUP($A158,Input_Raw!$A:$A,Input_Raw!$DB:$DB),"")</f>
        <v/>
      </c>
      <c r="L158" s="201" t="str">
        <f>IFERROR(_xlfn.XLOOKUP($A158,Input_Raw!$A:$A,Input_Raw!$DC:$DC),"")</f>
        <v/>
      </c>
      <c r="M158" s="200" t="str">
        <f>IFERROR(_xlfn.XLOOKUP($A158,Input_Raw!$A:$A,Input_Raw!$DF:$DF),"")</f>
        <v/>
      </c>
      <c r="N158" s="200" t="str">
        <f>IFERROR(_xlfn.XLOOKUP($A158,Input_Raw!$A:$A,Input_Raw!$DG:$DG),"")</f>
        <v/>
      </c>
      <c r="O158" s="230" t="str">
        <f>IFERROR(1-(SUMIF(Plant_BD!$B:$B,$A158,Plant_BD!$AL:$AL)/($AA158+SUMIF(Plant_BD!$B:$B,$A158,Plant_BD!$AL:$AL))),"")</f>
        <v/>
      </c>
      <c r="P158" s="230"/>
      <c r="Q158" s="231" t="str">
        <f>IFERROR(1-(SUMIF(Grid_BD!$B:$B,$A158,Grid_BD!$V:$V)/($AA158+SUMIF(Grid_BD!$B:$B,$A158,Grid_BD!$V:$V))),"")</f>
        <v/>
      </c>
      <c r="R158" s="230" t="str">
        <f>IFERROR(1-(SUMIF(Grid_BD!$B:$B,$A158,Grid_BD!$V:$V)/($AA158+SUMIF(Grid_BD!$B:$B,$A158,Grid_BD!$V:$V))),"")</f>
        <v/>
      </c>
      <c r="S158" s="9"/>
      <c r="T158" s="231"/>
      <c r="U158" s="232" t="str">
        <f t="shared" si="11"/>
        <v/>
      </c>
      <c r="V158" s="232" t="str">
        <f>IFERROR(_xlfn.XLOOKUP($A158,Input_Raw!$A:$A,Input_Raw!$FG:$FG),"")</f>
        <v/>
      </c>
      <c r="W158" s="233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85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33">
        <f>IFERROR(_xlfn.XLOOKUP($D158,'Modelling New'!$D:$D,'Modelling New'!O:O),"")</f>
        <v>0.84314233235469738</v>
      </c>
      <c r="AF158" s="233">
        <f>IFERROR(_xlfn.XLOOKUP($D158,'Modelling New'!$D:$D,'Modelling New'!W:W),"")</f>
        <v>0.17624016808247492</v>
      </c>
      <c r="AG158" s="233">
        <f>IFERROR(_xlfn.XLOOKUP($D158,'Modelling New'!$D:$D,'Modelling New'!AE:AE),"")</f>
        <v>0.995</v>
      </c>
      <c r="AH158" s="233">
        <f>IFERROR(_xlfn.XLOOKUP($D158,'Modelling New'!$D:$D,'Modelling New'!AF:AF),"")</f>
        <v>0.995</v>
      </c>
      <c r="AI158" s="9"/>
      <c r="AJ158" s="9"/>
      <c r="AK158" s="256"/>
      <c r="AL158" s="256"/>
      <c r="AM158" s="256"/>
      <c r="AN158" s="230"/>
      <c r="AO158" s="233"/>
      <c r="AP158" s="233"/>
      <c r="AQ158" s="233"/>
      <c r="AR158" s="234">
        <f>_xlfn.XLOOKUP(D158,'Modelling New'!$D:$D,'Modelling New'!$N:$N)</f>
        <v>130</v>
      </c>
      <c r="AS158" s="234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29">
        <f>Table13[[#This Row],[Date]]-DAY(Table13[[#This Row],[Date]])+1</f>
        <v>45901</v>
      </c>
      <c r="E159" s="9">
        <f t="shared" si="10"/>
        <v>30</v>
      </c>
      <c r="F159" s="199" t="str">
        <f>IFERROR(_xlfn.XLOOKUP($A159,Input_Raw!$A:$A,Input_Raw!$FC:$FC),"")</f>
        <v/>
      </c>
      <c r="G159" s="185" t="str">
        <f>IFERROR(_xlfn.XLOOKUP($A159,Input_Raw!$A:$A,Input_Raw!$CY:$CY),"")</f>
        <v/>
      </c>
      <c r="H159" s="185" t="str">
        <f>IFERROR(_xlfn.XLOOKUP($A159,Input_Raw!$A:$A,Input_Raw!$DA:$DA),"")</f>
        <v/>
      </c>
      <c r="I159" s="185" t="str">
        <f>IFERROR(_xlfn.XLOOKUP($A159,Input_Raw!$A:$A,Input_Raw!$CX:$CX),"")</f>
        <v/>
      </c>
      <c r="J159" s="185" t="str">
        <f>IFERROR(_xlfn.XLOOKUP($A159,Input_Raw!$A:$A,Input_Raw!$CZ:$CZ),"")</f>
        <v/>
      </c>
      <c r="K159" s="201" t="str">
        <f>IFERROR(_xlfn.XLOOKUP($A159,Input_Raw!$A:$A,Input_Raw!$DB:$DB),"")</f>
        <v/>
      </c>
      <c r="L159" s="201" t="str">
        <f>IFERROR(_xlfn.XLOOKUP($A159,Input_Raw!$A:$A,Input_Raw!$DC:$DC),"")</f>
        <v/>
      </c>
      <c r="M159" s="200" t="str">
        <f>IFERROR(_xlfn.XLOOKUP($A159,Input_Raw!$A:$A,Input_Raw!$DF:$DF),"")</f>
        <v/>
      </c>
      <c r="N159" s="200" t="str">
        <f>IFERROR(_xlfn.XLOOKUP($A159,Input_Raw!$A:$A,Input_Raw!$DG:$DG),"")</f>
        <v/>
      </c>
      <c r="O159" s="230" t="str">
        <f>IFERROR(1-(SUMIF(Plant_BD!$B:$B,$A159,Plant_BD!$AL:$AL)/($AA159+SUMIF(Plant_BD!$B:$B,$A159,Plant_BD!$AL:$AL))),"")</f>
        <v/>
      </c>
      <c r="P159" s="230"/>
      <c r="Q159" s="231" t="str">
        <f>IFERROR(1-(SUMIF(Grid_BD!$B:$B,$A159,Grid_BD!$V:$V)/($AA159+SUMIF(Grid_BD!$B:$B,$A159,Grid_BD!$V:$V))),"")</f>
        <v/>
      </c>
      <c r="R159" s="230" t="str">
        <f>IFERROR(1-(SUMIF(Grid_BD!$B:$B,$A159,Grid_BD!$V:$V)/($AA159+SUMIF(Grid_BD!$B:$B,$A159,Grid_BD!$V:$V))),"")</f>
        <v/>
      </c>
      <c r="S159" s="9"/>
      <c r="T159" s="231"/>
      <c r="U159" s="232" t="str">
        <f t="shared" si="11"/>
        <v/>
      </c>
      <c r="V159" s="232" t="str">
        <f>IFERROR(_xlfn.XLOOKUP($A159,Input_Raw!$A:$A,Input_Raw!$FG:$FG),"")</f>
        <v/>
      </c>
      <c r="W159" s="233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85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33">
        <f>IFERROR(_xlfn.XLOOKUP($D159,'Modelling New'!$D:$D,'Modelling New'!O:O),"")</f>
        <v>0.84314233235469738</v>
      </c>
      <c r="AF159" s="233">
        <f>IFERROR(_xlfn.XLOOKUP($D159,'Modelling New'!$D:$D,'Modelling New'!W:W),"")</f>
        <v>0.17624016808247492</v>
      </c>
      <c r="AG159" s="233">
        <f>IFERROR(_xlfn.XLOOKUP($D159,'Modelling New'!$D:$D,'Modelling New'!AE:AE),"")</f>
        <v>0.995</v>
      </c>
      <c r="AH159" s="233">
        <f>IFERROR(_xlfn.XLOOKUP($D159,'Modelling New'!$D:$D,'Modelling New'!AF:AF),"")</f>
        <v>0.995</v>
      </c>
      <c r="AI159" s="9"/>
      <c r="AJ159" s="9"/>
      <c r="AK159" s="256"/>
      <c r="AL159" s="256"/>
      <c r="AM159" s="256"/>
      <c r="AN159" s="230"/>
      <c r="AO159" s="233"/>
      <c r="AP159" s="233"/>
      <c r="AQ159" s="233"/>
      <c r="AR159" s="234">
        <f>_xlfn.XLOOKUP(D159,'Modelling New'!$D:$D,'Modelling New'!$N:$N)</f>
        <v>130</v>
      </c>
      <c r="AS159" s="234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29">
        <f>Table13[[#This Row],[Date]]-DAY(Table13[[#This Row],[Date]])+1</f>
        <v>45901</v>
      </c>
      <c r="E160" s="9">
        <f t="shared" si="10"/>
        <v>30</v>
      </c>
      <c r="F160" s="199" t="str">
        <f>IFERROR(_xlfn.XLOOKUP($A160,Input_Raw!$A:$A,Input_Raw!$FC:$FC),"")</f>
        <v/>
      </c>
      <c r="G160" s="200" t="str">
        <f>IFERROR(_xlfn.XLOOKUP($A160,Input_Raw!$A:$A,Input_Raw!$CY:$CY),"")</f>
        <v/>
      </c>
      <c r="H160" s="200" t="str">
        <f>IFERROR(_xlfn.XLOOKUP($A160,Input_Raw!$A:$A,Input_Raw!$DA:$DA),"")</f>
        <v/>
      </c>
      <c r="I160" s="200" t="str">
        <f>IFERROR(_xlfn.XLOOKUP($A160,Input_Raw!$A:$A,Input_Raw!$CX:$CX),"")</f>
        <v/>
      </c>
      <c r="J160" s="200" t="str">
        <f>IFERROR(_xlfn.XLOOKUP($A160,Input_Raw!$A:$A,Input_Raw!$CZ:$CZ),"")</f>
        <v/>
      </c>
      <c r="K160" s="201" t="str">
        <f>IFERROR(_xlfn.XLOOKUP($A160,Input_Raw!$A:$A,Input_Raw!$DB:$DB),"")</f>
        <v/>
      </c>
      <c r="L160" s="201" t="str">
        <f>IFERROR(_xlfn.XLOOKUP($A160,Input_Raw!$A:$A,Input_Raw!$DC:$DC),"")</f>
        <v/>
      </c>
      <c r="M160" s="200" t="str">
        <f>IFERROR(_xlfn.XLOOKUP($A160,Input_Raw!$A:$A,Input_Raw!$DF:$DF),"")</f>
        <v/>
      </c>
      <c r="N160" s="200" t="str">
        <f>IFERROR(_xlfn.XLOOKUP($A160,Input_Raw!$A:$A,Input_Raw!$DG:$DG),"")</f>
        <v/>
      </c>
      <c r="O160" s="230" t="str">
        <f>IFERROR(1-(SUMIF(Plant_BD!$B:$B,$A160,Plant_BD!$AL:$AL)/($AA160+SUMIF(Plant_BD!$B:$B,$A160,Plant_BD!$AL:$AL))),"")</f>
        <v/>
      </c>
      <c r="P160" s="230"/>
      <c r="Q160" s="231" t="str">
        <f>IFERROR(1-(SUMIF(Grid_BD!$B:$B,$A160,Grid_BD!$V:$V)/($AA160+SUMIF(Grid_BD!$B:$B,$A160,Grid_BD!$V:$V))),"")</f>
        <v/>
      </c>
      <c r="R160" s="230" t="str">
        <f>IFERROR(1-(SUMIF(Grid_BD!$B:$B,$A160,Grid_BD!$V:$V)/($AA160+SUMIF(Grid_BD!$B:$B,$A160,Grid_BD!$V:$V))),"")</f>
        <v/>
      </c>
      <c r="S160" s="9"/>
      <c r="T160" s="231"/>
      <c r="U160" s="232" t="str">
        <f t="shared" si="11"/>
        <v/>
      </c>
      <c r="V160" s="232" t="str">
        <f>IFERROR(_xlfn.XLOOKUP($A160,Input_Raw!$A:$A,Input_Raw!$FG:$FG),"")</f>
        <v/>
      </c>
      <c r="W160" s="233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85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33">
        <f>IFERROR(_xlfn.XLOOKUP($D160,'Modelling New'!$D:$D,'Modelling New'!O:O),"")</f>
        <v>0.84314233235469738</v>
      </c>
      <c r="AF160" s="233">
        <f>IFERROR(_xlfn.XLOOKUP($D160,'Modelling New'!$D:$D,'Modelling New'!W:W),"")</f>
        <v>0.17624016808247492</v>
      </c>
      <c r="AG160" s="233">
        <f>IFERROR(_xlfn.XLOOKUP($D160,'Modelling New'!$D:$D,'Modelling New'!AE:AE),"")</f>
        <v>0.995</v>
      </c>
      <c r="AH160" s="233">
        <f>IFERROR(_xlfn.XLOOKUP($D160,'Modelling New'!$D:$D,'Modelling New'!AF:AF),"")</f>
        <v>0.995</v>
      </c>
      <c r="AI160" s="9"/>
      <c r="AJ160" s="9"/>
      <c r="AK160" s="256"/>
      <c r="AL160" s="256"/>
      <c r="AM160" s="256"/>
      <c r="AN160" s="230"/>
      <c r="AO160" s="233"/>
      <c r="AP160" s="233"/>
      <c r="AQ160" s="233"/>
      <c r="AR160" s="234">
        <f>_xlfn.XLOOKUP(D160,'Modelling New'!$D:$D,'Modelling New'!$N:$N)</f>
        <v>130</v>
      </c>
      <c r="AS160" s="234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29">
        <f>Table13[[#This Row],[Date]]-DAY(Table13[[#This Row],[Date]])+1</f>
        <v>45901</v>
      </c>
      <c r="E161" s="9">
        <f t="shared" si="10"/>
        <v>30</v>
      </c>
      <c r="F161" s="199" t="str">
        <f>IFERROR(_xlfn.XLOOKUP($A161,Input_Raw!$A:$A,Input_Raw!$FC:$FC),"")</f>
        <v/>
      </c>
      <c r="G161" s="185" t="str">
        <f>IFERROR(_xlfn.XLOOKUP($A161,Input_Raw!$A:$A,Input_Raw!$CY:$CY),"")</f>
        <v/>
      </c>
      <c r="H161" s="185" t="str">
        <f>IFERROR(_xlfn.XLOOKUP($A161,Input_Raw!$A:$A,Input_Raw!$DA:$DA),"")</f>
        <v/>
      </c>
      <c r="I161" s="185" t="str">
        <f>IFERROR(_xlfn.XLOOKUP($A161,Input_Raw!$A:$A,Input_Raw!$CX:$CX),"")</f>
        <v/>
      </c>
      <c r="J161" s="185" t="str">
        <f>IFERROR(_xlfn.XLOOKUP($A161,Input_Raw!$A:$A,Input_Raw!$CZ:$CZ),"")</f>
        <v/>
      </c>
      <c r="K161" s="201" t="str">
        <f>IFERROR(_xlfn.XLOOKUP($A161,Input_Raw!$A:$A,Input_Raw!$DB:$DB),"")</f>
        <v/>
      </c>
      <c r="L161" s="201" t="str">
        <f>IFERROR(_xlfn.XLOOKUP($A161,Input_Raw!$A:$A,Input_Raw!$DC:$DC),"")</f>
        <v/>
      </c>
      <c r="M161" s="200" t="str">
        <f>IFERROR(_xlfn.XLOOKUP($A161,Input_Raw!$A:$A,Input_Raw!$DF:$DF),"")</f>
        <v/>
      </c>
      <c r="N161" s="200" t="str">
        <f>IFERROR(_xlfn.XLOOKUP($A161,Input_Raw!$A:$A,Input_Raw!$DG:$DG),"")</f>
        <v/>
      </c>
      <c r="O161" s="230" t="str">
        <f>IFERROR(1-(SUMIF(Plant_BD!$B:$B,$A161,Plant_BD!$AL:$AL)/($AA161+SUMIF(Plant_BD!$B:$B,$A161,Plant_BD!$AL:$AL))),"")</f>
        <v/>
      </c>
      <c r="P161" s="230"/>
      <c r="Q161" s="231" t="str">
        <f>IFERROR(1-(SUMIF(Grid_BD!$B:$B,$A161,Grid_BD!$V:$V)/($AA161+SUMIF(Grid_BD!$B:$B,$A161,Grid_BD!$V:$V))),"")</f>
        <v/>
      </c>
      <c r="R161" s="230" t="str">
        <f>IFERROR(1-(SUMIF(Grid_BD!$B:$B,$A161,Grid_BD!$V:$V)/($AA161+SUMIF(Grid_BD!$B:$B,$A161,Grid_BD!$V:$V))),"")</f>
        <v/>
      </c>
      <c r="S161" s="9"/>
      <c r="T161" s="231"/>
      <c r="U161" s="232" t="str">
        <f t="shared" si="11"/>
        <v/>
      </c>
      <c r="V161" s="232" t="str">
        <f>IFERROR(_xlfn.XLOOKUP($A161,Input_Raw!$A:$A,Input_Raw!$FG:$FG),"")</f>
        <v/>
      </c>
      <c r="W161" s="233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85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33">
        <f>IFERROR(_xlfn.XLOOKUP($D161,'Modelling New'!$D:$D,'Modelling New'!O:O),"")</f>
        <v>0.84314233235469738</v>
      </c>
      <c r="AF161" s="233">
        <f>IFERROR(_xlfn.XLOOKUP($D161,'Modelling New'!$D:$D,'Modelling New'!W:W),"")</f>
        <v>0.17624016808247492</v>
      </c>
      <c r="AG161" s="233">
        <f>IFERROR(_xlfn.XLOOKUP($D161,'Modelling New'!$D:$D,'Modelling New'!AE:AE),"")</f>
        <v>0.995</v>
      </c>
      <c r="AH161" s="233">
        <f>IFERROR(_xlfn.XLOOKUP($D161,'Modelling New'!$D:$D,'Modelling New'!AF:AF),"")</f>
        <v>0.995</v>
      </c>
      <c r="AI161" s="9"/>
      <c r="AJ161" s="9"/>
      <c r="AK161" s="256"/>
      <c r="AL161" s="256"/>
      <c r="AM161" s="256"/>
      <c r="AN161" s="230"/>
      <c r="AO161" s="233"/>
      <c r="AP161" s="233"/>
      <c r="AQ161" s="233"/>
      <c r="AR161" s="234">
        <f>_xlfn.XLOOKUP(D161,'Modelling New'!$D:$D,'Modelling New'!$N:$N)</f>
        <v>130</v>
      </c>
      <c r="AS161" s="234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29">
        <f>Table13[[#This Row],[Date]]-DAY(Table13[[#This Row],[Date]])+1</f>
        <v>45901</v>
      </c>
      <c r="E162" s="9">
        <f t="shared" si="10"/>
        <v>30</v>
      </c>
      <c r="F162" s="199" t="str">
        <f>IFERROR(_xlfn.XLOOKUP($A162,Input_Raw!$A:$A,Input_Raw!$FC:$FC),"")</f>
        <v/>
      </c>
      <c r="G162" s="200" t="str">
        <f>IFERROR(_xlfn.XLOOKUP($A162,Input_Raw!$A:$A,Input_Raw!$CY:$CY),"")</f>
        <v/>
      </c>
      <c r="H162" s="200" t="str">
        <f>IFERROR(_xlfn.XLOOKUP($A162,Input_Raw!$A:$A,Input_Raw!$DA:$DA),"")</f>
        <v/>
      </c>
      <c r="I162" s="200" t="str">
        <f>IFERROR(_xlfn.XLOOKUP($A162,Input_Raw!$A:$A,Input_Raw!$CX:$CX),"")</f>
        <v/>
      </c>
      <c r="J162" s="200" t="str">
        <f>IFERROR(_xlfn.XLOOKUP($A162,Input_Raw!$A:$A,Input_Raw!$CZ:$CZ),"")</f>
        <v/>
      </c>
      <c r="K162" s="201" t="str">
        <f>IFERROR(_xlfn.XLOOKUP($A162,Input_Raw!$A:$A,Input_Raw!$DB:$DB),"")</f>
        <v/>
      </c>
      <c r="L162" s="201" t="str">
        <f>IFERROR(_xlfn.XLOOKUP($A162,Input_Raw!$A:$A,Input_Raw!$DC:$DC),"")</f>
        <v/>
      </c>
      <c r="M162" s="200" t="str">
        <f>IFERROR(_xlfn.XLOOKUP($A162,Input_Raw!$A:$A,Input_Raw!$DF:$DF),"")</f>
        <v/>
      </c>
      <c r="N162" s="200" t="str">
        <f>IFERROR(_xlfn.XLOOKUP($A162,Input_Raw!$A:$A,Input_Raw!$DG:$DG),"")</f>
        <v/>
      </c>
      <c r="O162" s="230" t="str">
        <f>IFERROR(1-(SUMIF(Plant_BD!$B:$B,$A162,Plant_BD!$AL:$AL)/($AA162+SUMIF(Plant_BD!$B:$B,$A162,Plant_BD!$AL:$AL))),"")</f>
        <v/>
      </c>
      <c r="P162" s="230"/>
      <c r="Q162" s="231" t="str">
        <f>IFERROR(1-(SUMIF(Grid_BD!$B:$B,$A162,Grid_BD!$V:$V)/($AA162+SUMIF(Grid_BD!$B:$B,$A162,Grid_BD!$V:$V))),"")</f>
        <v/>
      </c>
      <c r="R162" s="230" t="str">
        <f>IFERROR(1-(SUMIF(Grid_BD!$B:$B,$A162,Grid_BD!$V:$V)/($AA162+SUMIF(Grid_BD!$B:$B,$A162,Grid_BD!$V:$V))),"")</f>
        <v/>
      </c>
      <c r="S162" s="9"/>
      <c r="T162" s="231"/>
      <c r="U162" s="232" t="str">
        <f t="shared" si="11"/>
        <v/>
      </c>
      <c r="V162" s="232" t="str">
        <f>IFERROR(_xlfn.XLOOKUP($A162,Input_Raw!$A:$A,Input_Raw!$FG:$FG),"")</f>
        <v/>
      </c>
      <c r="W162" s="233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85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33">
        <f>IFERROR(_xlfn.XLOOKUP($D162,'Modelling New'!$D:$D,'Modelling New'!O:O),"")</f>
        <v>0.84314233235469738</v>
      </c>
      <c r="AF162" s="233">
        <f>IFERROR(_xlfn.XLOOKUP($D162,'Modelling New'!$D:$D,'Modelling New'!W:W),"")</f>
        <v>0.17624016808247492</v>
      </c>
      <c r="AG162" s="233">
        <f>IFERROR(_xlfn.XLOOKUP($D162,'Modelling New'!$D:$D,'Modelling New'!AE:AE),"")</f>
        <v>0.995</v>
      </c>
      <c r="AH162" s="233">
        <f>IFERROR(_xlfn.XLOOKUP($D162,'Modelling New'!$D:$D,'Modelling New'!AF:AF),"")</f>
        <v>0.995</v>
      </c>
      <c r="AI162" s="9"/>
      <c r="AJ162" s="9"/>
      <c r="AK162" s="256"/>
      <c r="AL162" s="256"/>
      <c r="AM162" s="256"/>
      <c r="AN162" s="230"/>
      <c r="AO162" s="233"/>
      <c r="AP162" s="233"/>
      <c r="AQ162" s="233"/>
      <c r="AR162" s="234">
        <f>_xlfn.XLOOKUP(D162,'Modelling New'!$D:$D,'Modelling New'!$N:$N)</f>
        <v>130</v>
      </c>
      <c r="AS162" s="234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29">
        <f>Table13[[#This Row],[Date]]-DAY(Table13[[#This Row],[Date]])+1</f>
        <v>45901</v>
      </c>
      <c r="E163" s="9">
        <f t="shared" si="10"/>
        <v>30</v>
      </c>
      <c r="F163" s="199" t="str">
        <f>IFERROR(_xlfn.XLOOKUP($A163,Input_Raw!$A:$A,Input_Raw!$FC:$FC),"")</f>
        <v/>
      </c>
      <c r="G163" s="185" t="str">
        <f>IFERROR(_xlfn.XLOOKUP($A163,Input_Raw!$A:$A,Input_Raw!$CY:$CY),"")</f>
        <v/>
      </c>
      <c r="H163" s="185" t="str">
        <f>IFERROR(_xlfn.XLOOKUP($A163,Input_Raw!$A:$A,Input_Raw!$DA:$DA),"")</f>
        <v/>
      </c>
      <c r="I163" s="185" t="str">
        <f>IFERROR(_xlfn.XLOOKUP($A163,Input_Raw!$A:$A,Input_Raw!$CX:$CX),"")</f>
        <v/>
      </c>
      <c r="J163" s="185" t="str">
        <f>IFERROR(_xlfn.XLOOKUP($A163,Input_Raw!$A:$A,Input_Raw!$CZ:$CZ),"")</f>
        <v/>
      </c>
      <c r="K163" s="201" t="str">
        <f>IFERROR(_xlfn.XLOOKUP($A163,Input_Raw!$A:$A,Input_Raw!$DB:$DB),"")</f>
        <v/>
      </c>
      <c r="L163" s="201" t="str">
        <f>IFERROR(_xlfn.XLOOKUP($A163,Input_Raw!$A:$A,Input_Raw!$DC:$DC),"")</f>
        <v/>
      </c>
      <c r="M163" s="200" t="str">
        <f>IFERROR(_xlfn.XLOOKUP($A163,Input_Raw!$A:$A,Input_Raw!$DF:$DF),"")</f>
        <v/>
      </c>
      <c r="N163" s="200" t="str">
        <f>IFERROR(_xlfn.XLOOKUP($A163,Input_Raw!$A:$A,Input_Raw!$DG:$DG),"")</f>
        <v/>
      </c>
      <c r="O163" s="230" t="str">
        <f>IFERROR(1-(SUMIF(Plant_BD!$B:$B,$A163,Plant_BD!$AL:$AL)/($AA163+SUMIF(Plant_BD!$B:$B,$A163,Plant_BD!$AL:$AL))),"")</f>
        <v/>
      </c>
      <c r="P163" s="230"/>
      <c r="Q163" s="231" t="str">
        <f>IFERROR(1-(SUMIF(Grid_BD!$B:$B,$A163,Grid_BD!$V:$V)/($AA163+SUMIF(Grid_BD!$B:$B,$A163,Grid_BD!$V:$V))),"")</f>
        <v/>
      </c>
      <c r="R163" s="230" t="str">
        <f>IFERROR(1-(SUMIF(Grid_BD!$B:$B,$A163,Grid_BD!$V:$V)/($AA163+SUMIF(Grid_BD!$B:$B,$A163,Grid_BD!$V:$V))),"")</f>
        <v/>
      </c>
      <c r="S163" s="9"/>
      <c r="T163" s="231"/>
      <c r="U163" s="232" t="str">
        <f t="shared" si="11"/>
        <v/>
      </c>
      <c r="V163" s="232" t="str">
        <f>IFERROR(_xlfn.XLOOKUP($A163,Input_Raw!$A:$A,Input_Raw!$FG:$FG),"")</f>
        <v/>
      </c>
      <c r="W163" s="233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85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33">
        <f>IFERROR(_xlfn.XLOOKUP($D163,'Modelling New'!$D:$D,'Modelling New'!O:O),"")</f>
        <v>0.84314233235469738</v>
      </c>
      <c r="AF163" s="233">
        <f>IFERROR(_xlfn.XLOOKUP($D163,'Modelling New'!$D:$D,'Modelling New'!W:W),"")</f>
        <v>0.17624016808247492</v>
      </c>
      <c r="AG163" s="233">
        <f>IFERROR(_xlfn.XLOOKUP($D163,'Modelling New'!$D:$D,'Modelling New'!AE:AE),"")</f>
        <v>0.995</v>
      </c>
      <c r="AH163" s="233">
        <f>IFERROR(_xlfn.XLOOKUP($D163,'Modelling New'!$D:$D,'Modelling New'!AF:AF),"")</f>
        <v>0.995</v>
      </c>
      <c r="AI163" s="9"/>
      <c r="AJ163" s="9"/>
      <c r="AK163" s="256"/>
      <c r="AL163" s="256"/>
      <c r="AM163" s="256"/>
      <c r="AN163" s="230"/>
      <c r="AO163" s="233"/>
      <c r="AP163" s="233"/>
      <c r="AQ163" s="233"/>
      <c r="AR163" s="234">
        <f>_xlfn.XLOOKUP(D163,'Modelling New'!$D:$D,'Modelling New'!$N:$N)</f>
        <v>130</v>
      </c>
      <c r="AS163" s="234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29">
        <f>Table13[[#This Row],[Date]]-DAY(Table13[[#This Row],[Date]])+1</f>
        <v>45901</v>
      </c>
      <c r="E164" s="9">
        <f t="shared" si="10"/>
        <v>30</v>
      </c>
      <c r="F164" s="199" t="str">
        <f>IFERROR(_xlfn.XLOOKUP($A164,Input_Raw!$A:$A,Input_Raw!$FC:$FC),"")</f>
        <v/>
      </c>
      <c r="G164" s="200" t="str">
        <f>IFERROR(_xlfn.XLOOKUP($A164,Input_Raw!$A:$A,Input_Raw!$CY:$CY),"")</f>
        <v/>
      </c>
      <c r="H164" s="200" t="str">
        <f>IFERROR(_xlfn.XLOOKUP($A164,Input_Raw!$A:$A,Input_Raw!$DA:$DA),"")</f>
        <v/>
      </c>
      <c r="I164" s="200" t="str">
        <f>IFERROR(_xlfn.XLOOKUP($A164,Input_Raw!$A:$A,Input_Raw!$CX:$CX),"")</f>
        <v/>
      </c>
      <c r="J164" s="200" t="str">
        <f>IFERROR(_xlfn.XLOOKUP($A164,Input_Raw!$A:$A,Input_Raw!$CZ:$CZ),"")</f>
        <v/>
      </c>
      <c r="K164" s="201" t="str">
        <f>IFERROR(_xlfn.XLOOKUP($A164,Input_Raw!$A:$A,Input_Raw!$DB:$DB),"")</f>
        <v/>
      </c>
      <c r="L164" s="201" t="str">
        <f>IFERROR(_xlfn.XLOOKUP($A164,Input_Raw!$A:$A,Input_Raw!$DC:$DC),"")</f>
        <v/>
      </c>
      <c r="M164" s="200" t="str">
        <f>IFERROR(_xlfn.XLOOKUP($A164,Input_Raw!$A:$A,Input_Raw!$DF:$DF),"")</f>
        <v/>
      </c>
      <c r="N164" s="200" t="str">
        <f>IFERROR(_xlfn.XLOOKUP($A164,Input_Raw!$A:$A,Input_Raw!$DG:$DG),"")</f>
        <v/>
      </c>
      <c r="O164" s="230" t="str">
        <f>IFERROR(1-(SUMIF(Plant_BD!$B:$B,$A164,Plant_BD!$AL:$AL)/($AA164+SUMIF(Plant_BD!$B:$B,$A164,Plant_BD!$AL:$AL))),"")</f>
        <v/>
      </c>
      <c r="P164" s="230"/>
      <c r="Q164" s="231" t="str">
        <f>IFERROR(1-(SUMIF(Grid_BD!$B:$B,$A164,Grid_BD!$V:$V)/($AA164+SUMIF(Grid_BD!$B:$B,$A164,Grid_BD!$V:$V))),"")</f>
        <v/>
      </c>
      <c r="R164" s="230" t="str">
        <f>IFERROR(1-(SUMIF(Grid_BD!$B:$B,$A164,Grid_BD!$V:$V)/($AA164+SUMIF(Grid_BD!$B:$B,$A164,Grid_BD!$V:$V))),"")</f>
        <v/>
      </c>
      <c r="S164" s="9"/>
      <c r="T164" s="231"/>
      <c r="U164" s="232" t="str">
        <f t="shared" si="11"/>
        <v/>
      </c>
      <c r="V164" s="232" t="str">
        <f>IFERROR(_xlfn.XLOOKUP($A164,Input_Raw!$A:$A,Input_Raw!$FG:$FG),"")</f>
        <v/>
      </c>
      <c r="W164" s="233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85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33">
        <f>IFERROR(_xlfn.XLOOKUP($D164,'Modelling New'!$D:$D,'Modelling New'!O:O),"")</f>
        <v>0.84314233235469738</v>
      </c>
      <c r="AF164" s="233">
        <f>IFERROR(_xlfn.XLOOKUP($D164,'Modelling New'!$D:$D,'Modelling New'!W:W),"")</f>
        <v>0.17624016808247492</v>
      </c>
      <c r="AG164" s="233">
        <f>IFERROR(_xlfn.XLOOKUP($D164,'Modelling New'!$D:$D,'Modelling New'!AE:AE),"")</f>
        <v>0.995</v>
      </c>
      <c r="AH164" s="233">
        <f>IFERROR(_xlfn.XLOOKUP($D164,'Modelling New'!$D:$D,'Modelling New'!AF:AF),"")</f>
        <v>0.995</v>
      </c>
      <c r="AI164" s="9"/>
      <c r="AJ164" s="9"/>
      <c r="AK164" s="256"/>
      <c r="AL164" s="256"/>
      <c r="AM164" s="256"/>
      <c r="AN164" s="230"/>
      <c r="AO164" s="233"/>
      <c r="AP164" s="233"/>
      <c r="AQ164" s="233"/>
      <c r="AR164" s="234">
        <f>_xlfn.XLOOKUP(D164,'Modelling New'!$D:$D,'Modelling New'!$N:$N)</f>
        <v>130</v>
      </c>
      <c r="AS164" s="234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29">
        <f>Table13[[#This Row],[Date]]-DAY(Table13[[#This Row],[Date]])+1</f>
        <v>45901</v>
      </c>
      <c r="E165" s="9">
        <f t="shared" si="10"/>
        <v>30</v>
      </c>
      <c r="F165" s="199" t="str">
        <f>IFERROR(_xlfn.XLOOKUP($A165,Input_Raw!$A:$A,Input_Raw!$FC:$FC),"")</f>
        <v/>
      </c>
      <c r="G165" s="185" t="str">
        <f>IFERROR(_xlfn.XLOOKUP($A165,Input_Raw!$A:$A,Input_Raw!$CY:$CY),"")</f>
        <v/>
      </c>
      <c r="H165" s="185" t="str">
        <f>IFERROR(_xlfn.XLOOKUP($A165,Input_Raw!$A:$A,Input_Raw!$DA:$DA),"")</f>
        <v/>
      </c>
      <c r="I165" s="185" t="str">
        <f>IFERROR(_xlfn.XLOOKUP($A165,Input_Raw!$A:$A,Input_Raw!$CX:$CX),"")</f>
        <v/>
      </c>
      <c r="J165" s="185" t="str">
        <f>IFERROR(_xlfn.XLOOKUP($A165,Input_Raw!$A:$A,Input_Raw!$CZ:$CZ),"")</f>
        <v/>
      </c>
      <c r="K165" s="201" t="str">
        <f>IFERROR(_xlfn.XLOOKUP($A165,Input_Raw!$A:$A,Input_Raw!$DB:$DB),"")</f>
        <v/>
      </c>
      <c r="L165" s="201" t="str">
        <f>IFERROR(_xlfn.XLOOKUP($A165,Input_Raw!$A:$A,Input_Raw!$DC:$DC),"")</f>
        <v/>
      </c>
      <c r="M165" s="200" t="str">
        <f>IFERROR(_xlfn.XLOOKUP($A165,Input_Raw!$A:$A,Input_Raw!$DF:$DF),"")</f>
        <v/>
      </c>
      <c r="N165" s="200" t="str">
        <f>IFERROR(_xlfn.XLOOKUP($A165,Input_Raw!$A:$A,Input_Raw!$DG:$DG),"")</f>
        <v/>
      </c>
      <c r="O165" s="230" t="str">
        <f>IFERROR(1-(SUMIF(Plant_BD!$B:$B,$A165,Plant_BD!$AL:$AL)/($AA165+SUMIF(Plant_BD!$B:$B,$A165,Plant_BD!$AL:$AL))),"")</f>
        <v/>
      </c>
      <c r="P165" s="230"/>
      <c r="Q165" s="231" t="str">
        <f>IFERROR(1-(SUMIF(Grid_BD!$B:$B,$A165,Grid_BD!$V:$V)/($AA165+SUMIF(Grid_BD!$B:$B,$A165,Grid_BD!$V:$V))),"")</f>
        <v/>
      </c>
      <c r="R165" s="230" t="str">
        <f>IFERROR(1-(SUMIF(Grid_BD!$B:$B,$A165,Grid_BD!$V:$V)/($AA165+SUMIF(Grid_BD!$B:$B,$A165,Grid_BD!$V:$V))),"")</f>
        <v/>
      </c>
      <c r="S165" s="9"/>
      <c r="T165" s="231"/>
      <c r="U165" s="232" t="str">
        <f t="shared" si="11"/>
        <v/>
      </c>
      <c r="V165" s="232" t="str">
        <f>IFERROR(_xlfn.XLOOKUP($A165,Input_Raw!$A:$A,Input_Raw!$FG:$FG),"")</f>
        <v/>
      </c>
      <c r="W165" s="233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85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33">
        <f>IFERROR(_xlfn.XLOOKUP($D165,'Modelling New'!$D:$D,'Modelling New'!O:O),"")</f>
        <v>0.84314233235469738</v>
      </c>
      <c r="AF165" s="233">
        <f>IFERROR(_xlfn.XLOOKUP($D165,'Modelling New'!$D:$D,'Modelling New'!W:W),"")</f>
        <v>0.17624016808247492</v>
      </c>
      <c r="AG165" s="233">
        <f>IFERROR(_xlfn.XLOOKUP($D165,'Modelling New'!$D:$D,'Modelling New'!AE:AE),"")</f>
        <v>0.995</v>
      </c>
      <c r="AH165" s="233">
        <f>IFERROR(_xlfn.XLOOKUP($D165,'Modelling New'!$D:$D,'Modelling New'!AF:AF),"")</f>
        <v>0.995</v>
      </c>
      <c r="AI165" s="9"/>
      <c r="AJ165" s="9"/>
      <c r="AK165" s="256"/>
      <c r="AL165" s="256"/>
      <c r="AM165" s="256"/>
      <c r="AN165" s="230"/>
      <c r="AO165" s="233"/>
      <c r="AP165" s="233"/>
      <c r="AQ165" s="233"/>
      <c r="AR165" s="234">
        <f>_xlfn.XLOOKUP(D165,'Modelling New'!$D:$D,'Modelling New'!$N:$N)</f>
        <v>130</v>
      </c>
      <c r="AS165" s="234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29">
        <f>Table13[[#This Row],[Date]]-DAY(Table13[[#This Row],[Date]])+1</f>
        <v>45901</v>
      </c>
      <c r="E166" s="9">
        <f t="shared" si="10"/>
        <v>30</v>
      </c>
      <c r="F166" s="199" t="str">
        <f>IFERROR(_xlfn.XLOOKUP($A166,Input_Raw!$A:$A,Input_Raw!$FC:$FC),"")</f>
        <v/>
      </c>
      <c r="G166" s="200" t="str">
        <f>IFERROR(_xlfn.XLOOKUP($A166,Input_Raw!$A:$A,Input_Raw!$CY:$CY),"")</f>
        <v/>
      </c>
      <c r="H166" s="200" t="str">
        <f>IFERROR(_xlfn.XLOOKUP($A166,Input_Raw!$A:$A,Input_Raw!$DA:$DA),"")</f>
        <v/>
      </c>
      <c r="I166" s="200" t="str">
        <f>IFERROR(_xlfn.XLOOKUP($A166,Input_Raw!$A:$A,Input_Raw!$CX:$CX),"")</f>
        <v/>
      </c>
      <c r="J166" s="200" t="str">
        <f>IFERROR(_xlfn.XLOOKUP($A166,Input_Raw!$A:$A,Input_Raw!$CZ:$CZ),"")</f>
        <v/>
      </c>
      <c r="K166" s="201" t="str">
        <f>IFERROR(_xlfn.XLOOKUP($A166,Input_Raw!$A:$A,Input_Raw!$DB:$DB),"")</f>
        <v/>
      </c>
      <c r="L166" s="201" t="str">
        <f>IFERROR(_xlfn.XLOOKUP($A166,Input_Raw!$A:$A,Input_Raw!$DC:$DC),"")</f>
        <v/>
      </c>
      <c r="M166" s="200" t="str">
        <f>IFERROR(_xlfn.XLOOKUP($A166,Input_Raw!$A:$A,Input_Raw!$DF:$DF),"")</f>
        <v/>
      </c>
      <c r="N166" s="200" t="str">
        <f>IFERROR(_xlfn.XLOOKUP($A166,Input_Raw!$A:$A,Input_Raw!$DG:$DG),"")</f>
        <v/>
      </c>
      <c r="O166" s="230" t="str">
        <f>IFERROR(1-(SUMIF(Plant_BD!$B:$B,$A166,Plant_BD!$AL:$AL)/($AA166+SUMIF(Plant_BD!$B:$B,$A166,Plant_BD!$AL:$AL))),"")</f>
        <v/>
      </c>
      <c r="P166" s="230"/>
      <c r="Q166" s="231" t="str">
        <f>IFERROR(1-(SUMIF(Grid_BD!$B:$B,$A166,Grid_BD!$V:$V)/($AA166+SUMIF(Grid_BD!$B:$B,$A166,Grid_BD!$V:$V))),"")</f>
        <v/>
      </c>
      <c r="R166" s="230" t="str">
        <f>IFERROR(1-(SUMIF(Grid_BD!$B:$B,$A166,Grid_BD!$V:$V)/($AA166+SUMIF(Grid_BD!$B:$B,$A166,Grid_BD!$V:$V))),"")</f>
        <v/>
      </c>
      <c r="S166" s="9"/>
      <c r="T166" s="231"/>
      <c r="U166" s="232" t="str">
        <f t="shared" si="11"/>
        <v/>
      </c>
      <c r="V166" s="232" t="str">
        <f>IFERROR(_xlfn.XLOOKUP($A166,Input_Raw!$A:$A,Input_Raw!$FG:$FG),"")</f>
        <v/>
      </c>
      <c r="W166" s="233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85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33">
        <f>IFERROR(_xlfn.XLOOKUP($D166,'Modelling New'!$D:$D,'Modelling New'!O:O),"")</f>
        <v>0.84314233235469738</v>
      </c>
      <c r="AF166" s="233">
        <f>IFERROR(_xlfn.XLOOKUP($D166,'Modelling New'!$D:$D,'Modelling New'!W:W),"")</f>
        <v>0.17624016808247492</v>
      </c>
      <c r="AG166" s="233">
        <f>IFERROR(_xlfn.XLOOKUP($D166,'Modelling New'!$D:$D,'Modelling New'!AE:AE),"")</f>
        <v>0.995</v>
      </c>
      <c r="AH166" s="233">
        <f>IFERROR(_xlfn.XLOOKUP($D166,'Modelling New'!$D:$D,'Modelling New'!AF:AF),"")</f>
        <v>0.995</v>
      </c>
      <c r="AI166" s="9"/>
      <c r="AJ166" s="9"/>
      <c r="AK166" s="256"/>
      <c r="AL166" s="256"/>
      <c r="AM166" s="256"/>
      <c r="AN166" s="230"/>
      <c r="AO166" s="233"/>
      <c r="AP166" s="233"/>
      <c r="AQ166" s="233"/>
      <c r="AR166" s="234">
        <f>_xlfn.XLOOKUP(D166,'Modelling New'!$D:$D,'Modelling New'!$N:$N)</f>
        <v>130</v>
      </c>
      <c r="AS166" s="234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29">
        <f>Table13[[#This Row],[Date]]-DAY(Table13[[#This Row],[Date]])+1</f>
        <v>45901</v>
      </c>
      <c r="E167" s="9">
        <f t="shared" si="10"/>
        <v>30</v>
      </c>
      <c r="F167" s="199" t="str">
        <f>IFERROR(_xlfn.XLOOKUP($A167,Input_Raw!$A:$A,Input_Raw!$FC:$FC),"")</f>
        <v/>
      </c>
      <c r="G167" s="185" t="str">
        <f>IFERROR(_xlfn.XLOOKUP($A167,Input_Raw!$A:$A,Input_Raw!$CY:$CY),"")</f>
        <v/>
      </c>
      <c r="H167" s="185" t="str">
        <f>IFERROR(_xlfn.XLOOKUP($A167,Input_Raw!$A:$A,Input_Raw!$DA:$DA),"")</f>
        <v/>
      </c>
      <c r="I167" s="185" t="str">
        <f>IFERROR(_xlfn.XLOOKUP($A167,Input_Raw!$A:$A,Input_Raw!$CX:$CX),"")</f>
        <v/>
      </c>
      <c r="J167" s="185" t="str">
        <f>IFERROR(_xlfn.XLOOKUP($A167,Input_Raw!$A:$A,Input_Raw!$CZ:$CZ),"")</f>
        <v/>
      </c>
      <c r="K167" s="201" t="str">
        <f>IFERROR(_xlfn.XLOOKUP($A167,Input_Raw!$A:$A,Input_Raw!$DB:$DB),"")</f>
        <v/>
      </c>
      <c r="L167" s="201" t="str">
        <f>IFERROR(_xlfn.XLOOKUP($A167,Input_Raw!$A:$A,Input_Raw!$DC:$DC),"")</f>
        <v/>
      </c>
      <c r="M167" s="200" t="str">
        <f>IFERROR(_xlfn.XLOOKUP($A167,Input_Raw!$A:$A,Input_Raw!$DF:$DF),"")</f>
        <v/>
      </c>
      <c r="N167" s="200" t="str">
        <f>IFERROR(_xlfn.XLOOKUP($A167,Input_Raw!$A:$A,Input_Raw!$DG:$DG),"")</f>
        <v/>
      </c>
      <c r="O167" s="230" t="str">
        <f>IFERROR(1-(SUMIF(Plant_BD!$B:$B,$A167,Plant_BD!$AL:$AL)/($AA167+SUMIF(Plant_BD!$B:$B,$A167,Plant_BD!$AL:$AL))),"")</f>
        <v/>
      </c>
      <c r="P167" s="230"/>
      <c r="Q167" s="231" t="str">
        <f>IFERROR(1-(SUMIF(Grid_BD!$B:$B,$A167,Grid_BD!$V:$V)/($AA167+SUMIF(Grid_BD!$B:$B,$A167,Grid_BD!$V:$V))),"")</f>
        <v/>
      </c>
      <c r="R167" s="230" t="str">
        <f>IFERROR(1-(SUMIF(Grid_BD!$B:$B,$A167,Grid_BD!$V:$V)/($AA167+SUMIF(Grid_BD!$B:$B,$A167,Grid_BD!$V:$V))),"")</f>
        <v/>
      </c>
      <c r="S167" s="9"/>
      <c r="T167" s="231"/>
      <c r="U167" s="232" t="str">
        <f t="shared" si="11"/>
        <v/>
      </c>
      <c r="V167" s="232" t="str">
        <f>IFERROR(_xlfn.XLOOKUP($A167,Input_Raw!$A:$A,Input_Raw!$FG:$FG),"")</f>
        <v/>
      </c>
      <c r="W167" s="233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85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33">
        <f>IFERROR(_xlfn.XLOOKUP($D167,'Modelling New'!$D:$D,'Modelling New'!O:O),"")</f>
        <v>0.84314233235469738</v>
      </c>
      <c r="AF167" s="233">
        <f>IFERROR(_xlfn.XLOOKUP($D167,'Modelling New'!$D:$D,'Modelling New'!W:W),"")</f>
        <v>0.17624016808247492</v>
      </c>
      <c r="AG167" s="233">
        <f>IFERROR(_xlfn.XLOOKUP($D167,'Modelling New'!$D:$D,'Modelling New'!AE:AE),"")</f>
        <v>0.995</v>
      </c>
      <c r="AH167" s="233">
        <f>IFERROR(_xlfn.XLOOKUP($D167,'Modelling New'!$D:$D,'Modelling New'!AF:AF),"")</f>
        <v>0.995</v>
      </c>
      <c r="AI167" s="9"/>
      <c r="AJ167" s="9"/>
      <c r="AK167" s="256"/>
      <c r="AL167" s="256"/>
      <c r="AM167" s="256"/>
      <c r="AN167" s="230"/>
      <c r="AO167" s="233"/>
      <c r="AP167" s="233"/>
      <c r="AQ167" s="233"/>
      <c r="AR167" s="234">
        <f>_xlfn.XLOOKUP(D167,'Modelling New'!$D:$D,'Modelling New'!$N:$N)</f>
        <v>130</v>
      </c>
      <c r="AS167" s="234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29">
        <f>Table13[[#This Row],[Date]]-DAY(Table13[[#This Row],[Date]])+1</f>
        <v>45901</v>
      </c>
      <c r="E168" s="9">
        <f t="shared" ref="E168:E231" si="15">DAY(EOMONTH(A168,0))</f>
        <v>30</v>
      </c>
      <c r="F168" s="199" t="str">
        <f>IFERROR(_xlfn.XLOOKUP($A168,Input_Raw!$A:$A,Input_Raw!$FC:$FC),"")</f>
        <v/>
      </c>
      <c r="G168" s="200" t="str">
        <f>IFERROR(_xlfn.XLOOKUP($A168,Input_Raw!$A:$A,Input_Raw!$CY:$CY),"")</f>
        <v/>
      </c>
      <c r="H168" s="200" t="str">
        <f>IFERROR(_xlfn.XLOOKUP($A168,Input_Raw!$A:$A,Input_Raw!$DA:$DA),"")</f>
        <v/>
      </c>
      <c r="I168" s="200" t="str">
        <f>IFERROR(_xlfn.XLOOKUP($A168,Input_Raw!$A:$A,Input_Raw!$CX:$CX),"")</f>
        <v/>
      </c>
      <c r="J168" s="200" t="str">
        <f>IFERROR(_xlfn.XLOOKUP($A168,Input_Raw!$A:$A,Input_Raw!$CZ:$CZ),"")</f>
        <v/>
      </c>
      <c r="K168" s="201" t="str">
        <f>IFERROR(_xlfn.XLOOKUP($A168,Input_Raw!$A:$A,Input_Raw!$DB:$DB),"")</f>
        <v/>
      </c>
      <c r="L168" s="201" t="str">
        <f>IFERROR(_xlfn.XLOOKUP($A168,Input_Raw!$A:$A,Input_Raw!$DC:$DC),"")</f>
        <v/>
      </c>
      <c r="M168" s="200" t="str">
        <f>IFERROR(_xlfn.XLOOKUP($A168,Input_Raw!$A:$A,Input_Raw!$DF:$DF),"")</f>
        <v/>
      </c>
      <c r="N168" s="200" t="str">
        <f>IFERROR(_xlfn.XLOOKUP($A168,Input_Raw!$A:$A,Input_Raw!$DG:$DG),"")</f>
        <v/>
      </c>
      <c r="O168" s="230" t="str">
        <f>IFERROR(1-(SUMIF(Plant_BD!$B:$B,$A168,Plant_BD!$AL:$AL)/($AA168+SUMIF(Plant_BD!$B:$B,$A168,Plant_BD!$AL:$AL))),"")</f>
        <v/>
      </c>
      <c r="P168" s="230"/>
      <c r="Q168" s="231" t="str">
        <f>IFERROR(1-(SUMIF(Grid_BD!$B:$B,$A168,Grid_BD!$V:$V)/($AA168+SUMIF(Grid_BD!$B:$B,$A168,Grid_BD!$V:$V))),"")</f>
        <v/>
      </c>
      <c r="R168" s="230" t="str">
        <f>IFERROR(1-(SUMIF(Grid_BD!$B:$B,$A168,Grid_BD!$V:$V)/($AA168+SUMIF(Grid_BD!$B:$B,$A168,Grid_BD!$V:$V))),"")</f>
        <v/>
      </c>
      <c r="S168" s="9"/>
      <c r="T168" s="231"/>
      <c r="U168" s="232" t="str">
        <f t="shared" ref="U168:U231" si="16">IFERROR(AA168/I168/AB168/1000,"")</f>
        <v/>
      </c>
      <c r="V168" s="232" t="str">
        <f>IFERROR(_xlfn.XLOOKUP($A168,Input_Raw!$A:$A,Input_Raw!$FG:$FG),"")</f>
        <v/>
      </c>
      <c r="W168" s="233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85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33">
        <f>IFERROR(_xlfn.XLOOKUP($D168,'Modelling New'!$D:$D,'Modelling New'!O:O),"")</f>
        <v>0.84314233235469738</v>
      </c>
      <c r="AF168" s="233">
        <f>IFERROR(_xlfn.XLOOKUP($D168,'Modelling New'!$D:$D,'Modelling New'!W:W),"")</f>
        <v>0.17624016808247492</v>
      </c>
      <c r="AG168" s="233">
        <f>IFERROR(_xlfn.XLOOKUP($D168,'Modelling New'!$D:$D,'Modelling New'!AE:AE),"")</f>
        <v>0.995</v>
      </c>
      <c r="AH168" s="233">
        <f>IFERROR(_xlfn.XLOOKUP($D168,'Modelling New'!$D:$D,'Modelling New'!AF:AF),"")</f>
        <v>0.995</v>
      </c>
      <c r="AI168" s="9"/>
      <c r="AJ168" s="9"/>
      <c r="AK168" s="256"/>
      <c r="AL168" s="256"/>
      <c r="AM168" s="256"/>
      <c r="AN168" s="230"/>
      <c r="AO168" s="233"/>
      <c r="AP168" s="233"/>
      <c r="AQ168" s="233"/>
      <c r="AR168" s="234">
        <f>_xlfn.XLOOKUP(D168,'Modelling New'!$D:$D,'Modelling New'!$N:$N)</f>
        <v>130</v>
      </c>
      <c r="AS168" s="234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29">
        <f>Table13[[#This Row],[Date]]-DAY(Table13[[#This Row],[Date]])+1</f>
        <v>45901</v>
      </c>
      <c r="E169" s="9">
        <f t="shared" si="15"/>
        <v>30</v>
      </c>
      <c r="F169" s="199" t="str">
        <f>IFERROR(_xlfn.XLOOKUP($A169,Input_Raw!$A:$A,Input_Raw!$FC:$FC),"")</f>
        <v/>
      </c>
      <c r="G169" s="185" t="str">
        <f>IFERROR(_xlfn.XLOOKUP($A169,Input_Raw!$A:$A,Input_Raw!$CY:$CY),"")</f>
        <v/>
      </c>
      <c r="H169" s="185" t="str">
        <f>IFERROR(_xlfn.XLOOKUP($A169,Input_Raw!$A:$A,Input_Raw!$DA:$DA),"")</f>
        <v/>
      </c>
      <c r="I169" s="185" t="str">
        <f>IFERROR(_xlfn.XLOOKUP($A169,Input_Raw!$A:$A,Input_Raw!$CX:$CX),"")</f>
        <v/>
      </c>
      <c r="J169" s="185" t="str">
        <f>IFERROR(_xlfn.XLOOKUP($A169,Input_Raw!$A:$A,Input_Raw!$CZ:$CZ),"")</f>
        <v/>
      </c>
      <c r="K169" s="201" t="str">
        <f>IFERROR(_xlfn.XLOOKUP($A169,Input_Raw!$A:$A,Input_Raw!$DB:$DB),"")</f>
        <v/>
      </c>
      <c r="L169" s="201" t="str">
        <f>IFERROR(_xlfn.XLOOKUP($A169,Input_Raw!$A:$A,Input_Raw!$DC:$DC),"")</f>
        <v/>
      </c>
      <c r="M169" s="200" t="str">
        <f>IFERROR(_xlfn.XLOOKUP($A169,Input_Raw!$A:$A,Input_Raw!$DF:$DF),"")</f>
        <v/>
      </c>
      <c r="N169" s="200" t="str">
        <f>IFERROR(_xlfn.XLOOKUP($A169,Input_Raw!$A:$A,Input_Raw!$DG:$DG),"")</f>
        <v/>
      </c>
      <c r="O169" s="230" t="str">
        <f>IFERROR(1-(SUMIF(Plant_BD!$B:$B,$A169,Plant_BD!$AL:$AL)/($AA169+SUMIF(Plant_BD!$B:$B,$A169,Plant_BD!$AL:$AL))),"")</f>
        <v/>
      </c>
      <c r="P169" s="230"/>
      <c r="Q169" s="231" t="str">
        <f>IFERROR(1-(SUMIF(Grid_BD!$B:$B,$A169,Grid_BD!$V:$V)/($AA169+SUMIF(Grid_BD!$B:$B,$A169,Grid_BD!$V:$V))),"")</f>
        <v/>
      </c>
      <c r="R169" s="230" t="str">
        <f>IFERROR(1-(SUMIF(Grid_BD!$B:$B,$A169,Grid_BD!$V:$V)/($AA169+SUMIF(Grid_BD!$B:$B,$A169,Grid_BD!$V:$V))),"")</f>
        <v/>
      </c>
      <c r="S169" s="9"/>
      <c r="T169" s="231"/>
      <c r="U169" s="232" t="str">
        <f t="shared" si="16"/>
        <v/>
      </c>
      <c r="V169" s="232" t="str">
        <f>IFERROR(_xlfn.XLOOKUP($A169,Input_Raw!$A:$A,Input_Raw!$FG:$FG),"")</f>
        <v/>
      </c>
      <c r="W169" s="233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85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33">
        <f>IFERROR(_xlfn.XLOOKUP($D169,'Modelling New'!$D:$D,'Modelling New'!O:O),"")</f>
        <v>0.84314233235469738</v>
      </c>
      <c r="AF169" s="233">
        <f>IFERROR(_xlfn.XLOOKUP($D169,'Modelling New'!$D:$D,'Modelling New'!W:W),"")</f>
        <v>0.17624016808247492</v>
      </c>
      <c r="AG169" s="233">
        <f>IFERROR(_xlfn.XLOOKUP($D169,'Modelling New'!$D:$D,'Modelling New'!AE:AE),"")</f>
        <v>0.995</v>
      </c>
      <c r="AH169" s="233">
        <f>IFERROR(_xlfn.XLOOKUP($D169,'Modelling New'!$D:$D,'Modelling New'!AF:AF),"")</f>
        <v>0.995</v>
      </c>
      <c r="AI169" s="9"/>
      <c r="AJ169" s="9"/>
      <c r="AK169" s="256"/>
      <c r="AL169" s="256"/>
      <c r="AM169" s="256"/>
      <c r="AN169" s="230"/>
      <c r="AO169" s="233"/>
      <c r="AP169" s="233"/>
      <c r="AQ169" s="233"/>
      <c r="AR169" s="234">
        <f>_xlfn.XLOOKUP(D169,'Modelling New'!$D:$D,'Modelling New'!$N:$N)</f>
        <v>130</v>
      </c>
      <c r="AS169" s="234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29">
        <f>Table13[[#This Row],[Date]]-DAY(Table13[[#This Row],[Date]])+1</f>
        <v>45901</v>
      </c>
      <c r="E170" s="9">
        <f t="shared" si="15"/>
        <v>30</v>
      </c>
      <c r="F170" s="199" t="str">
        <f>IFERROR(_xlfn.XLOOKUP($A170,Input_Raw!$A:$A,Input_Raw!$FC:$FC),"")</f>
        <v/>
      </c>
      <c r="G170" s="200" t="str">
        <f>IFERROR(_xlfn.XLOOKUP($A170,Input_Raw!$A:$A,Input_Raw!$CY:$CY),"")</f>
        <v/>
      </c>
      <c r="H170" s="200" t="str">
        <f>IFERROR(_xlfn.XLOOKUP($A170,Input_Raw!$A:$A,Input_Raw!$DA:$DA),"")</f>
        <v/>
      </c>
      <c r="I170" s="200" t="str">
        <f>IFERROR(_xlfn.XLOOKUP($A170,Input_Raw!$A:$A,Input_Raw!$CX:$CX),"")</f>
        <v/>
      </c>
      <c r="J170" s="200" t="str">
        <f>IFERROR(_xlfn.XLOOKUP($A170,Input_Raw!$A:$A,Input_Raw!$CZ:$CZ),"")</f>
        <v/>
      </c>
      <c r="K170" s="201" t="str">
        <f>IFERROR(_xlfn.XLOOKUP($A170,Input_Raw!$A:$A,Input_Raw!$DB:$DB),"")</f>
        <v/>
      </c>
      <c r="L170" s="201" t="str">
        <f>IFERROR(_xlfn.XLOOKUP($A170,Input_Raw!$A:$A,Input_Raw!$DC:$DC),"")</f>
        <v/>
      </c>
      <c r="M170" s="200" t="str">
        <f>IFERROR(_xlfn.XLOOKUP($A170,Input_Raw!$A:$A,Input_Raw!$DF:$DF),"")</f>
        <v/>
      </c>
      <c r="N170" s="200" t="str">
        <f>IFERROR(_xlfn.XLOOKUP($A170,Input_Raw!$A:$A,Input_Raw!$DG:$DG),"")</f>
        <v/>
      </c>
      <c r="O170" s="230" t="str">
        <f>IFERROR(1-(SUMIF(Plant_BD!$B:$B,$A170,Plant_BD!$AL:$AL)/($AA170+SUMIF(Plant_BD!$B:$B,$A170,Plant_BD!$AL:$AL))),"")</f>
        <v/>
      </c>
      <c r="P170" s="230"/>
      <c r="Q170" s="231" t="str">
        <f>IFERROR(1-(SUMIF(Grid_BD!$B:$B,$A170,Grid_BD!$V:$V)/($AA170+SUMIF(Grid_BD!$B:$B,$A170,Grid_BD!$V:$V))),"")</f>
        <v/>
      </c>
      <c r="R170" s="230" t="str">
        <f>IFERROR(1-(SUMIF(Grid_BD!$B:$B,$A170,Grid_BD!$V:$V)/($AA170+SUMIF(Grid_BD!$B:$B,$A170,Grid_BD!$V:$V))),"")</f>
        <v/>
      </c>
      <c r="S170" s="9"/>
      <c r="T170" s="231"/>
      <c r="U170" s="232" t="str">
        <f t="shared" si="16"/>
        <v/>
      </c>
      <c r="V170" s="232" t="str">
        <f>IFERROR(_xlfn.XLOOKUP($A170,Input_Raw!$A:$A,Input_Raw!$FG:$FG),"")</f>
        <v/>
      </c>
      <c r="W170" s="233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85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33">
        <f>IFERROR(_xlfn.XLOOKUP($D170,'Modelling New'!$D:$D,'Modelling New'!O:O),"")</f>
        <v>0.84314233235469738</v>
      </c>
      <c r="AF170" s="233">
        <f>IFERROR(_xlfn.XLOOKUP($D170,'Modelling New'!$D:$D,'Modelling New'!W:W),"")</f>
        <v>0.17624016808247492</v>
      </c>
      <c r="AG170" s="233">
        <f>IFERROR(_xlfn.XLOOKUP($D170,'Modelling New'!$D:$D,'Modelling New'!AE:AE),"")</f>
        <v>0.995</v>
      </c>
      <c r="AH170" s="233">
        <f>IFERROR(_xlfn.XLOOKUP($D170,'Modelling New'!$D:$D,'Modelling New'!AF:AF),"")</f>
        <v>0.995</v>
      </c>
      <c r="AI170" s="9"/>
      <c r="AJ170" s="9"/>
      <c r="AK170" s="256"/>
      <c r="AL170" s="256"/>
      <c r="AM170" s="256"/>
      <c r="AN170" s="230"/>
      <c r="AO170" s="233"/>
      <c r="AP170" s="233"/>
      <c r="AQ170" s="233"/>
      <c r="AR170" s="234">
        <f>_xlfn.XLOOKUP(D170,'Modelling New'!$D:$D,'Modelling New'!$N:$N)</f>
        <v>130</v>
      </c>
      <c r="AS170" s="234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29">
        <f>Table13[[#This Row],[Date]]-DAY(Table13[[#This Row],[Date]])+1</f>
        <v>45901</v>
      </c>
      <c r="E171" s="9">
        <f t="shared" si="15"/>
        <v>30</v>
      </c>
      <c r="F171" s="199" t="str">
        <f>IFERROR(_xlfn.XLOOKUP($A171,Input_Raw!$A:$A,Input_Raw!$FC:$FC),"")</f>
        <v/>
      </c>
      <c r="G171" s="185" t="str">
        <f>IFERROR(_xlfn.XLOOKUP($A171,Input_Raw!$A:$A,Input_Raw!$CY:$CY),"")</f>
        <v/>
      </c>
      <c r="H171" s="185" t="str">
        <f>IFERROR(_xlfn.XLOOKUP($A171,Input_Raw!$A:$A,Input_Raw!$DA:$DA),"")</f>
        <v/>
      </c>
      <c r="I171" s="185" t="str">
        <f>IFERROR(_xlfn.XLOOKUP($A171,Input_Raw!$A:$A,Input_Raw!$CX:$CX),"")</f>
        <v/>
      </c>
      <c r="J171" s="185" t="str">
        <f>IFERROR(_xlfn.XLOOKUP($A171,Input_Raw!$A:$A,Input_Raw!$CZ:$CZ),"")</f>
        <v/>
      </c>
      <c r="K171" s="201" t="str">
        <f>IFERROR(_xlfn.XLOOKUP($A171,Input_Raw!$A:$A,Input_Raw!$DB:$DB),"")</f>
        <v/>
      </c>
      <c r="L171" s="201" t="str">
        <f>IFERROR(_xlfn.XLOOKUP($A171,Input_Raw!$A:$A,Input_Raw!$DC:$DC),"")</f>
        <v/>
      </c>
      <c r="M171" s="200" t="str">
        <f>IFERROR(_xlfn.XLOOKUP($A171,Input_Raw!$A:$A,Input_Raw!$DF:$DF),"")</f>
        <v/>
      </c>
      <c r="N171" s="200" t="str">
        <f>IFERROR(_xlfn.XLOOKUP($A171,Input_Raw!$A:$A,Input_Raw!$DG:$DG),"")</f>
        <v/>
      </c>
      <c r="O171" s="230" t="str">
        <f>IFERROR(1-(SUMIF(Plant_BD!$B:$B,$A171,Plant_BD!$AL:$AL)/($AA171+SUMIF(Plant_BD!$B:$B,$A171,Plant_BD!$AL:$AL))),"")</f>
        <v/>
      </c>
      <c r="P171" s="230"/>
      <c r="Q171" s="231" t="str">
        <f>IFERROR(1-(SUMIF(Grid_BD!$B:$B,$A171,Grid_BD!$V:$V)/($AA171+SUMIF(Grid_BD!$B:$B,$A171,Grid_BD!$V:$V))),"")</f>
        <v/>
      </c>
      <c r="R171" s="230" t="str">
        <f>IFERROR(1-(SUMIF(Grid_BD!$B:$B,$A171,Grid_BD!$V:$V)/($AA171+SUMIF(Grid_BD!$B:$B,$A171,Grid_BD!$V:$V))),"")</f>
        <v/>
      </c>
      <c r="S171" s="9"/>
      <c r="T171" s="231"/>
      <c r="U171" s="232" t="str">
        <f t="shared" si="16"/>
        <v/>
      </c>
      <c r="V171" s="232" t="str">
        <f>IFERROR(_xlfn.XLOOKUP($A171,Input_Raw!$A:$A,Input_Raw!$FG:$FG),"")</f>
        <v/>
      </c>
      <c r="W171" s="233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85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33">
        <f>IFERROR(_xlfn.XLOOKUP($D171,'Modelling New'!$D:$D,'Modelling New'!O:O),"")</f>
        <v>0.84314233235469738</v>
      </c>
      <c r="AF171" s="233">
        <f>IFERROR(_xlfn.XLOOKUP($D171,'Modelling New'!$D:$D,'Modelling New'!W:W),"")</f>
        <v>0.17624016808247492</v>
      </c>
      <c r="AG171" s="233">
        <f>IFERROR(_xlfn.XLOOKUP($D171,'Modelling New'!$D:$D,'Modelling New'!AE:AE),"")</f>
        <v>0.995</v>
      </c>
      <c r="AH171" s="233">
        <f>IFERROR(_xlfn.XLOOKUP($D171,'Modelling New'!$D:$D,'Modelling New'!AF:AF),"")</f>
        <v>0.995</v>
      </c>
      <c r="AI171" s="9"/>
      <c r="AJ171" s="9"/>
      <c r="AK171" s="256"/>
      <c r="AL171" s="256"/>
      <c r="AM171" s="256"/>
      <c r="AN171" s="230"/>
      <c r="AO171" s="233"/>
      <c r="AP171" s="233"/>
      <c r="AQ171" s="233"/>
      <c r="AR171" s="234">
        <f>_xlfn.XLOOKUP(D171,'Modelling New'!$D:$D,'Modelling New'!$N:$N)</f>
        <v>130</v>
      </c>
      <c r="AS171" s="234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29">
        <f>Table13[[#This Row],[Date]]-DAY(Table13[[#This Row],[Date]])+1</f>
        <v>45901</v>
      </c>
      <c r="E172" s="9">
        <f t="shared" si="15"/>
        <v>30</v>
      </c>
      <c r="F172" s="199" t="str">
        <f>IFERROR(_xlfn.XLOOKUP($A172,Input_Raw!$A:$A,Input_Raw!$FC:$FC),"")</f>
        <v/>
      </c>
      <c r="G172" s="200" t="str">
        <f>IFERROR(_xlfn.XLOOKUP($A172,Input_Raw!$A:$A,Input_Raw!$CY:$CY),"")</f>
        <v/>
      </c>
      <c r="H172" s="200" t="str">
        <f>IFERROR(_xlfn.XLOOKUP($A172,Input_Raw!$A:$A,Input_Raw!$DA:$DA),"")</f>
        <v/>
      </c>
      <c r="I172" s="200" t="str">
        <f>IFERROR(_xlfn.XLOOKUP($A172,Input_Raw!$A:$A,Input_Raw!$CX:$CX),"")</f>
        <v/>
      </c>
      <c r="J172" s="200" t="str">
        <f>IFERROR(_xlfn.XLOOKUP($A172,Input_Raw!$A:$A,Input_Raw!$CZ:$CZ),"")</f>
        <v/>
      </c>
      <c r="K172" s="201" t="str">
        <f>IFERROR(_xlfn.XLOOKUP($A172,Input_Raw!$A:$A,Input_Raw!$DB:$DB),"")</f>
        <v/>
      </c>
      <c r="L172" s="201" t="str">
        <f>IFERROR(_xlfn.XLOOKUP($A172,Input_Raw!$A:$A,Input_Raw!$DC:$DC),"")</f>
        <v/>
      </c>
      <c r="M172" s="200" t="str">
        <f>IFERROR(_xlfn.XLOOKUP($A172,Input_Raw!$A:$A,Input_Raw!$DF:$DF),"")</f>
        <v/>
      </c>
      <c r="N172" s="200" t="str">
        <f>IFERROR(_xlfn.XLOOKUP($A172,Input_Raw!$A:$A,Input_Raw!$DG:$DG),"")</f>
        <v/>
      </c>
      <c r="O172" s="230" t="str">
        <f>IFERROR(1-(SUMIF(Plant_BD!$B:$B,$A172,Plant_BD!$AL:$AL)/($AA172+SUMIF(Plant_BD!$B:$B,$A172,Plant_BD!$AL:$AL))),"")</f>
        <v/>
      </c>
      <c r="P172" s="230"/>
      <c r="Q172" s="231" t="str">
        <f>IFERROR(1-(SUMIF(Grid_BD!$B:$B,$A172,Grid_BD!$V:$V)/($AA172+SUMIF(Grid_BD!$B:$B,$A172,Grid_BD!$V:$V))),"")</f>
        <v/>
      </c>
      <c r="R172" s="230" t="str">
        <f>IFERROR(1-(SUMIF(Grid_BD!$B:$B,$A172,Grid_BD!$V:$V)/($AA172+SUMIF(Grid_BD!$B:$B,$A172,Grid_BD!$V:$V))),"")</f>
        <v/>
      </c>
      <c r="S172" s="9"/>
      <c r="T172" s="231"/>
      <c r="U172" s="232" t="str">
        <f t="shared" si="16"/>
        <v/>
      </c>
      <c r="V172" s="232" t="str">
        <f>IFERROR(_xlfn.XLOOKUP($A172,Input_Raw!$A:$A,Input_Raw!$FG:$FG),"")</f>
        <v/>
      </c>
      <c r="W172" s="233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85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33">
        <f>IFERROR(_xlfn.XLOOKUP($D172,'Modelling New'!$D:$D,'Modelling New'!O:O),"")</f>
        <v>0.84314233235469738</v>
      </c>
      <c r="AF172" s="233">
        <f>IFERROR(_xlfn.XLOOKUP($D172,'Modelling New'!$D:$D,'Modelling New'!W:W),"")</f>
        <v>0.17624016808247492</v>
      </c>
      <c r="AG172" s="233">
        <f>IFERROR(_xlfn.XLOOKUP($D172,'Modelling New'!$D:$D,'Modelling New'!AE:AE),"")</f>
        <v>0.995</v>
      </c>
      <c r="AH172" s="233">
        <f>IFERROR(_xlfn.XLOOKUP($D172,'Modelling New'!$D:$D,'Modelling New'!AF:AF),"")</f>
        <v>0.995</v>
      </c>
      <c r="AI172" s="9"/>
      <c r="AJ172" s="9"/>
      <c r="AK172" s="256"/>
      <c r="AL172" s="256"/>
      <c r="AM172" s="256"/>
      <c r="AN172" s="230"/>
      <c r="AO172" s="233"/>
      <c r="AP172" s="233"/>
      <c r="AQ172" s="233"/>
      <c r="AR172" s="234">
        <f>_xlfn.XLOOKUP(D172,'Modelling New'!$D:$D,'Modelling New'!$N:$N)</f>
        <v>130</v>
      </c>
      <c r="AS172" s="234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29">
        <f>Table13[[#This Row],[Date]]-DAY(Table13[[#This Row],[Date]])+1</f>
        <v>45901</v>
      </c>
      <c r="E173" s="9">
        <f t="shared" si="15"/>
        <v>30</v>
      </c>
      <c r="F173" s="199" t="str">
        <f>IFERROR(_xlfn.XLOOKUP($A173,Input_Raw!$A:$A,Input_Raw!$FC:$FC),"")</f>
        <v/>
      </c>
      <c r="G173" s="185" t="str">
        <f>IFERROR(_xlfn.XLOOKUP($A173,Input_Raw!$A:$A,Input_Raw!$CY:$CY),"")</f>
        <v/>
      </c>
      <c r="H173" s="185" t="str">
        <f>IFERROR(_xlfn.XLOOKUP($A173,Input_Raw!$A:$A,Input_Raw!$DA:$DA),"")</f>
        <v/>
      </c>
      <c r="I173" s="185" t="str">
        <f>IFERROR(_xlfn.XLOOKUP($A173,Input_Raw!$A:$A,Input_Raw!$CX:$CX),"")</f>
        <v/>
      </c>
      <c r="J173" s="185" t="str">
        <f>IFERROR(_xlfn.XLOOKUP($A173,Input_Raw!$A:$A,Input_Raw!$CZ:$CZ),"")</f>
        <v/>
      </c>
      <c r="K173" s="201" t="str">
        <f>IFERROR(_xlfn.XLOOKUP($A173,Input_Raw!$A:$A,Input_Raw!$DB:$DB),"")</f>
        <v/>
      </c>
      <c r="L173" s="201" t="str">
        <f>IFERROR(_xlfn.XLOOKUP($A173,Input_Raw!$A:$A,Input_Raw!$DC:$DC),"")</f>
        <v/>
      </c>
      <c r="M173" s="200" t="str">
        <f>IFERROR(_xlfn.XLOOKUP($A173,Input_Raw!$A:$A,Input_Raw!$DF:$DF),"")</f>
        <v/>
      </c>
      <c r="N173" s="200" t="str">
        <f>IFERROR(_xlfn.XLOOKUP($A173,Input_Raw!$A:$A,Input_Raw!$DG:$DG),"")</f>
        <v/>
      </c>
      <c r="O173" s="230" t="str">
        <f>IFERROR(1-(SUMIF(Plant_BD!$B:$B,$A173,Plant_BD!$AL:$AL)/($AA173+SUMIF(Plant_BD!$B:$B,$A173,Plant_BD!$AL:$AL))),"")</f>
        <v/>
      </c>
      <c r="P173" s="230"/>
      <c r="Q173" s="231" t="str">
        <f>IFERROR(1-(SUMIF(Grid_BD!$B:$B,$A173,Grid_BD!$V:$V)/($AA173+SUMIF(Grid_BD!$B:$B,$A173,Grid_BD!$V:$V))),"")</f>
        <v/>
      </c>
      <c r="R173" s="230" t="str">
        <f>IFERROR(1-(SUMIF(Grid_BD!$B:$B,$A173,Grid_BD!$V:$V)/($AA173+SUMIF(Grid_BD!$B:$B,$A173,Grid_BD!$V:$V))),"")</f>
        <v/>
      </c>
      <c r="S173" s="9"/>
      <c r="T173" s="231"/>
      <c r="U173" s="232" t="str">
        <f t="shared" si="16"/>
        <v/>
      </c>
      <c r="V173" s="232" t="str">
        <f>IFERROR(_xlfn.XLOOKUP($A173,Input_Raw!$A:$A,Input_Raw!$FG:$FG),"")</f>
        <v/>
      </c>
      <c r="W173" s="233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85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33">
        <f>IFERROR(_xlfn.XLOOKUP($D173,'Modelling New'!$D:$D,'Modelling New'!O:O),"")</f>
        <v>0.84314233235469738</v>
      </c>
      <c r="AF173" s="233">
        <f>IFERROR(_xlfn.XLOOKUP($D173,'Modelling New'!$D:$D,'Modelling New'!W:W),"")</f>
        <v>0.17624016808247492</v>
      </c>
      <c r="AG173" s="233">
        <f>IFERROR(_xlfn.XLOOKUP($D173,'Modelling New'!$D:$D,'Modelling New'!AE:AE),"")</f>
        <v>0.995</v>
      </c>
      <c r="AH173" s="233">
        <f>IFERROR(_xlfn.XLOOKUP($D173,'Modelling New'!$D:$D,'Modelling New'!AF:AF),"")</f>
        <v>0.995</v>
      </c>
      <c r="AI173" s="9"/>
      <c r="AJ173" s="9"/>
      <c r="AK173" s="256"/>
      <c r="AL173" s="256"/>
      <c r="AM173" s="256"/>
      <c r="AN173" s="230"/>
      <c r="AO173" s="233"/>
      <c r="AP173" s="233"/>
      <c r="AQ173" s="233"/>
      <c r="AR173" s="234">
        <f>_xlfn.XLOOKUP(D173,'Modelling New'!$D:$D,'Modelling New'!$N:$N)</f>
        <v>130</v>
      </c>
      <c r="AS173" s="234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29">
        <f>Table13[[#This Row],[Date]]-DAY(Table13[[#This Row],[Date]])+1</f>
        <v>45901</v>
      </c>
      <c r="E174" s="9">
        <f t="shared" si="15"/>
        <v>30</v>
      </c>
      <c r="F174" s="199" t="str">
        <f>IFERROR(_xlfn.XLOOKUP($A174,Input_Raw!$A:$A,Input_Raw!$FC:$FC),"")</f>
        <v/>
      </c>
      <c r="G174" s="200" t="str">
        <f>IFERROR(_xlfn.XLOOKUP($A174,Input_Raw!$A:$A,Input_Raw!$CY:$CY),"")</f>
        <v/>
      </c>
      <c r="H174" s="200" t="str">
        <f>IFERROR(_xlfn.XLOOKUP($A174,Input_Raw!$A:$A,Input_Raw!$DA:$DA),"")</f>
        <v/>
      </c>
      <c r="I174" s="200" t="str">
        <f>IFERROR(_xlfn.XLOOKUP($A174,Input_Raw!$A:$A,Input_Raw!$CX:$CX),"")</f>
        <v/>
      </c>
      <c r="J174" s="200" t="str">
        <f>IFERROR(_xlfn.XLOOKUP($A174,Input_Raw!$A:$A,Input_Raw!$CZ:$CZ),"")</f>
        <v/>
      </c>
      <c r="K174" s="201" t="str">
        <f>IFERROR(_xlfn.XLOOKUP($A174,Input_Raw!$A:$A,Input_Raw!$DB:$DB),"")</f>
        <v/>
      </c>
      <c r="L174" s="201" t="str">
        <f>IFERROR(_xlfn.XLOOKUP($A174,Input_Raw!$A:$A,Input_Raw!$DC:$DC),"")</f>
        <v/>
      </c>
      <c r="M174" s="200" t="str">
        <f>IFERROR(_xlfn.XLOOKUP($A174,Input_Raw!$A:$A,Input_Raw!$DF:$DF),"")</f>
        <v/>
      </c>
      <c r="N174" s="200" t="str">
        <f>IFERROR(_xlfn.XLOOKUP($A174,Input_Raw!$A:$A,Input_Raw!$DG:$DG),"")</f>
        <v/>
      </c>
      <c r="O174" s="230" t="str">
        <f>IFERROR(1-(SUMIF(Plant_BD!$B:$B,$A174,Plant_BD!$AL:$AL)/($AA174+SUMIF(Plant_BD!$B:$B,$A174,Plant_BD!$AL:$AL))),"")</f>
        <v/>
      </c>
      <c r="P174" s="230"/>
      <c r="Q174" s="231" t="str">
        <f>IFERROR(1-(SUMIF(Grid_BD!$B:$B,$A174,Grid_BD!$V:$V)/($AA174+SUMIF(Grid_BD!$B:$B,$A174,Grid_BD!$V:$V))),"")</f>
        <v/>
      </c>
      <c r="R174" s="230" t="str">
        <f>IFERROR(1-(SUMIF(Grid_BD!$B:$B,$A174,Grid_BD!$V:$V)/($AA174+SUMIF(Grid_BD!$B:$B,$A174,Grid_BD!$V:$V))),"")</f>
        <v/>
      </c>
      <c r="S174" s="9"/>
      <c r="T174" s="231"/>
      <c r="U174" s="232" t="str">
        <f t="shared" si="16"/>
        <v/>
      </c>
      <c r="V174" s="232" t="str">
        <f>IFERROR(_xlfn.XLOOKUP($A174,Input_Raw!$A:$A,Input_Raw!$FG:$FG),"")</f>
        <v/>
      </c>
      <c r="W174" s="233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85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33">
        <f>IFERROR(_xlfn.XLOOKUP($D174,'Modelling New'!$D:$D,'Modelling New'!O:O),"")</f>
        <v>0.84314233235469738</v>
      </c>
      <c r="AF174" s="233">
        <f>IFERROR(_xlfn.XLOOKUP($D174,'Modelling New'!$D:$D,'Modelling New'!W:W),"")</f>
        <v>0.17624016808247492</v>
      </c>
      <c r="AG174" s="233">
        <f>IFERROR(_xlfn.XLOOKUP($D174,'Modelling New'!$D:$D,'Modelling New'!AE:AE),"")</f>
        <v>0.995</v>
      </c>
      <c r="AH174" s="233">
        <f>IFERROR(_xlfn.XLOOKUP($D174,'Modelling New'!$D:$D,'Modelling New'!AF:AF),"")</f>
        <v>0.995</v>
      </c>
      <c r="AI174" s="9"/>
      <c r="AJ174" s="9"/>
      <c r="AK174" s="256"/>
      <c r="AL174" s="256"/>
      <c r="AM174" s="256"/>
      <c r="AN174" s="230"/>
      <c r="AO174" s="233"/>
      <c r="AP174" s="233"/>
      <c r="AQ174" s="233"/>
      <c r="AR174" s="234">
        <f>_xlfn.XLOOKUP(D174,'Modelling New'!$D:$D,'Modelling New'!$N:$N)</f>
        <v>130</v>
      </c>
      <c r="AS174" s="234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29">
        <f>Table13[[#This Row],[Date]]-DAY(Table13[[#This Row],[Date]])+1</f>
        <v>45901</v>
      </c>
      <c r="E175" s="9">
        <f t="shared" si="15"/>
        <v>30</v>
      </c>
      <c r="F175" s="199" t="str">
        <f>IFERROR(_xlfn.XLOOKUP($A175,Input_Raw!$A:$A,Input_Raw!$FC:$FC),"")</f>
        <v/>
      </c>
      <c r="G175" s="185" t="str">
        <f>IFERROR(_xlfn.XLOOKUP($A175,Input_Raw!$A:$A,Input_Raw!$CY:$CY),"")</f>
        <v/>
      </c>
      <c r="H175" s="185" t="str">
        <f>IFERROR(_xlfn.XLOOKUP($A175,Input_Raw!$A:$A,Input_Raw!$DA:$DA),"")</f>
        <v/>
      </c>
      <c r="I175" s="185" t="str">
        <f>IFERROR(_xlfn.XLOOKUP($A175,Input_Raw!$A:$A,Input_Raw!$CX:$CX),"")</f>
        <v/>
      </c>
      <c r="J175" s="185" t="str">
        <f>IFERROR(_xlfn.XLOOKUP($A175,Input_Raw!$A:$A,Input_Raw!$CZ:$CZ),"")</f>
        <v/>
      </c>
      <c r="K175" s="201" t="str">
        <f>IFERROR(_xlfn.XLOOKUP($A175,Input_Raw!$A:$A,Input_Raw!$DB:$DB),"")</f>
        <v/>
      </c>
      <c r="L175" s="201" t="str">
        <f>IFERROR(_xlfn.XLOOKUP($A175,Input_Raw!$A:$A,Input_Raw!$DC:$DC),"")</f>
        <v/>
      </c>
      <c r="M175" s="200" t="str">
        <f>IFERROR(_xlfn.XLOOKUP($A175,Input_Raw!$A:$A,Input_Raw!$DF:$DF),"")</f>
        <v/>
      </c>
      <c r="N175" s="200" t="str">
        <f>IFERROR(_xlfn.XLOOKUP($A175,Input_Raw!$A:$A,Input_Raw!$DG:$DG),"")</f>
        <v/>
      </c>
      <c r="O175" s="230" t="str">
        <f>IFERROR(1-(SUMIF(Plant_BD!$B:$B,$A175,Plant_BD!$AL:$AL)/($AA175+SUMIF(Plant_BD!$B:$B,$A175,Plant_BD!$AL:$AL))),"")</f>
        <v/>
      </c>
      <c r="P175" s="230"/>
      <c r="Q175" s="231" t="str">
        <f>IFERROR(1-(SUMIF(Grid_BD!$B:$B,$A175,Grid_BD!$V:$V)/($AA175+SUMIF(Grid_BD!$B:$B,$A175,Grid_BD!$V:$V))),"")</f>
        <v/>
      </c>
      <c r="R175" s="230" t="str">
        <f>IFERROR(1-(SUMIF(Grid_BD!$B:$B,$A175,Grid_BD!$V:$V)/($AA175+SUMIF(Grid_BD!$B:$B,$A175,Grid_BD!$V:$V))),"")</f>
        <v/>
      </c>
      <c r="S175" s="9"/>
      <c r="T175" s="231"/>
      <c r="U175" s="232" t="str">
        <f t="shared" si="16"/>
        <v/>
      </c>
      <c r="V175" s="232" t="str">
        <f>IFERROR(_xlfn.XLOOKUP($A175,Input_Raw!$A:$A,Input_Raw!$FG:$FG),"")</f>
        <v/>
      </c>
      <c r="W175" s="233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85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33">
        <f>IFERROR(_xlfn.XLOOKUP($D175,'Modelling New'!$D:$D,'Modelling New'!O:O),"")</f>
        <v>0.84314233235469738</v>
      </c>
      <c r="AF175" s="233">
        <f>IFERROR(_xlfn.XLOOKUP($D175,'Modelling New'!$D:$D,'Modelling New'!W:W),"")</f>
        <v>0.17624016808247492</v>
      </c>
      <c r="AG175" s="233">
        <f>IFERROR(_xlfn.XLOOKUP($D175,'Modelling New'!$D:$D,'Modelling New'!AE:AE),"")</f>
        <v>0.995</v>
      </c>
      <c r="AH175" s="233">
        <f>IFERROR(_xlfn.XLOOKUP($D175,'Modelling New'!$D:$D,'Modelling New'!AF:AF),"")</f>
        <v>0.995</v>
      </c>
      <c r="AI175" s="9"/>
      <c r="AJ175" s="9"/>
      <c r="AK175" s="256"/>
      <c r="AL175" s="256"/>
      <c r="AM175" s="256"/>
      <c r="AN175" s="230"/>
      <c r="AO175" s="233"/>
      <c r="AP175" s="233"/>
      <c r="AQ175" s="233"/>
      <c r="AR175" s="234">
        <f>_xlfn.XLOOKUP(D175,'Modelling New'!$D:$D,'Modelling New'!$N:$N)</f>
        <v>130</v>
      </c>
      <c r="AS175" s="234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29">
        <f>Table13[[#This Row],[Date]]-DAY(Table13[[#This Row],[Date]])+1</f>
        <v>45901</v>
      </c>
      <c r="E176" s="9">
        <f t="shared" si="15"/>
        <v>30</v>
      </c>
      <c r="F176" s="199" t="str">
        <f>IFERROR(_xlfn.XLOOKUP($A176,Input_Raw!$A:$A,Input_Raw!$FC:$FC),"")</f>
        <v/>
      </c>
      <c r="G176" s="200" t="str">
        <f>IFERROR(_xlfn.XLOOKUP($A176,Input_Raw!$A:$A,Input_Raw!$CY:$CY),"")</f>
        <v/>
      </c>
      <c r="H176" s="200" t="str">
        <f>IFERROR(_xlfn.XLOOKUP($A176,Input_Raw!$A:$A,Input_Raw!$DA:$DA),"")</f>
        <v/>
      </c>
      <c r="I176" s="200" t="str">
        <f>IFERROR(_xlfn.XLOOKUP($A176,Input_Raw!$A:$A,Input_Raw!$CX:$CX),"")</f>
        <v/>
      </c>
      <c r="J176" s="200" t="str">
        <f>IFERROR(_xlfn.XLOOKUP($A176,Input_Raw!$A:$A,Input_Raw!$CZ:$CZ),"")</f>
        <v/>
      </c>
      <c r="K176" s="201" t="str">
        <f>IFERROR(_xlfn.XLOOKUP($A176,Input_Raw!$A:$A,Input_Raw!$DB:$DB),"")</f>
        <v/>
      </c>
      <c r="L176" s="201" t="str">
        <f>IFERROR(_xlfn.XLOOKUP($A176,Input_Raw!$A:$A,Input_Raw!$DC:$DC),"")</f>
        <v/>
      </c>
      <c r="M176" s="200" t="str">
        <f>IFERROR(_xlfn.XLOOKUP($A176,Input_Raw!$A:$A,Input_Raw!$DF:$DF),"")</f>
        <v/>
      </c>
      <c r="N176" s="200" t="str">
        <f>IFERROR(_xlfn.XLOOKUP($A176,Input_Raw!$A:$A,Input_Raw!$DG:$DG),"")</f>
        <v/>
      </c>
      <c r="O176" s="230" t="str">
        <f>IFERROR(1-(SUMIF(Plant_BD!$B:$B,$A176,Plant_BD!$AL:$AL)/($AA176+SUMIF(Plant_BD!$B:$B,$A176,Plant_BD!$AL:$AL))),"")</f>
        <v/>
      </c>
      <c r="P176" s="230"/>
      <c r="Q176" s="231" t="str">
        <f>IFERROR(1-(SUMIF(Grid_BD!$B:$B,$A176,Grid_BD!$V:$V)/($AA176+SUMIF(Grid_BD!$B:$B,$A176,Grid_BD!$V:$V))),"")</f>
        <v/>
      </c>
      <c r="R176" s="230" t="str">
        <f>IFERROR(1-(SUMIF(Grid_BD!$B:$B,$A176,Grid_BD!$V:$V)/($AA176+SUMIF(Grid_BD!$B:$B,$A176,Grid_BD!$V:$V))),"")</f>
        <v/>
      </c>
      <c r="S176" s="9"/>
      <c r="T176" s="231"/>
      <c r="U176" s="232" t="str">
        <f t="shared" si="16"/>
        <v/>
      </c>
      <c r="V176" s="232" t="str">
        <f>IFERROR(_xlfn.XLOOKUP($A176,Input_Raw!$A:$A,Input_Raw!$FG:$FG),"")</f>
        <v/>
      </c>
      <c r="W176" s="233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85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33">
        <f>IFERROR(_xlfn.XLOOKUP($D176,'Modelling New'!$D:$D,'Modelling New'!O:O),"")</f>
        <v>0.84314233235469738</v>
      </c>
      <c r="AF176" s="233">
        <f>IFERROR(_xlfn.XLOOKUP($D176,'Modelling New'!$D:$D,'Modelling New'!W:W),"")</f>
        <v>0.17624016808247492</v>
      </c>
      <c r="AG176" s="233">
        <f>IFERROR(_xlfn.XLOOKUP($D176,'Modelling New'!$D:$D,'Modelling New'!AE:AE),"")</f>
        <v>0.995</v>
      </c>
      <c r="AH176" s="233">
        <f>IFERROR(_xlfn.XLOOKUP($D176,'Modelling New'!$D:$D,'Modelling New'!AF:AF),"")</f>
        <v>0.995</v>
      </c>
      <c r="AI176" s="9"/>
      <c r="AJ176" s="9"/>
      <c r="AK176" s="256"/>
      <c r="AL176" s="256"/>
      <c r="AM176" s="256"/>
      <c r="AN176" s="230"/>
      <c r="AO176" s="233"/>
      <c r="AP176" s="233"/>
      <c r="AQ176" s="233"/>
      <c r="AR176" s="234">
        <f>_xlfn.XLOOKUP(D176,'Modelling New'!$D:$D,'Modelling New'!$N:$N)</f>
        <v>130</v>
      </c>
      <c r="AS176" s="234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29">
        <f>Table13[[#This Row],[Date]]-DAY(Table13[[#This Row],[Date]])+1</f>
        <v>45901</v>
      </c>
      <c r="E177" s="9">
        <f t="shared" si="15"/>
        <v>30</v>
      </c>
      <c r="F177" s="199" t="str">
        <f>IFERROR(_xlfn.XLOOKUP($A177,Input_Raw!$A:$A,Input_Raw!$FC:$FC),"")</f>
        <v/>
      </c>
      <c r="G177" s="185" t="str">
        <f>IFERROR(_xlfn.XLOOKUP($A177,Input_Raw!$A:$A,Input_Raw!$CY:$CY),"")</f>
        <v/>
      </c>
      <c r="H177" s="185" t="str">
        <f>IFERROR(_xlfn.XLOOKUP($A177,Input_Raw!$A:$A,Input_Raw!$DA:$DA),"")</f>
        <v/>
      </c>
      <c r="I177" s="185" t="str">
        <f>IFERROR(_xlfn.XLOOKUP($A177,Input_Raw!$A:$A,Input_Raw!$CX:$CX),"")</f>
        <v/>
      </c>
      <c r="J177" s="185" t="str">
        <f>IFERROR(_xlfn.XLOOKUP($A177,Input_Raw!$A:$A,Input_Raw!$CZ:$CZ),"")</f>
        <v/>
      </c>
      <c r="K177" s="201" t="str">
        <f>IFERROR(_xlfn.XLOOKUP($A177,Input_Raw!$A:$A,Input_Raw!$DB:$DB),"")</f>
        <v/>
      </c>
      <c r="L177" s="201" t="str">
        <f>IFERROR(_xlfn.XLOOKUP($A177,Input_Raw!$A:$A,Input_Raw!$DC:$DC),"")</f>
        <v/>
      </c>
      <c r="M177" s="200" t="str">
        <f>IFERROR(_xlfn.XLOOKUP($A177,Input_Raw!$A:$A,Input_Raw!$DF:$DF),"")</f>
        <v/>
      </c>
      <c r="N177" s="200" t="str">
        <f>IFERROR(_xlfn.XLOOKUP($A177,Input_Raw!$A:$A,Input_Raw!$DG:$DG),"")</f>
        <v/>
      </c>
      <c r="O177" s="230" t="str">
        <f>IFERROR(1-(SUMIF(Plant_BD!$B:$B,$A177,Plant_BD!$AL:$AL)/($AA177+SUMIF(Plant_BD!$B:$B,$A177,Plant_BD!$AL:$AL))),"")</f>
        <v/>
      </c>
      <c r="P177" s="230"/>
      <c r="Q177" s="231" t="str">
        <f>IFERROR(1-(SUMIF(Grid_BD!$B:$B,$A177,Grid_BD!$V:$V)/($AA177+SUMIF(Grid_BD!$B:$B,$A177,Grid_BD!$V:$V))),"")</f>
        <v/>
      </c>
      <c r="R177" s="230" t="str">
        <f>IFERROR(1-(SUMIF(Grid_BD!$B:$B,$A177,Grid_BD!$V:$V)/($AA177+SUMIF(Grid_BD!$B:$B,$A177,Grid_BD!$V:$V))),"")</f>
        <v/>
      </c>
      <c r="S177" s="9"/>
      <c r="T177" s="231"/>
      <c r="U177" s="232" t="str">
        <f t="shared" si="16"/>
        <v/>
      </c>
      <c r="V177" s="232" t="str">
        <f>IFERROR(_xlfn.XLOOKUP($A177,Input_Raw!$A:$A,Input_Raw!$FG:$FG),"")</f>
        <v/>
      </c>
      <c r="W177" s="233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85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33">
        <f>IFERROR(_xlfn.XLOOKUP($D177,'Modelling New'!$D:$D,'Modelling New'!O:O),"")</f>
        <v>0.84314233235469738</v>
      </c>
      <c r="AF177" s="233">
        <f>IFERROR(_xlfn.XLOOKUP($D177,'Modelling New'!$D:$D,'Modelling New'!W:W),"")</f>
        <v>0.17624016808247492</v>
      </c>
      <c r="AG177" s="233">
        <f>IFERROR(_xlfn.XLOOKUP($D177,'Modelling New'!$D:$D,'Modelling New'!AE:AE),"")</f>
        <v>0.995</v>
      </c>
      <c r="AH177" s="233">
        <f>IFERROR(_xlfn.XLOOKUP($D177,'Modelling New'!$D:$D,'Modelling New'!AF:AF),"")</f>
        <v>0.995</v>
      </c>
      <c r="AI177" s="9"/>
      <c r="AJ177" s="9"/>
      <c r="AK177" s="256"/>
      <c r="AL177" s="256"/>
      <c r="AM177" s="256"/>
      <c r="AN177" s="230"/>
      <c r="AO177" s="233"/>
      <c r="AP177" s="233"/>
      <c r="AQ177" s="233"/>
      <c r="AR177" s="234">
        <f>_xlfn.XLOOKUP(D177,'Modelling New'!$D:$D,'Modelling New'!$N:$N)</f>
        <v>130</v>
      </c>
      <c r="AS177" s="234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29">
        <f>Table13[[#This Row],[Date]]-DAY(Table13[[#This Row],[Date]])+1</f>
        <v>45901</v>
      </c>
      <c r="E178" s="9">
        <f t="shared" si="15"/>
        <v>30</v>
      </c>
      <c r="F178" s="199" t="str">
        <f>IFERROR(_xlfn.XLOOKUP($A178,Input_Raw!$A:$A,Input_Raw!$FC:$FC),"")</f>
        <v/>
      </c>
      <c r="G178" s="200" t="str">
        <f>IFERROR(_xlfn.XLOOKUP($A178,Input_Raw!$A:$A,Input_Raw!$CY:$CY),"")</f>
        <v/>
      </c>
      <c r="H178" s="200" t="str">
        <f>IFERROR(_xlfn.XLOOKUP($A178,Input_Raw!$A:$A,Input_Raw!$DA:$DA),"")</f>
        <v/>
      </c>
      <c r="I178" s="200" t="str">
        <f>IFERROR(_xlfn.XLOOKUP($A178,Input_Raw!$A:$A,Input_Raw!$CX:$CX),"")</f>
        <v/>
      </c>
      <c r="J178" s="200" t="str">
        <f>IFERROR(_xlfn.XLOOKUP($A178,Input_Raw!$A:$A,Input_Raw!$CZ:$CZ),"")</f>
        <v/>
      </c>
      <c r="K178" s="201" t="str">
        <f>IFERROR(_xlfn.XLOOKUP($A178,Input_Raw!$A:$A,Input_Raw!$DB:$DB),"")</f>
        <v/>
      </c>
      <c r="L178" s="201" t="str">
        <f>IFERROR(_xlfn.XLOOKUP($A178,Input_Raw!$A:$A,Input_Raw!$DC:$DC),"")</f>
        <v/>
      </c>
      <c r="M178" s="200" t="str">
        <f>IFERROR(_xlfn.XLOOKUP($A178,Input_Raw!$A:$A,Input_Raw!$DF:$DF),"")</f>
        <v/>
      </c>
      <c r="N178" s="200" t="str">
        <f>IFERROR(_xlfn.XLOOKUP($A178,Input_Raw!$A:$A,Input_Raw!$DG:$DG),"")</f>
        <v/>
      </c>
      <c r="O178" s="230" t="str">
        <f>IFERROR(1-(SUMIF(Plant_BD!$B:$B,$A178,Plant_BD!$AL:$AL)/($AA178+SUMIF(Plant_BD!$B:$B,$A178,Plant_BD!$AL:$AL))),"")</f>
        <v/>
      </c>
      <c r="P178" s="230"/>
      <c r="Q178" s="231" t="str">
        <f>IFERROR(1-(SUMIF(Grid_BD!$B:$B,$A178,Grid_BD!$V:$V)/($AA178+SUMIF(Grid_BD!$B:$B,$A178,Grid_BD!$V:$V))),"")</f>
        <v/>
      </c>
      <c r="R178" s="230" t="str">
        <f>IFERROR(1-(SUMIF(Grid_BD!$B:$B,$A178,Grid_BD!$V:$V)/($AA178+SUMIF(Grid_BD!$B:$B,$A178,Grid_BD!$V:$V))),"")</f>
        <v/>
      </c>
      <c r="S178" s="9"/>
      <c r="T178" s="231"/>
      <c r="U178" s="232" t="str">
        <f t="shared" si="16"/>
        <v/>
      </c>
      <c r="V178" s="232" t="str">
        <f>IFERROR(_xlfn.XLOOKUP($A178,Input_Raw!$A:$A,Input_Raw!$FG:$FG),"")</f>
        <v/>
      </c>
      <c r="W178" s="233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85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33">
        <f>IFERROR(_xlfn.XLOOKUP($D178,'Modelling New'!$D:$D,'Modelling New'!O:O),"")</f>
        <v>0.84314233235469738</v>
      </c>
      <c r="AF178" s="233">
        <f>IFERROR(_xlfn.XLOOKUP($D178,'Modelling New'!$D:$D,'Modelling New'!W:W),"")</f>
        <v>0.17624016808247492</v>
      </c>
      <c r="AG178" s="233">
        <f>IFERROR(_xlfn.XLOOKUP($D178,'Modelling New'!$D:$D,'Modelling New'!AE:AE),"")</f>
        <v>0.995</v>
      </c>
      <c r="AH178" s="233">
        <f>IFERROR(_xlfn.XLOOKUP($D178,'Modelling New'!$D:$D,'Modelling New'!AF:AF),"")</f>
        <v>0.995</v>
      </c>
      <c r="AI178" s="9"/>
      <c r="AJ178" s="9"/>
      <c r="AK178" s="256"/>
      <c r="AL178" s="256"/>
      <c r="AM178" s="256"/>
      <c r="AN178" s="230"/>
      <c r="AO178" s="233"/>
      <c r="AP178" s="233"/>
      <c r="AQ178" s="233"/>
      <c r="AR178" s="234">
        <f>_xlfn.XLOOKUP(D178,'Modelling New'!$D:$D,'Modelling New'!$N:$N)</f>
        <v>130</v>
      </c>
      <c r="AS178" s="234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29">
        <f>Table13[[#This Row],[Date]]-DAY(Table13[[#This Row],[Date]])+1</f>
        <v>45901</v>
      </c>
      <c r="E179" s="9">
        <f t="shared" si="15"/>
        <v>30</v>
      </c>
      <c r="F179" s="199" t="str">
        <f>IFERROR(_xlfn.XLOOKUP($A179,Input_Raw!$A:$A,Input_Raw!$FC:$FC),"")</f>
        <v/>
      </c>
      <c r="G179" s="185" t="str">
        <f>IFERROR(_xlfn.XLOOKUP($A179,Input_Raw!$A:$A,Input_Raw!$CY:$CY),"")</f>
        <v/>
      </c>
      <c r="H179" s="185" t="str">
        <f>IFERROR(_xlfn.XLOOKUP($A179,Input_Raw!$A:$A,Input_Raw!$DA:$DA),"")</f>
        <v/>
      </c>
      <c r="I179" s="185" t="str">
        <f>IFERROR(_xlfn.XLOOKUP($A179,Input_Raw!$A:$A,Input_Raw!$CX:$CX),"")</f>
        <v/>
      </c>
      <c r="J179" s="185" t="str">
        <f>IFERROR(_xlfn.XLOOKUP($A179,Input_Raw!$A:$A,Input_Raw!$CZ:$CZ),"")</f>
        <v/>
      </c>
      <c r="K179" s="201" t="str">
        <f>IFERROR(_xlfn.XLOOKUP($A179,Input_Raw!$A:$A,Input_Raw!$DB:$DB),"")</f>
        <v/>
      </c>
      <c r="L179" s="201" t="str">
        <f>IFERROR(_xlfn.XLOOKUP($A179,Input_Raw!$A:$A,Input_Raw!$DC:$DC),"")</f>
        <v/>
      </c>
      <c r="M179" s="200" t="str">
        <f>IFERROR(_xlfn.XLOOKUP($A179,Input_Raw!$A:$A,Input_Raw!$DF:$DF),"")</f>
        <v/>
      </c>
      <c r="N179" s="200" t="str">
        <f>IFERROR(_xlfn.XLOOKUP($A179,Input_Raw!$A:$A,Input_Raw!$DG:$DG),"")</f>
        <v/>
      </c>
      <c r="O179" s="230" t="str">
        <f>IFERROR(1-(SUMIF(Plant_BD!$B:$B,$A179,Plant_BD!$AL:$AL)/($AA179+SUMIF(Plant_BD!$B:$B,$A179,Plant_BD!$AL:$AL))),"")</f>
        <v/>
      </c>
      <c r="P179" s="230"/>
      <c r="Q179" s="231" t="str">
        <f>IFERROR(1-(SUMIF(Grid_BD!$B:$B,$A179,Grid_BD!$V:$V)/($AA179+SUMIF(Grid_BD!$B:$B,$A179,Grid_BD!$V:$V))),"")</f>
        <v/>
      </c>
      <c r="R179" s="230" t="str">
        <f>IFERROR(1-(SUMIF(Grid_BD!$B:$B,$A179,Grid_BD!$V:$V)/($AA179+SUMIF(Grid_BD!$B:$B,$A179,Grid_BD!$V:$V))),"")</f>
        <v/>
      </c>
      <c r="S179" s="9"/>
      <c r="T179" s="231"/>
      <c r="U179" s="232" t="str">
        <f t="shared" si="16"/>
        <v/>
      </c>
      <c r="V179" s="232" t="str">
        <f>IFERROR(_xlfn.XLOOKUP($A179,Input_Raw!$A:$A,Input_Raw!$FG:$FG),"")</f>
        <v/>
      </c>
      <c r="W179" s="233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85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33">
        <f>IFERROR(_xlfn.XLOOKUP($D179,'Modelling New'!$D:$D,'Modelling New'!O:O),"")</f>
        <v>0.84314233235469738</v>
      </c>
      <c r="AF179" s="233">
        <f>IFERROR(_xlfn.XLOOKUP($D179,'Modelling New'!$D:$D,'Modelling New'!W:W),"")</f>
        <v>0.17624016808247492</v>
      </c>
      <c r="AG179" s="233">
        <f>IFERROR(_xlfn.XLOOKUP($D179,'Modelling New'!$D:$D,'Modelling New'!AE:AE),"")</f>
        <v>0.995</v>
      </c>
      <c r="AH179" s="233">
        <f>IFERROR(_xlfn.XLOOKUP($D179,'Modelling New'!$D:$D,'Modelling New'!AF:AF),"")</f>
        <v>0.995</v>
      </c>
      <c r="AI179" s="9"/>
      <c r="AJ179" s="9"/>
      <c r="AK179" s="256"/>
      <c r="AL179" s="256"/>
      <c r="AM179" s="256"/>
      <c r="AN179" s="230"/>
      <c r="AO179" s="233"/>
      <c r="AP179" s="233"/>
      <c r="AQ179" s="233"/>
      <c r="AR179" s="234">
        <f>_xlfn.XLOOKUP(D179,'Modelling New'!$D:$D,'Modelling New'!$N:$N)</f>
        <v>130</v>
      </c>
      <c r="AS179" s="234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29">
        <f>Table13[[#This Row],[Date]]-DAY(Table13[[#This Row],[Date]])+1</f>
        <v>45901</v>
      </c>
      <c r="E180" s="9">
        <f t="shared" si="15"/>
        <v>30</v>
      </c>
      <c r="F180" s="199" t="str">
        <f>IFERROR(_xlfn.XLOOKUP($A180,Input_Raw!$A:$A,Input_Raw!$FC:$FC),"")</f>
        <v/>
      </c>
      <c r="G180" s="200" t="str">
        <f>IFERROR(_xlfn.XLOOKUP($A180,Input_Raw!$A:$A,Input_Raw!$CY:$CY),"")</f>
        <v/>
      </c>
      <c r="H180" s="200" t="str">
        <f>IFERROR(_xlfn.XLOOKUP($A180,Input_Raw!$A:$A,Input_Raw!$DA:$DA),"")</f>
        <v/>
      </c>
      <c r="I180" s="200" t="str">
        <f>IFERROR(_xlfn.XLOOKUP($A180,Input_Raw!$A:$A,Input_Raw!$CX:$CX),"")</f>
        <v/>
      </c>
      <c r="J180" s="200" t="str">
        <f>IFERROR(_xlfn.XLOOKUP($A180,Input_Raw!$A:$A,Input_Raw!$CZ:$CZ),"")</f>
        <v/>
      </c>
      <c r="K180" s="201" t="str">
        <f>IFERROR(_xlfn.XLOOKUP($A180,Input_Raw!$A:$A,Input_Raw!$DB:$DB),"")</f>
        <v/>
      </c>
      <c r="L180" s="201" t="str">
        <f>IFERROR(_xlfn.XLOOKUP($A180,Input_Raw!$A:$A,Input_Raw!$DC:$DC),"")</f>
        <v/>
      </c>
      <c r="M180" s="200" t="str">
        <f>IFERROR(_xlfn.XLOOKUP($A180,Input_Raw!$A:$A,Input_Raw!$DF:$DF),"")</f>
        <v/>
      </c>
      <c r="N180" s="200" t="str">
        <f>IFERROR(_xlfn.XLOOKUP($A180,Input_Raw!$A:$A,Input_Raw!$DG:$DG),"")</f>
        <v/>
      </c>
      <c r="O180" s="230" t="str">
        <f>IFERROR(1-(SUMIF(Plant_BD!$B:$B,$A180,Plant_BD!$AL:$AL)/($AA180+SUMIF(Plant_BD!$B:$B,$A180,Plant_BD!$AL:$AL))),"")</f>
        <v/>
      </c>
      <c r="P180" s="230"/>
      <c r="Q180" s="231" t="str">
        <f>IFERROR(1-(SUMIF(Grid_BD!$B:$B,$A180,Grid_BD!$V:$V)/($AA180+SUMIF(Grid_BD!$B:$B,$A180,Grid_BD!$V:$V))),"")</f>
        <v/>
      </c>
      <c r="R180" s="230" t="str">
        <f>IFERROR(1-(SUMIF(Grid_BD!$B:$B,$A180,Grid_BD!$V:$V)/($AA180+SUMIF(Grid_BD!$B:$B,$A180,Grid_BD!$V:$V))),"")</f>
        <v/>
      </c>
      <c r="S180" s="9"/>
      <c r="T180" s="231"/>
      <c r="U180" s="232" t="str">
        <f t="shared" si="16"/>
        <v/>
      </c>
      <c r="V180" s="232" t="str">
        <f>IFERROR(_xlfn.XLOOKUP($A180,Input_Raw!$A:$A,Input_Raw!$FG:$FG),"")</f>
        <v/>
      </c>
      <c r="W180" s="233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85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33">
        <f>IFERROR(_xlfn.XLOOKUP($D180,'Modelling New'!$D:$D,'Modelling New'!O:O),"")</f>
        <v>0.84314233235469738</v>
      </c>
      <c r="AF180" s="233">
        <f>IFERROR(_xlfn.XLOOKUP($D180,'Modelling New'!$D:$D,'Modelling New'!W:W),"")</f>
        <v>0.17624016808247492</v>
      </c>
      <c r="AG180" s="233">
        <f>IFERROR(_xlfn.XLOOKUP($D180,'Modelling New'!$D:$D,'Modelling New'!AE:AE),"")</f>
        <v>0.995</v>
      </c>
      <c r="AH180" s="233">
        <f>IFERROR(_xlfn.XLOOKUP($D180,'Modelling New'!$D:$D,'Modelling New'!AF:AF),"")</f>
        <v>0.995</v>
      </c>
      <c r="AI180" s="9"/>
      <c r="AJ180" s="9"/>
      <c r="AK180" s="256"/>
      <c r="AL180" s="256"/>
      <c r="AM180" s="256"/>
      <c r="AN180" s="230"/>
      <c r="AO180" s="233"/>
      <c r="AP180" s="233"/>
      <c r="AQ180" s="233"/>
      <c r="AR180" s="234">
        <f>_xlfn.XLOOKUP(D180,'Modelling New'!$D:$D,'Modelling New'!$N:$N)</f>
        <v>130</v>
      </c>
      <c r="AS180" s="234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29">
        <f>Table13[[#This Row],[Date]]-DAY(Table13[[#This Row],[Date]])+1</f>
        <v>45901</v>
      </c>
      <c r="E181" s="9">
        <f t="shared" si="15"/>
        <v>30</v>
      </c>
      <c r="F181" s="199" t="str">
        <f>IFERROR(_xlfn.XLOOKUP($A181,Input_Raw!$A:$A,Input_Raw!$FC:$FC),"")</f>
        <v/>
      </c>
      <c r="G181" s="185" t="str">
        <f>IFERROR(_xlfn.XLOOKUP($A181,Input_Raw!$A:$A,Input_Raw!$CY:$CY),"")</f>
        <v/>
      </c>
      <c r="H181" s="185" t="str">
        <f>IFERROR(_xlfn.XLOOKUP($A181,Input_Raw!$A:$A,Input_Raw!$DA:$DA),"")</f>
        <v/>
      </c>
      <c r="I181" s="185" t="str">
        <f>IFERROR(_xlfn.XLOOKUP($A181,Input_Raw!$A:$A,Input_Raw!$CX:$CX),"")</f>
        <v/>
      </c>
      <c r="J181" s="185" t="str">
        <f>IFERROR(_xlfn.XLOOKUP($A181,Input_Raw!$A:$A,Input_Raw!$CZ:$CZ),"")</f>
        <v/>
      </c>
      <c r="K181" s="201" t="str">
        <f>IFERROR(_xlfn.XLOOKUP($A181,Input_Raw!$A:$A,Input_Raw!$DB:$DB),"")</f>
        <v/>
      </c>
      <c r="L181" s="201" t="str">
        <f>IFERROR(_xlfn.XLOOKUP($A181,Input_Raw!$A:$A,Input_Raw!$DC:$DC),"")</f>
        <v/>
      </c>
      <c r="M181" s="200" t="str">
        <f>IFERROR(_xlfn.XLOOKUP($A181,Input_Raw!$A:$A,Input_Raw!$DF:$DF),"")</f>
        <v/>
      </c>
      <c r="N181" s="200" t="str">
        <f>IFERROR(_xlfn.XLOOKUP($A181,Input_Raw!$A:$A,Input_Raw!$DG:$DG),"")</f>
        <v/>
      </c>
      <c r="O181" s="230" t="str">
        <f>IFERROR(1-(SUMIF(Plant_BD!$B:$B,$A181,Plant_BD!$AL:$AL)/($AA181+SUMIF(Plant_BD!$B:$B,$A181,Plant_BD!$AL:$AL))),"")</f>
        <v/>
      </c>
      <c r="P181" s="230"/>
      <c r="Q181" s="231" t="str">
        <f>IFERROR(1-(SUMIF(Grid_BD!$B:$B,$A181,Grid_BD!$V:$V)/($AA181+SUMIF(Grid_BD!$B:$B,$A181,Grid_BD!$V:$V))),"")</f>
        <v/>
      </c>
      <c r="R181" s="230" t="str">
        <f>IFERROR(1-(SUMIF(Grid_BD!$B:$B,$A181,Grid_BD!$V:$V)/($AA181+SUMIF(Grid_BD!$B:$B,$A181,Grid_BD!$V:$V))),"")</f>
        <v/>
      </c>
      <c r="S181" s="9"/>
      <c r="T181" s="231"/>
      <c r="U181" s="232" t="str">
        <f t="shared" si="16"/>
        <v/>
      </c>
      <c r="V181" s="232" t="str">
        <f>IFERROR(_xlfn.XLOOKUP($A181,Input_Raw!$A:$A,Input_Raw!$FG:$FG),"")</f>
        <v/>
      </c>
      <c r="W181" s="233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85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33">
        <f>IFERROR(_xlfn.XLOOKUP($D181,'Modelling New'!$D:$D,'Modelling New'!O:O),"")</f>
        <v>0.84314233235469738</v>
      </c>
      <c r="AF181" s="233">
        <f>IFERROR(_xlfn.XLOOKUP($D181,'Modelling New'!$D:$D,'Modelling New'!W:W),"")</f>
        <v>0.17624016808247492</v>
      </c>
      <c r="AG181" s="233">
        <f>IFERROR(_xlfn.XLOOKUP($D181,'Modelling New'!$D:$D,'Modelling New'!AE:AE),"")</f>
        <v>0.995</v>
      </c>
      <c r="AH181" s="233">
        <f>IFERROR(_xlfn.XLOOKUP($D181,'Modelling New'!$D:$D,'Modelling New'!AF:AF),"")</f>
        <v>0.995</v>
      </c>
      <c r="AI181" s="9"/>
      <c r="AJ181" s="9"/>
      <c r="AK181" s="256"/>
      <c r="AL181" s="256"/>
      <c r="AM181" s="256"/>
      <c r="AN181" s="230"/>
      <c r="AO181" s="233"/>
      <c r="AP181" s="233"/>
      <c r="AQ181" s="233"/>
      <c r="AR181" s="234">
        <f>_xlfn.XLOOKUP(D181,'Modelling New'!$D:$D,'Modelling New'!$N:$N)</f>
        <v>130</v>
      </c>
      <c r="AS181" s="234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29">
        <f>Table13[[#This Row],[Date]]-DAY(Table13[[#This Row],[Date]])+1</f>
        <v>45901</v>
      </c>
      <c r="E182" s="9">
        <f t="shared" si="15"/>
        <v>30</v>
      </c>
      <c r="F182" s="199" t="str">
        <f>IFERROR(_xlfn.XLOOKUP($A182,Input_Raw!$A:$A,Input_Raw!$FC:$FC),"")</f>
        <v/>
      </c>
      <c r="G182" s="200" t="str">
        <f>IFERROR(_xlfn.XLOOKUP($A182,Input_Raw!$A:$A,Input_Raw!$CY:$CY),"")</f>
        <v/>
      </c>
      <c r="H182" s="200" t="str">
        <f>IFERROR(_xlfn.XLOOKUP($A182,Input_Raw!$A:$A,Input_Raw!$DA:$DA),"")</f>
        <v/>
      </c>
      <c r="I182" s="200" t="str">
        <f>IFERROR(_xlfn.XLOOKUP($A182,Input_Raw!$A:$A,Input_Raw!$CX:$CX),"")</f>
        <v/>
      </c>
      <c r="J182" s="200" t="str">
        <f>IFERROR(_xlfn.XLOOKUP($A182,Input_Raw!$A:$A,Input_Raw!$CZ:$CZ),"")</f>
        <v/>
      </c>
      <c r="K182" s="201" t="str">
        <f>IFERROR(_xlfn.XLOOKUP($A182,Input_Raw!$A:$A,Input_Raw!$DB:$DB),"")</f>
        <v/>
      </c>
      <c r="L182" s="201" t="str">
        <f>IFERROR(_xlfn.XLOOKUP($A182,Input_Raw!$A:$A,Input_Raw!$DC:$DC),"")</f>
        <v/>
      </c>
      <c r="M182" s="200" t="str">
        <f>IFERROR(_xlfn.XLOOKUP($A182,Input_Raw!$A:$A,Input_Raw!$DF:$DF),"")</f>
        <v/>
      </c>
      <c r="N182" s="200" t="str">
        <f>IFERROR(_xlfn.XLOOKUP($A182,Input_Raw!$A:$A,Input_Raw!$DG:$DG),"")</f>
        <v/>
      </c>
      <c r="O182" s="230" t="str">
        <f>IFERROR(1-(SUMIF(Plant_BD!$B:$B,$A182,Plant_BD!$AL:$AL)/($AA182+SUMIF(Plant_BD!$B:$B,$A182,Plant_BD!$AL:$AL))),"")</f>
        <v/>
      </c>
      <c r="P182" s="230"/>
      <c r="Q182" s="231" t="str">
        <f>IFERROR(1-(SUMIF(Grid_BD!$B:$B,$A182,Grid_BD!$V:$V)/($AA182+SUMIF(Grid_BD!$B:$B,$A182,Grid_BD!$V:$V))),"")</f>
        <v/>
      </c>
      <c r="R182" s="230" t="str">
        <f>IFERROR(1-(SUMIF(Grid_BD!$B:$B,$A182,Grid_BD!$V:$V)/($AA182+SUMIF(Grid_BD!$B:$B,$A182,Grid_BD!$V:$V))),"")</f>
        <v/>
      </c>
      <c r="S182" s="9"/>
      <c r="T182" s="231"/>
      <c r="U182" s="232" t="str">
        <f t="shared" si="16"/>
        <v/>
      </c>
      <c r="V182" s="232" t="str">
        <f>IFERROR(_xlfn.XLOOKUP($A182,Input_Raw!$A:$A,Input_Raw!$FG:$FG),"")</f>
        <v/>
      </c>
      <c r="W182" s="233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85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33">
        <f>IFERROR(_xlfn.XLOOKUP($D182,'Modelling New'!$D:$D,'Modelling New'!O:O),"")</f>
        <v>0.84314233235469738</v>
      </c>
      <c r="AF182" s="233">
        <f>IFERROR(_xlfn.XLOOKUP($D182,'Modelling New'!$D:$D,'Modelling New'!W:W),"")</f>
        <v>0.17624016808247492</v>
      </c>
      <c r="AG182" s="233">
        <f>IFERROR(_xlfn.XLOOKUP($D182,'Modelling New'!$D:$D,'Modelling New'!AE:AE),"")</f>
        <v>0.995</v>
      </c>
      <c r="AH182" s="233">
        <f>IFERROR(_xlfn.XLOOKUP($D182,'Modelling New'!$D:$D,'Modelling New'!AF:AF),"")</f>
        <v>0.995</v>
      </c>
      <c r="AI182" s="9"/>
      <c r="AJ182" s="9"/>
      <c r="AK182" s="256"/>
      <c r="AL182" s="256"/>
      <c r="AM182" s="256"/>
      <c r="AN182" s="230"/>
      <c r="AO182" s="233"/>
      <c r="AP182" s="233"/>
      <c r="AQ182" s="233"/>
      <c r="AR182" s="234">
        <f>_xlfn.XLOOKUP(D182,'Modelling New'!$D:$D,'Modelling New'!$N:$N)</f>
        <v>130</v>
      </c>
      <c r="AS182" s="234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29">
        <f>Table13[[#This Row],[Date]]-DAY(Table13[[#This Row],[Date]])+1</f>
        <v>45901</v>
      </c>
      <c r="E183" s="9">
        <f t="shared" si="15"/>
        <v>30</v>
      </c>
      <c r="F183" s="199" t="str">
        <f>IFERROR(_xlfn.XLOOKUP($A183,Input_Raw!$A:$A,Input_Raw!$FC:$FC),"")</f>
        <v/>
      </c>
      <c r="G183" s="185" t="str">
        <f>IFERROR(_xlfn.XLOOKUP($A183,Input_Raw!$A:$A,Input_Raw!$CY:$CY),"")</f>
        <v/>
      </c>
      <c r="H183" s="185" t="str">
        <f>IFERROR(_xlfn.XLOOKUP($A183,Input_Raw!$A:$A,Input_Raw!$DA:$DA),"")</f>
        <v/>
      </c>
      <c r="I183" s="185" t="str">
        <f>IFERROR(_xlfn.XLOOKUP($A183,Input_Raw!$A:$A,Input_Raw!$CX:$CX),"")</f>
        <v/>
      </c>
      <c r="J183" s="185" t="str">
        <f>IFERROR(_xlfn.XLOOKUP($A183,Input_Raw!$A:$A,Input_Raw!$CZ:$CZ),"")</f>
        <v/>
      </c>
      <c r="K183" s="201" t="str">
        <f>IFERROR(_xlfn.XLOOKUP($A183,Input_Raw!$A:$A,Input_Raw!$DB:$DB),"")</f>
        <v/>
      </c>
      <c r="L183" s="201" t="str">
        <f>IFERROR(_xlfn.XLOOKUP($A183,Input_Raw!$A:$A,Input_Raw!$DC:$DC),"")</f>
        <v/>
      </c>
      <c r="M183" s="200" t="str">
        <f>IFERROR(_xlfn.XLOOKUP($A183,Input_Raw!$A:$A,Input_Raw!$DF:$DF),"")</f>
        <v/>
      </c>
      <c r="N183" s="200" t="str">
        <f>IFERROR(_xlfn.XLOOKUP($A183,Input_Raw!$A:$A,Input_Raw!$DG:$DG),"")</f>
        <v/>
      </c>
      <c r="O183" s="230" t="str">
        <f>IFERROR(1-(SUMIF(Plant_BD!$B:$B,$A183,Plant_BD!$AL:$AL)/($AA183+SUMIF(Plant_BD!$B:$B,$A183,Plant_BD!$AL:$AL))),"")</f>
        <v/>
      </c>
      <c r="P183" s="230"/>
      <c r="Q183" s="231" t="str">
        <f>IFERROR(1-(SUMIF(Grid_BD!$B:$B,$A183,Grid_BD!$V:$V)/($AA183+SUMIF(Grid_BD!$B:$B,$A183,Grid_BD!$V:$V))),"")</f>
        <v/>
      </c>
      <c r="R183" s="230" t="str">
        <f>IFERROR(1-(SUMIF(Grid_BD!$B:$B,$A183,Grid_BD!$V:$V)/($AA183+SUMIF(Grid_BD!$B:$B,$A183,Grid_BD!$V:$V))),"")</f>
        <v/>
      </c>
      <c r="S183" s="9"/>
      <c r="T183" s="231"/>
      <c r="U183" s="232" t="str">
        <f t="shared" si="16"/>
        <v/>
      </c>
      <c r="V183" s="232" t="str">
        <f>IFERROR(_xlfn.XLOOKUP($A183,Input_Raw!$A:$A,Input_Raw!$FG:$FG),"")</f>
        <v/>
      </c>
      <c r="W183" s="233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85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33">
        <f>IFERROR(_xlfn.XLOOKUP($D183,'Modelling New'!$D:$D,'Modelling New'!O:O),"")</f>
        <v>0.84314233235469738</v>
      </c>
      <c r="AF183" s="233">
        <f>IFERROR(_xlfn.XLOOKUP($D183,'Modelling New'!$D:$D,'Modelling New'!W:W),"")</f>
        <v>0.17624016808247492</v>
      </c>
      <c r="AG183" s="233">
        <f>IFERROR(_xlfn.XLOOKUP($D183,'Modelling New'!$D:$D,'Modelling New'!AE:AE),"")</f>
        <v>0.995</v>
      </c>
      <c r="AH183" s="233">
        <f>IFERROR(_xlfn.XLOOKUP($D183,'Modelling New'!$D:$D,'Modelling New'!AF:AF),"")</f>
        <v>0.995</v>
      </c>
      <c r="AI183" s="9"/>
      <c r="AJ183" s="9"/>
      <c r="AK183" s="256"/>
      <c r="AL183" s="256"/>
      <c r="AM183" s="256"/>
      <c r="AN183" s="230"/>
      <c r="AO183" s="233"/>
      <c r="AP183" s="233"/>
      <c r="AQ183" s="233"/>
      <c r="AR183" s="234">
        <f>_xlfn.XLOOKUP(D183,'Modelling New'!$D:$D,'Modelling New'!$N:$N)</f>
        <v>130</v>
      </c>
      <c r="AS183" s="234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29">
        <f>Table13[[#This Row],[Date]]-DAY(Table13[[#This Row],[Date]])+1</f>
        <v>45901</v>
      </c>
      <c r="E184" s="9">
        <f t="shared" si="15"/>
        <v>30</v>
      </c>
      <c r="F184" s="199" t="str">
        <f>IFERROR(_xlfn.XLOOKUP($A184,Input_Raw!$A:$A,Input_Raw!$FC:$FC),"")</f>
        <v/>
      </c>
      <c r="G184" s="200" t="str">
        <f>IFERROR(_xlfn.XLOOKUP($A184,Input_Raw!$A:$A,Input_Raw!$CY:$CY),"")</f>
        <v/>
      </c>
      <c r="H184" s="200" t="str">
        <f>IFERROR(_xlfn.XLOOKUP($A184,Input_Raw!$A:$A,Input_Raw!$DA:$DA),"")</f>
        <v/>
      </c>
      <c r="I184" s="200" t="str">
        <f>IFERROR(_xlfn.XLOOKUP($A184,Input_Raw!$A:$A,Input_Raw!$CX:$CX),"")</f>
        <v/>
      </c>
      <c r="J184" s="200" t="str">
        <f>IFERROR(_xlfn.XLOOKUP($A184,Input_Raw!$A:$A,Input_Raw!$CZ:$CZ),"")</f>
        <v/>
      </c>
      <c r="K184" s="201" t="str">
        <f>IFERROR(_xlfn.XLOOKUP($A184,Input_Raw!$A:$A,Input_Raw!$DB:$DB),"")</f>
        <v/>
      </c>
      <c r="L184" s="201" t="str">
        <f>IFERROR(_xlfn.XLOOKUP($A184,Input_Raw!$A:$A,Input_Raw!$DC:$DC),"")</f>
        <v/>
      </c>
      <c r="M184" s="200" t="str">
        <f>IFERROR(_xlfn.XLOOKUP($A184,Input_Raw!$A:$A,Input_Raw!$DF:$DF),"")</f>
        <v/>
      </c>
      <c r="N184" s="200" t="str">
        <f>IFERROR(_xlfn.XLOOKUP($A184,Input_Raw!$A:$A,Input_Raw!$DG:$DG),"")</f>
        <v/>
      </c>
      <c r="O184" s="230" t="str">
        <f>IFERROR(1-(SUMIF(Plant_BD!$B:$B,$A184,Plant_BD!$AL:$AL)/($AA184+SUMIF(Plant_BD!$B:$B,$A184,Plant_BD!$AL:$AL))),"")</f>
        <v/>
      </c>
      <c r="P184" s="230"/>
      <c r="Q184" s="231" t="str">
        <f>IFERROR(1-(SUMIF(Grid_BD!$B:$B,$A184,Grid_BD!$V:$V)/($AA184+SUMIF(Grid_BD!$B:$B,$A184,Grid_BD!$V:$V))),"")</f>
        <v/>
      </c>
      <c r="R184" s="230" t="str">
        <f>IFERROR(1-(SUMIF(Grid_BD!$B:$B,$A184,Grid_BD!$V:$V)/($AA184+SUMIF(Grid_BD!$B:$B,$A184,Grid_BD!$V:$V))),"")</f>
        <v/>
      </c>
      <c r="S184" s="9"/>
      <c r="T184" s="231"/>
      <c r="U184" s="232" t="str">
        <f t="shared" si="16"/>
        <v/>
      </c>
      <c r="V184" s="232" t="str">
        <f>IFERROR(_xlfn.XLOOKUP($A184,Input_Raw!$A:$A,Input_Raw!$FG:$FG),"")</f>
        <v/>
      </c>
      <c r="W184" s="233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85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33">
        <f>IFERROR(_xlfn.XLOOKUP($D184,'Modelling New'!$D:$D,'Modelling New'!O:O),"")</f>
        <v>0.84314233235469738</v>
      </c>
      <c r="AF184" s="233">
        <f>IFERROR(_xlfn.XLOOKUP($D184,'Modelling New'!$D:$D,'Modelling New'!W:W),"")</f>
        <v>0.17624016808247492</v>
      </c>
      <c r="AG184" s="233">
        <f>IFERROR(_xlfn.XLOOKUP($D184,'Modelling New'!$D:$D,'Modelling New'!AE:AE),"")</f>
        <v>0.995</v>
      </c>
      <c r="AH184" s="233">
        <f>IFERROR(_xlfn.XLOOKUP($D184,'Modelling New'!$D:$D,'Modelling New'!AF:AF),"")</f>
        <v>0.995</v>
      </c>
      <c r="AI184" s="9"/>
      <c r="AJ184" s="9"/>
      <c r="AK184" s="256"/>
      <c r="AL184" s="256"/>
      <c r="AM184" s="256"/>
      <c r="AN184" s="230"/>
      <c r="AO184" s="233"/>
      <c r="AP184" s="233"/>
      <c r="AQ184" s="233"/>
      <c r="AR184" s="234">
        <f>_xlfn.XLOOKUP(D184,'Modelling New'!$D:$D,'Modelling New'!$N:$N)</f>
        <v>130</v>
      </c>
      <c r="AS184" s="234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29">
        <f>Table13[[#This Row],[Date]]-DAY(Table13[[#This Row],[Date]])+1</f>
        <v>45901</v>
      </c>
      <c r="E185" s="9">
        <f t="shared" si="15"/>
        <v>30</v>
      </c>
      <c r="F185" s="199" t="str">
        <f>IFERROR(_xlfn.XLOOKUP($A185,Input_Raw!$A:$A,Input_Raw!$FC:$FC),"")</f>
        <v/>
      </c>
      <c r="G185" s="185" t="str">
        <f>IFERROR(_xlfn.XLOOKUP($A185,Input_Raw!$A:$A,Input_Raw!$CY:$CY),"")</f>
        <v/>
      </c>
      <c r="H185" s="185" t="str">
        <f>IFERROR(_xlfn.XLOOKUP($A185,Input_Raw!$A:$A,Input_Raw!$DA:$DA),"")</f>
        <v/>
      </c>
      <c r="I185" s="185" t="str">
        <f>IFERROR(_xlfn.XLOOKUP($A185,Input_Raw!$A:$A,Input_Raw!$CX:$CX),"")</f>
        <v/>
      </c>
      <c r="J185" s="185" t="str">
        <f>IFERROR(_xlfn.XLOOKUP($A185,Input_Raw!$A:$A,Input_Raw!$CZ:$CZ),"")</f>
        <v/>
      </c>
      <c r="K185" s="201" t="str">
        <f>IFERROR(_xlfn.XLOOKUP($A185,Input_Raw!$A:$A,Input_Raw!$DB:$DB),"")</f>
        <v/>
      </c>
      <c r="L185" s="201" t="str">
        <f>IFERROR(_xlfn.XLOOKUP($A185,Input_Raw!$A:$A,Input_Raw!$DC:$DC),"")</f>
        <v/>
      </c>
      <c r="M185" s="200" t="str">
        <f>IFERROR(_xlfn.XLOOKUP($A185,Input_Raw!$A:$A,Input_Raw!$DF:$DF),"")</f>
        <v/>
      </c>
      <c r="N185" s="200" t="str">
        <f>IFERROR(_xlfn.XLOOKUP($A185,Input_Raw!$A:$A,Input_Raw!$DG:$DG),"")</f>
        <v/>
      </c>
      <c r="O185" s="230" t="str">
        <f>IFERROR(1-(SUMIF(Plant_BD!$B:$B,$A185,Plant_BD!$AL:$AL)/($AA185+SUMIF(Plant_BD!$B:$B,$A185,Plant_BD!$AL:$AL))),"")</f>
        <v/>
      </c>
      <c r="P185" s="230"/>
      <c r="Q185" s="231" t="str">
        <f>IFERROR(1-(SUMIF(Grid_BD!$B:$B,$A185,Grid_BD!$V:$V)/($AA185+SUMIF(Grid_BD!$B:$B,$A185,Grid_BD!$V:$V))),"")</f>
        <v/>
      </c>
      <c r="R185" s="230" t="str">
        <f>IFERROR(1-(SUMIF(Grid_BD!$B:$B,$A185,Grid_BD!$V:$V)/($AA185+SUMIF(Grid_BD!$B:$B,$A185,Grid_BD!$V:$V))),"")</f>
        <v/>
      </c>
      <c r="S185" s="9"/>
      <c r="T185" s="231"/>
      <c r="U185" s="232" t="str">
        <f t="shared" si="16"/>
        <v/>
      </c>
      <c r="V185" s="232" t="str">
        <f>IFERROR(_xlfn.XLOOKUP($A185,Input_Raw!$A:$A,Input_Raw!$FG:$FG),"")</f>
        <v/>
      </c>
      <c r="W185" s="233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85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33">
        <f>IFERROR(_xlfn.XLOOKUP($D185,'Modelling New'!$D:$D,'Modelling New'!O:O),"")</f>
        <v>0.84314233235469738</v>
      </c>
      <c r="AF185" s="233">
        <f>IFERROR(_xlfn.XLOOKUP($D185,'Modelling New'!$D:$D,'Modelling New'!W:W),"")</f>
        <v>0.17624016808247492</v>
      </c>
      <c r="AG185" s="233">
        <f>IFERROR(_xlfn.XLOOKUP($D185,'Modelling New'!$D:$D,'Modelling New'!AE:AE),"")</f>
        <v>0.995</v>
      </c>
      <c r="AH185" s="233">
        <f>IFERROR(_xlfn.XLOOKUP($D185,'Modelling New'!$D:$D,'Modelling New'!AF:AF),"")</f>
        <v>0.995</v>
      </c>
      <c r="AI185" s="9"/>
      <c r="AJ185" s="9"/>
      <c r="AK185" s="256"/>
      <c r="AL185" s="256"/>
      <c r="AM185" s="256"/>
      <c r="AN185" s="230"/>
      <c r="AO185" s="233"/>
      <c r="AP185" s="233"/>
      <c r="AQ185" s="233"/>
      <c r="AR185" s="234">
        <f>_xlfn.XLOOKUP(D185,'Modelling New'!$D:$D,'Modelling New'!$N:$N)</f>
        <v>130</v>
      </c>
      <c r="AS185" s="234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29">
        <f>Table13[[#This Row],[Date]]-DAY(Table13[[#This Row],[Date]])+1</f>
        <v>45901</v>
      </c>
      <c r="E186" s="9">
        <f t="shared" si="15"/>
        <v>30</v>
      </c>
      <c r="F186" s="199" t="str">
        <f>IFERROR(_xlfn.XLOOKUP($A186,Input_Raw!$A:$A,Input_Raw!$FC:$FC),"")</f>
        <v/>
      </c>
      <c r="G186" s="200" t="str">
        <f>IFERROR(_xlfn.XLOOKUP($A186,Input_Raw!$A:$A,Input_Raw!$CY:$CY),"")</f>
        <v/>
      </c>
      <c r="H186" s="200" t="str">
        <f>IFERROR(_xlfn.XLOOKUP($A186,Input_Raw!$A:$A,Input_Raw!$DA:$DA),"")</f>
        <v/>
      </c>
      <c r="I186" s="200" t="str">
        <f>IFERROR(_xlfn.XLOOKUP($A186,Input_Raw!$A:$A,Input_Raw!$CX:$CX),"")</f>
        <v/>
      </c>
      <c r="J186" s="200" t="str">
        <f>IFERROR(_xlfn.XLOOKUP($A186,Input_Raw!$A:$A,Input_Raw!$CZ:$CZ),"")</f>
        <v/>
      </c>
      <c r="K186" s="201" t="str">
        <f>IFERROR(_xlfn.XLOOKUP($A186,Input_Raw!$A:$A,Input_Raw!$DB:$DB),"")</f>
        <v/>
      </c>
      <c r="L186" s="201" t="str">
        <f>IFERROR(_xlfn.XLOOKUP($A186,Input_Raw!$A:$A,Input_Raw!$DC:$DC),"")</f>
        <v/>
      </c>
      <c r="M186" s="200" t="str">
        <f>IFERROR(_xlfn.XLOOKUP($A186,Input_Raw!$A:$A,Input_Raw!$DF:$DF),"")</f>
        <v/>
      </c>
      <c r="N186" s="200" t="str">
        <f>IFERROR(_xlfn.XLOOKUP($A186,Input_Raw!$A:$A,Input_Raw!$DG:$DG),"")</f>
        <v/>
      </c>
      <c r="O186" s="230" t="str">
        <f>IFERROR(1-(SUMIF(Plant_BD!$B:$B,$A186,Plant_BD!$AL:$AL)/($AA186+SUMIF(Plant_BD!$B:$B,$A186,Plant_BD!$AL:$AL))),"")</f>
        <v/>
      </c>
      <c r="P186" s="230"/>
      <c r="Q186" s="231" t="str">
        <f>IFERROR(1-(SUMIF(Grid_BD!$B:$B,$A186,Grid_BD!$V:$V)/($AA186+SUMIF(Grid_BD!$B:$B,$A186,Grid_BD!$V:$V))),"")</f>
        <v/>
      </c>
      <c r="R186" s="230" t="str">
        <f>IFERROR(1-(SUMIF(Grid_BD!$B:$B,$A186,Grid_BD!$V:$V)/($AA186+SUMIF(Grid_BD!$B:$B,$A186,Grid_BD!$V:$V))),"")</f>
        <v/>
      </c>
      <c r="S186" s="9"/>
      <c r="T186" s="231"/>
      <c r="U186" s="232" t="str">
        <f t="shared" si="16"/>
        <v/>
      </c>
      <c r="V186" s="232" t="str">
        <f>IFERROR(_xlfn.XLOOKUP($A186,Input_Raw!$A:$A,Input_Raw!$FG:$FG),"")</f>
        <v/>
      </c>
      <c r="W186" s="233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85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33">
        <f>IFERROR(_xlfn.XLOOKUP($D186,'Modelling New'!$D:$D,'Modelling New'!O:O),"")</f>
        <v>0.84314233235469738</v>
      </c>
      <c r="AF186" s="233">
        <f>IFERROR(_xlfn.XLOOKUP($D186,'Modelling New'!$D:$D,'Modelling New'!W:W),"")</f>
        <v>0.17624016808247492</v>
      </c>
      <c r="AG186" s="233">
        <f>IFERROR(_xlfn.XLOOKUP($D186,'Modelling New'!$D:$D,'Modelling New'!AE:AE),"")</f>
        <v>0.995</v>
      </c>
      <c r="AH186" s="233">
        <f>IFERROR(_xlfn.XLOOKUP($D186,'Modelling New'!$D:$D,'Modelling New'!AF:AF),"")</f>
        <v>0.995</v>
      </c>
      <c r="AI186" s="9"/>
      <c r="AJ186" s="9"/>
      <c r="AK186" s="256"/>
      <c r="AL186" s="256"/>
      <c r="AM186" s="256"/>
      <c r="AN186" s="230"/>
      <c r="AO186" s="233"/>
      <c r="AP186" s="233"/>
      <c r="AQ186" s="233"/>
      <c r="AR186" s="234">
        <f>_xlfn.XLOOKUP(D186,'Modelling New'!$D:$D,'Modelling New'!$N:$N)</f>
        <v>130</v>
      </c>
      <c r="AS186" s="234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29">
        <f>Table13[[#This Row],[Date]]-DAY(Table13[[#This Row],[Date]])+1</f>
        <v>45901</v>
      </c>
      <c r="E187" s="9">
        <f t="shared" si="15"/>
        <v>30</v>
      </c>
      <c r="F187" s="199" t="str">
        <f>IFERROR(_xlfn.XLOOKUP($A187,Input_Raw!$A:$A,Input_Raw!$FC:$FC),"")</f>
        <v/>
      </c>
      <c r="G187" s="185" t="str">
        <f>IFERROR(_xlfn.XLOOKUP($A187,Input_Raw!$A:$A,Input_Raw!$CY:$CY),"")</f>
        <v/>
      </c>
      <c r="H187" s="185" t="str">
        <f>IFERROR(_xlfn.XLOOKUP($A187,Input_Raw!$A:$A,Input_Raw!$DA:$DA),"")</f>
        <v/>
      </c>
      <c r="I187" s="185" t="str">
        <f>IFERROR(_xlfn.XLOOKUP($A187,Input_Raw!$A:$A,Input_Raw!$CX:$CX),"")</f>
        <v/>
      </c>
      <c r="J187" s="185" t="str">
        <f>IFERROR(_xlfn.XLOOKUP($A187,Input_Raw!$A:$A,Input_Raw!$CZ:$CZ),"")</f>
        <v/>
      </c>
      <c r="K187" s="201" t="str">
        <f>IFERROR(_xlfn.XLOOKUP($A187,Input_Raw!$A:$A,Input_Raw!$DB:$DB),"")</f>
        <v/>
      </c>
      <c r="L187" s="201" t="str">
        <f>IFERROR(_xlfn.XLOOKUP($A187,Input_Raw!$A:$A,Input_Raw!$DC:$DC),"")</f>
        <v/>
      </c>
      <c r="M187" s="200" t="str">
        <f>IFERROR(_xlfn.XLOOKUP($A187,Input_Raw!$A:$A,Input_Raw!$DF:$DF),"")</f>
        <v/>
      </c>
      <c r="N187" s="200" t="str">
        <f>IFERROR(_xlfn.XLOOKUP($A187,Input_Raw!$A:$A,Input_Raw!$DG:$DG),"")</f>
        <v/>
      </c>
      <c r="O187" s="230" t="str">
        <f>IFERROR(1-(SUMIF(Plant_BD!$B:$B,$A187,Plant_BD!$AL:$AL)/($AA187+SUMIF(Plant_BD!$B:$B,$A187,Plant_BD!$AL:$AL))),"")</f>
        <v/>
      </c>
      <c r="P187" s="230"/>
      <c r="Q187" s="231" t="str">
        <f>IFERROR(1-(SUMIF(Grid_BD!$B:$B,$A187,Grid_BD!$V:$V)/($AA187+SUMIF(Grid_BD!$B:$B,$A187,Grid_BD!$V:$V))),"")</f>
        <v/>
      </c>
      <c r="R187" s="230" t="str">
        <f>IFERROR(1-(SUMIF(Grid_BD!$B:$B,$A187,Grid_BD!$V:$V)/($AA187+SUMIF(Grid_BD!$B:$B,$A187,Grid_BD!$V:$V))),"")</f>
        <v/>
      </c>
      <c r="S187" s="9"/>
      <c r="T187" s="231"/>
      <c r="U187" s="232" t="str">
        <f t="shared" si="16"/>
        <v/>
      </c>
      <c r="V187" s="232" t="str">
        <f>IFERROR(_xlfn.XLOOKUP($A187,Input_Raw!$A:$A,Input_Raw!$FG:$FG),"")</f>
        <v/>
      </c>
      <c r="W187" s="233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85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33">
        <f>IFERROR(_xlfn.XLOOKUP($D187,'Modelling New'!$D:$D,'Modelling New'!O:O),"")</f>
        <v>0.84314233235469738</v>
      </c>
      <c r="AF187" s="233">
        <f>IFERROR(_xlfn.XLOOKUP($D187,'Modelling New'!$D:$D,'Modelling New'!W:W),"")</f>
        <v>0.17624016808247492</v>
      </c>
      <c r="AG187" s="233">
        <f>IFERROR(_xlfn.XLOOKUP($D187,'Modelling New'!$D:$D,'Modelling New'!AE:AE),"")</f>
        <v>0.995</v>
      </c>
      <c r="AH187" s="233">
        <f>IFERROR(_xlfn.XLOOKUP($D187,'Modelling New'!$D:$D,'Modelling New'!AF:AF),"")</f>
        <v>0.995</v>
      </c>
      <c r="AI187" s="9"/>
      <c r="AJ187" s="9"/>
      <c r="AK187" s="256"/>
      <c r="AL187" s="256"/>
      <c r="AM187" s="256"/>
      <c r="AN187" s="230"/>
      <c r="AO187" s="233"/>
      <c r="AP187" s="233"/>
      <c r="AQ187" s="233"/>
      <c r="AR187" s="234">
        <f>_xlfn.XLOOKUP(D187,'Modelling New'!$D:$D,'Modelling New'!$N:$N)</f>
        <v>130</v>
      </c>
      <c r="AS187" s="234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29">
        <f>Table13[[#This Row],[Date]]-DAY(Table13[[#This Row],[Date]])+1</f>
        <v>45931</v>
      </c>
      <c r="E188" s="9">
        <f t="shared" si="15"/>
        <v>31</v>
      </c>
      <c r="F188" s="199" t="str">
        <f>IFERROR(_xlfn.XLOOKUP($A188,Input_Raw!$A:$A,Input_Raw!$FC:$FC),"")</f>
        <v/>
      </c>
      <c r="G188" s="200" t="str">
        <f>IFERROR(_xlfn.XLOOKUP($A188,Input_Raw!$A:$A,Input_Raw!$CY:$CY),"")</f>
        <v/>
      </c>
      <c r="H188" s="200" t="str">
        <f>IFERROR(_xlfn.XLOOKUP($A188,Input_Raw!$A:$A,Input_Raw!$DA:$DA),"")</f>
        <v/>
      </c>
      <c r="I188" s="200" t="str">
        <f>IFERROR(_xlfn.XLOOKUP($A188,Input_Raw!$A:$A,Input_Raw!$CX:$CX),"")</f>
        <v/>
      </c>
      <c r="J188" s="200" t="str">
        <f>IFERROR(_xlfn.XLOOKUP($A188,Input_Raw!$A:$A,Input_Raw!$CZ:$CZ),"")</f>
        <v/>
      </c>
      <c r="K188" s="201" t="str">
        <f>IFERROR(_xlfn.XLOOKUP($A188,Input_Raw!$A:$A,Input_Raw!$DB:$DB),"")</f>
        <v/>
      </c>
      <c r="L188" s="201" t="str">
        <f>IFERROR(_xlfn.XLOOKUP($A188,Input_Raw!$A:$A,Input_Raw!$DC:$DC),"")</f>
        <v/>
      </c>
      <c r="M188" s="200" t="str">
        <f>IFERROR(_xlfn.XLOOKUP($A188,Input_Raw!$A:$A,Input_Raw!$DF:$DF),"")</f>
        <v/>
      </c>
      <c r="N188" s="200" t="str">
        <f>IFERROR(_xlfn.XLOOKUP($A188,Input_Raw!$A:$A,Input_Raw!$DG:$DG),"")</f>
        <v/>
      </c>
      <c r="O188" s="230" t="str">
        <f>IFERROR(1-(SUMIF(Plant_BD!$B:$B,$A188,Plant_BD!$AL:$AL)/($AA188+SUMIF(Plant_BD!$B:$B,$A188,Plant_BD!$AL:$AL))),"")</f>
        <v/>
      </c>
      <c r="P188" s="230"/>
      <c r="Q188" s="231" t="str">
        <f>IFERROR(1-(SUMIF(Grid_BD!$B:$B,$A188,Grid_BD!$V:$V)/($AA188+SUMIF(Grid_BD!$B:$B,$A188,Grid_BD!$V:$V))),"")</f>
        <v/>
      </c>
      <c r="R188" s="230" t="str">
        <f>IFERROR(1-(SUMIF(Grid_BD!$B:$B,$A188,Grid_BD!$V:$V)/($AA188+SUMIF(Grid_BD!$B:$B,$A188,Grid_BD!$V:$V))),"")</f>
        <v/>
      </c>
      <c r="S188" s="9"/>
      <c r="T188" s="231"/>
      <c r="U188" s="232" t="str">
        <f t="shared" si="16"/>
        <v/>
      </c>
      <c r="V188" s="232" t="str">
        <f>IFERROR(_xlfn.XLOOKUP($A188,Input_Raw!$A:$A,Input_Raw!$FG:$FG),"")</f>
        <v/>
      </c>
      <c r="W188" s="233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85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33">
        <f>IFERROR(_xlfn.XLOOKUP($D188,'Modelling New'!$D:$D,'Modelling New'!O:O),"")</f>
        <v>0.83889907823519261</v>
      </c>
      <c r="AF188" s="233">
        <f>IFERROR(_xlfn.XLOOKUP($D188,'Modelling New'!$D:$D,'Modelling New'!W:W),"")</f>
        <v>0.20363598592644594</v>
      </c>
      <c r="AG188" s="233">
        <f>IFERROR(_xlfn.XLOOKUP($D188,'Modelling New'!$D:$D,'Modelling New'!AE:AE),"")</f>
        <v>0.995</v>
      </c>
      <c r="AH188" s="233">
        <f>IFERROR(_xlfn.XLOOKUP($D188,'Modelling New'!$D:$D,'Modelling New'!AF:AF),"")</f>
        <v>0.995</v>
      </c>
      <c r="AI188" s="9"/>
      <c r="AJ188" s="9"/>
      <c r="AK188" s="256"/>
      <c r="AL188" s="256"/>
      <c r="AM188" s="256"/>
      <c r="AN188" s="230"/>
      <c r="AO188" s="233"/>
      <c r="AP188" s="233"/>
      <c r="AQ188" s="233"/>
      <c r="AR188" s="234">
        <f>_xlfn.XLOOKUP(D188,'Modelling New'!$D:$D,'Modelling New'!$N:$N)</f>
        <v>130</v>
      </c>
      <c r="AS188" s="234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29">
        <f>Table13[[#This Row],[Date]]-DAY(Table13[[#This Row],[Date]])+1</f>
        <v>45931</v>
      </c>
      <c r="E189" s="9">
        <f t="shared" si="15"/>
        <v>31</v>
      </c>
      <c r="F189" s="199" t="str">
        <f>IFERROR(_xlfn.XLOOKUP($A189,Input_Raw!$A:$A,Input_Raw!$FC:$FC),"")</f>
        <v/>
      </c>
      <c r="G189" s="185" t="str">
        <f>IFERROR(_xlfn.XLOOKUP($A189,Input_Raw!$A:$A,Input_Raw!$CY:$CY),"")</f>
        <v/>
      </c>
      <c r="H189" s="185" t="str">
        <f>IFERROR(_xlfn.XLOOKUP($A189,Input_Raw!$A:$A,Input_Raw!$DA:$DA),"")</f>
        <v/>
      </c>
      <c r="I189" s="185" t="str">
        <f>IFERROR(_xlfn.XLOOKUP($A189,Input_Raw!$A:$A,Input_Raw!$CX:$CX),"")</f>
        <v/>
      </c>
      <c r="J189" s="185" t="str">
        <f>IFERROR(_xlfn.XLOOKUP($A189,Input_Raw!$A:$A,Input_Raw!$CZ:$CZ),"")</f>
        <v/>
      </c>
      <c r="K189" s="201" t="str">
        <f>IFERROR(_xlfn.XLOOKUP($A189,Input_Raw!$A:$A,Input_Raw!$DB:$DB),"")</f>
        <v/>
      </c>
      <c r="L189" s="201" t="str">
        <f>IFERROR(_xlfn.XLOOKUP($A189,Input_Raw!$A:$A,Input_Raw!$DC:$DC),"")</f>
        <v/>
      </c>
      <c r="M189" s="200" t="str">
        <f>IFERROR(_xlfn.XLOOKUP($A189,Input_Raw!$A:$A,Input_Raw!$DF:$DF),"")</f>
        <v/>
      </c>
      <c r="N189" s="200" t="str">
        <f>IFERROR(_xlfn.XLOOKUP($A189,Input_Raw!$A:$A,Input_Raw!$DG:$DG),"")</f>
        <v/>
      </c>
      <c r="O189" s="230" t="str">
        <f>IFERROR(1-(SUMIF(Plant_BD!$B:$B,$A189,Plant_BD!$AL:$AL)/($AA189+SUMIF(Plant_BD!$B:$B,$A189,Plant_BD!$AL:$AL))),"")</f>
        <v/>
      </c>
      <c r="P189" s="230"/>
      <c r="Q189" s="231" t="str">
        <f>IFERROR(1-(SUMIF(Grid_BD!$B:$B,$A189,Grid_BD!$V:$V)/($AA189+SUMIF(Grid_BD!$B:$B,$A189,Grid_BD!$V:$V))),"")</f>
        <v/>
      </c>
      <c r="R189" s="230" t="str">
        <f>IFERROR(1-(SUMIF(Grid_BD!$B:$B,$A189,Grid_BD!$V:$V)/($AA189+SUMIF(Grid_BD!$B:$B,$A189,Grid_BD!$V:$V))),"")</f>
        <v/>
      </c>
      <c r="S189" s="9"/>
      <c r="T189" s="231"/>
      <c r="U189" s="232" t="str">
        <f t="shared" si="16"/>
        <v/>
      </c>
      <c r="V189" s="232" t="str">
        <f>IFERROR(_xlfn.XLOOKUP($A189,Input_Raw!$A:$A,Input_Raw!$FG:$FG),"")</f>
        <v/>
      </c>
      <c r="W189" s="233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85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33">
        <f>IFERROR(_xlfn.XLOOKUP($D189,'Modelling New'!$D:$D,'Modelling New'!O:O),"")</f>
        <v>0.83889907823519261</v>
      </c>
      <c r="AF189" s="233">
        <f>IFERROR(_xlfn.XLOOKUP($D189,'Modelling New'!$D:$D,'Modelling New'!W:W),"")</f>
        <v>0.20363598592644594</v>
      </c>
      <c r="AG189" s="233">
        <f>IFERROR(_xlfn.XLOOKUP($D189,'Modelling New'!$D:$D,'Modelling New'!AE:AE),"")</f>
        <v>0.995</v>
      </c>
      <c r="AH189" s="233">
        <f>IFERROR(_xlfn.XLOOKUP($D189,'Modelling New'!$D:$D,'Modelling New'!AF:AF),"")</f>
        <v>0.995</v>
      </c>
      <c r="AI189" s="9"/>
      <c r="AJ189" s="9"/>
      <c r="AK189" s="256"/>
      <c r="AL189" s="256"/>
      <c r="AM189" s="256"/>
      <c r="AN189" s="230"/>
      <c r="AO189" s="233"/>
      <c r="AP189" s="233"/>
      <c r="AQ189" s="233"/>
      <c r="AR189" s="234">
        <f>_xlfn.XLOOKUP(D189,'Modelling New'!$D:$D,'Modelling New'!$N:$N)</f>
        <v>130</v>
      </c>
      <c r="AS189" s="234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29">
        <f>Table13[[#This Row],[Date]]-DAY(Table13[[#This Row],[Date]])+1</f>
        <v>45931</v>
      </c>
      <c r="E190" s="9">
        <f t="shared" si="15"/>
        <v>31</v>
      </c>
      <c r="F190" s="199" t="str">
        <f>IFERROR(_xlfn.XLOOKUP($A190,Input_Raw!$A:$A,Input_Raw!$FC:$FC),"")</f>
        <v/>
      </c>
      <c r="G190" s="200" t="str">
        <f>IFERROR(_xlfn.XLOOKUP($A190,Input_Raw!$A:$A,Input_Raw!$CY:$CY),"")</f>
        <v/>
      </c>
      <c r="H190" s="200" t="str">
        <f>IFERROR(_xlfn.XLOOKUP($A190,Input_Raw!$A:$A,Input_Raw!$DA:$DA),"")</f>
        <v/>
      </c>
      <c r="I190" s="200" t="str">
        <f>IFERROR(_xlfn.XLOOKUP($A190,Input_Raw!$A:$A,Input_Raw!$CX:$CX),"")</f>
        <v/>
      </c>
      <c r="J190" s="200" t="str">
        <f>IFERROR(_xlfn.XLOOKUP($A190,Input_Raw!$A:$A,Input_Raw!$CZ:$CZ),"")</f>
        <v/>
      </c>
      <c r="K190" s="201" t="str">
        <f>IFERROR(_xlfn.XLOOKUP($A190,Input_Raw!$A:$A,Input_Raw!$DB:$DB),"")</f>
        <v/>
      </c>
      <c r="L190" s="201" t="str">
        <f>IFERROR(_xlfn.XLOOKUP($A190,Input_Raw!$A:$A,Input_Raw!$DC:$DC),"")</f>
        <v/>
      </c>
      <c r="M190" s="200" t="str">
        <f>IFERROR(_xlfn.XLOOKUP($A190,Input_Raw!$A:$A,Input_Raw!$DF:$DF),"")</f>
        <v/>
      </c>
      <c r="N190" s="200" t="str">
        <f>IFERROR(_xlfn.XLOOKUP($A190,Input_Raw!$A:$A,Input_Raw!$DG:$DG),"")</f>
        <v/>
      </c>
      <c r="O190" s="230" t="str">
        <f>IFERROR(1-(SUMIF(Plant_BD!$B:$B,$A190,Plant_BD!$AL:$AL)/($AA190+SUMIF(Plant_BD!$B:$B,$A190,Plant_BD!$AL:$AL))),"")</f>
        <v/>
      </c>
      <c r="P190" s="230"/>
      <c r="Q190" s="231" t="str">
        <f>IFERROR(1-(SUMIF(Grid_BD!$B:$B,$A190,Grid_BD!$V:$V)/($AA190+SUMIF(Grid_BD!$B:$B,$A190,Grid_BD!$V:$V))),"")</f>
        <v/>
      </c>
      <c r="R190" s="230" t="str">
        <f>IFERROR(1-(SUMIF(Grid_BD!$B:$B,$A190,Grid_BD!$V:$V)/($AA190+SUMIF(Grid_BD!$B:$B,$A190,Grid_BD!$V:$V))),"")</f>
        <v/>
      </c>
      <c r="S190" s="9"/>
      <c r="T190" s="231"/>
      <c r="U190" s="232" t="str">
        <f t="shared" si="16"/>
        <v/>
      </c>
      <c r="V190" s="232" t="str">
        <f>IFERROR(_xlfn.XLOOKUP($A190,Input_Raw!$A:$A,Input_Raw!$FG:$FG),"")</f>
        <v/>
      </c>
      <c r="W190" s="233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85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33">
        <f>IFERROR(_xlfn.XLOOKUP($D190,'Modelling New'!$D:$D,'Modelling New'!O:O),"")</f>
        <v>0.83889907823519261</v>
      </c>
      <c r="AF190" s="233">
        <f>IFERROR(_xlfn.XLOOKUP($D190,'Modelling New'!$D:$D,'Modelling New'!W:W),"")</f>
        <v>0.20363598592644594</v>
      </c>
      <c r="AG190" s="233">
        <f>IFERROR(_xlfn.XLOOKUP($D190,'Modelling New'!$D:$D,'Modelling New'!AE:AE),"")</f>
        <v>0.995</v>
      </c>
      <c r="AH190" s="233">
        <f>IFERROR(_xlfn.XLOOKUP($D190,'Modelling New'!$D:$D,'Modelling New'!AF:AF),"")</f>
        <v>0.995</v>
      </c>
      <c r="AI190" s="9"/>
      <c r="AJ190" s="9"/>
      <c r="AK190" s="256"/>
      <c r="AL190" s="256"/>
      <c r="AM190" s="256"/>
      <c r="AN190" s="230"/>
      <c r="AO190" s="233"/>
      <c r="AP190" s="233"/>
      <c r="AQ190" s="233"/>
      <c r="AR190" s="234">
        <f>_xlfn.XLOOKUP(D190,'Modelling New'!$D:$D,'Modelling New'!$N:$N)</f>
        <v>130</v>
      </c>
      <c r="AS190" s="234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29">
        <f>Table13[[#This Row],[Date]]-DAY(Table13[[#This Row],[Date]])+1</f>
        <v>45931</v>
      </c>
      <c r="E191" s="9">
        <f t="shared" si="15"/>
        <v>31</v>
      </c>
      <c r="F191" s="199" t="str">
        <f>IFERROR(_xlfn.XLOOKUP($A191,Input_Raw!$A:$A,Input_Raw!$FC:$FC),"")</f>
        <v/>
      </c>
      <c r="G191" s="185" t="str">
        <f>IFERROR(_xlfn.XLOOKUP($A191,Input_Raw!$A:$A,Input_Raw!$CY:$CY),"")</f>
        <v/>
      </c>
      <c r="H191" s="185" t="str">
        <f>IFERROR(_xlfn.XLOOKUP($A191,Input_Raw!$A:$A,Input_Raw!$DA:$DA),"")</f>
        <v/>
      </c>
      <c r="I191" s="185" t="str">
        <f>IFERROR(_xlfn.XLOOKUP($A191,Input_Raw!$A:$A,Input_Raw!$CX:$CX),"")</f>
        <v/>
      </c>
      <c r="J191" s="185" t="str">
        <f>IFERROR(_xlfn.XLOOKUP($A191,Input_Raw!$A:$A,Input_Raw!$CZ:$CZ),"")</f>
        <v/>
      </c>
      <c r="K191" s="201" t="str">
        <f>IFERROR(_xlfn.XLOOKUP($A191,Input_Raw!$A:$A,Input_Raw!$DB:$DB),"")</f>
        <v/>
      </c>
      <c r="L191" s="201" t="str">
        <f>IFERROR(_xlfn.XLOOKUP($A191,Input_Raw!$A:$A,Input_Raw!$DC:$DC),"")</f>
        <v/>
      </c>
      <c r="M191" s="200" t="str">
        <f>IFERROR(_xlfn.XLOOKUP($A191,Input_Raw!$A:$A,Input_Raw!$DF:$DF),"")</f>
        <v/>
      </c>
      <c r="N191" s="200" t="str">
        <f>IFERROR(_xlfn.XLOOKUP($A191,Input_Raw!$A:$A,Input_Raw!$DG:$DG),"")</f>
        <v/>
      </c>
      <c r="O191" s="230" t="str">
        <f>IFERROR(1-(SUMIF(Plant_BD!$B:$B,$A191,Plant_BD!$AL:$AL)/($AA191+SUMIF(Plant_BD!$B:$B,$A191,Plant_BD!$AL:$AL))),"")</f>
        <v/>
      </c>
      <c r="P191" s="230"/>
      <c r="Q191" s="231" t="str">
        <f>IFERROR(1-(SUMIF(Grid_BD!$B:$B,$A191,Grid_BD!$V:$V)/($AA191+SUMIF(Grid_BD!$B:$B,$A191,Grid_BD!$V:$V))),"")</f>
        <v/>
      </c>
      <c r="R191" s="230" t="str">
        <f>IFERROR(1-(SUMIF(Grid_BD!$B:$B,$A191,Grid_BD!$V:$V)/($AA191+SUMIF(Grid_BD!$B:$B,$A191,Grid_BD!$V:$V))),"")</f>
        <v/>
      </c>
      <c r="S191" s="9"/>
      <c r="T191" s="231"/>
      <c r="U191" s="232" t="str">
        <f t="shared" si="16"/>
        <v/>
      </c>
      <c r="V191" s="232" t="str">
        <f>IFERROR(_xlfn.XLOOKUP($A191,Input_Raw!$A:$A,Input_Raw!$FG:$FG),"")</f>
        <v/>
      </c>
      <c r="W191" s="233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85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33">
        <f>IFERROR(_xlfn.XLOOKUP($D191,'Modelling New'!$D:$D,'Modelling New'!O:O),"")</f>
        <v>0.83889907823519261</v>
      </c>
      <c r="AF191" s="233">
        <f>IFERROR(_xlfn.XLOOKUP($D191,'Modelling New'!$D:$D,'Modelling New'!W:W),"")</f>
        <v>0.20363598592644594</v>
      </c>
      <c r="AG191" s="233">
        <f>IFERROR(_xlfn.XLOOKUP($D191,'Modelling New'!$D:$D,'Modelling New'!AE:AE),"")</f>
        <v>0.995</v>
      </c>
      <c r="AH191" s="233">
        <f>IFERROR(_xlfn.XLOOKUP($D191,'Modelling New'!$D:$D,'Modelling New'!AF:AF),"")</f>
        <v>0.995</v>
      </c>
      <c r="AI191" s="9"/>
      <c r="AJ191" s="9"/>
      <c r="AK191" s="256"/>
      <c r="AL191" s="256"/>
      <c r="AM191" s="256"/>
      <c r="AN191" s="230"/>
      <c r="AO191" s="233"/>
      <c r="AP191" s="233"/>
      <c r="AQ191" s="233"/>
      <c r="AR191" s="234">
        <f>_xlfn.XLOOKUP(D191,'Modelling New'!$D:$D,'Modelling New'!$N:$N)</f>
        <v>130</v>
      </c>
      <c r="AS191" s="234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29">
        <f>Table13[[#This Row],[Date]]-DAY(Table13[[#This Row],[Date]])+1</f>
        <v>45931</v>
      </c>
      <c r="E192" s="9">
        <f t="shared" si="15"/>
        <v>31</v>
      </c>
      <c r="F192" s="199" t="str">
        <f>IFERROR(_xlfn.XLOOKUP($A192,Input_Raw!$A:$A,Input_Raw!$FC:$FC),"")</f>
        <v/>
      </c>
      <c r="G192" s="200" t="str">
        <f>IFERROR(_xlfn.XLOOKUP($A192,Input_Raw!$A:$A,Input_Raw!$CY:$CY),"")</f>
        <v/>
      </c>
      <c r="H192" s="200" t="str">
        <f>IFERROR(_xlfn.XLOOKUP($A192,Input_Raw!$A:$A,Input_Raw!$DA:$DA),"")</f>
        <v/>
      </c>
      <c r="I192" s="200" t="str">
        <f>IFERROR(_xlfn.XLOOKUP($A192,Input_Raw!$A:$A,Input_Raw!$CX:$CX),"")</f>
        <v/>
      </c>
      <c r="J192" s="200" t="str">
        <f>IFERROR(_xlfn.XLOOKUP($A192,Input_Raw!$A:$A,Input_Raw!$CZ:$CZ),"")</f>
        <v/>
      </c>
      <c r="K192" s="201" t="str">
        <f>IFERROR(_xlfn.XLOOKUP($A192,Input_Raw!$A:$A,Input_Raw!$DB:$DB),"")</f>
        <v/>
      </c>
      <c r="L192" s="201" t="str">
        <f>IFERROR(_xlfn.XLOOKUP($A192,Input_Raw!$A:$A,Input_Raw!$DC:$DC),"")</f>
        <v/>
      </c>
      <c r="M192" s="200" t="str">
        <f>IFERROR(_xlfn.XLOOKUP($A192,Input_Raw!$A:$A,Input_Raw!$DF:$DF),"")</f>
        <v/>
      </c>
      <c r="N192" s="200" t="str">
        <f>IFERROR(_xlfn.XLOOKUP($A192,Input_Raw!$A:$A,Input_Raw!$DG:$DG),"")</f>
        <v/>
      </c>
      <c r="O192" s="230" t="str">
        <f>IFERROR(1-(SUMIF(Plant_BD!$B:$B,$A192,Plant_BD!$AL:$AL)/($AA192+SUMIF(Plant_BD!$B:$B,$A192,Plant_BD!$AL:$AL))),"")</f>
        <v/>
      </c>
      <c r="P192" s="230"/>
      <c r="Q192" s="231" t="str">
        <f>IFERROR(1-(SUMIF(Grid_BD!$B:$B,$A192,Grid_BD!$V:$V)/($AA192+SUMIF(Grid_BD!$B:$B,$A192,Grid_BD!$V:$V))),"")</f>
        <v/>
      </c>
      <c r="R192" s="230" t="str">
        <f>IFERROR(1-(SUMIF(Grid_BD!$B:$B,$A192,Grid_BD!$V:$V)/($AA192+SUMIF(Grid_BD!$B:$B,$A192,Grid_BD!$V:$V))),"")</f>
        <v/>
      </c>
      <c r="S192" s="9"/>
      <c r="T192" s="231"/>
      <c r="U192" s="232" t="str">
        <f t="shared" si="16"/>
        <v/>
      </c>
      <c r="V192" s="232" t="str">
        <f>IFERROR(_xlfn.XLOOKUP($A192,Input_Raw!$A:$A,Input_Raw!$FG:$FG),"")</f>
        <v/>
      </c>
      <c r="W192" s="233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85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33">
        <f>IFERROR(_xlfn.XLOOKUP($D192,'Modelling New'!$D:$D,'Modelling New'!O:O),"")</f>
        <v>0.83889907823519261</v>
      </c>
      <c r="AF192" s="233">
        <f>IFERROR(_xlfn.XLOOKUP($D192,'Modelling New'!$D:$D,'Modelling New'!W:W),"")</f>
        <v>0.20363598592644594</v>
      </c>
      <c r="AG192" s="233">
        <f>IFERROR(_xlfn.XLOOKUP($D192,'Modelling New'!$D:$D,'Modelling New'!AE:AE),"")</f>
        <v>0.995</v>
      </c>
      <c r="AH192" s="233">
        <f>IFERROR(_xlfn.XLOOKUP($D192,'Modelling New'!$D:$D,'Modelling New'!AF:AF),"")</f>
        <v>0.995</v>
      </c>
      <c r="AI192" s="9"/>
      <c r="AJ192" s="9"/>
      <c r="AK192" s="256"/>
      <c r="AL192" s="256"/>
      <c r="AM192" s="256"/>
      <c r="AN192" s="230"/>
      <c r="AO192" s="233"/>
      <c r="AP192" s="233"/>
      <c r="AQ192" s="233"/>
      <c r="AR192" s="234">
        <f>_xlfn.XLOOKUP(D192,'Modelling New'!$D:$D,'Modelling New'!$N:$N)</f>
        <v>130</v>
      </c>
      <c r="AS192" s="234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29">
        <f>Table13[[#This Row],[Date]]-DAY(Table13[[#This Row],[Date]])+1</f>
        <v>45931</v>
      </c>
      <c r="E193" s="9">
        <f t="shared" si="15"/>
        <v>31</v>
      </c>
      <c r="F193" s="199" t="str">
        <f>IFERROR(_xlfn.XLOOKUP($A193,Input_Raw!$A:$A,Input_Raw!$FC:$FC),"")</f>
        <v/>
      </c>
      <c r="G193" s="185" t="str">
        <f>IFERROR(_xlfn.XLOOKUP($A193,Input_Raw!$A:$A,Input_Raw!$CY:$CY),"")</f>
        <v/>
      </c>
      <c r="H193" s="185" t="str">
        <f>IFERROR(_xlfn.XLOOKUP($A193,Input_Raw!$A:$A,Input_Raw!$DA:$DA),"")</f>
        <v/>
      </c>
      <c r="I193" s="185" t="str">
        <f>IFERROR(_xlfn.XLOOKUP($A193,Input_Raw!$A:$A,Input_Raw!$CX:$CX),"")</f>
        <v/>
      </c>
      <c r="J193" s="185" t="str">
        <f>IFERROR(_xlfn.XLOOKUP($A193,Input_Raw!$A:$A,Input_Raw!$CZ:$CZ),"")</f>
        <v/>
      </c>
      <c r="K193" s="201" t="str">
        <f>IFERROR(_xlfn.XLOOKUP($A193,Input_Raw!$A:$A,Input_Raw!$DB:$DB),"")</f>
        <v/>
      </c>
      <c r="L193" s="201" t="str">
        <f>IFERROR(_xlfn.XLOOKUP($A193,Input_Raw!$A:$A,Input_Raw!$DC:$DC),"")</f>
        <v/>
      </c>
      <c r="M193" s="200" t="str">
        <f>IFERROR(_xlfn.XLOOKUP($A193,Input_Raw!$A:$A,Input_Raw!$DF:$DF),"")</f>
        <v/>
      </c>
      <c r="N193" s="200" t="str">
        <f>IFERROR(_xlfn.XLOOKUP($A193,Input_Raw!$A:$A,Input_Raw!$DG:$DG),"")</f>
        <v/>
      </c>
      <c r="O193" s="230" t="str">
        <f>IFERROR(1-(SUMIF(Plant_BD!$B:$B,$A193,Plant_BD!$AL:$AL)/($AA193+SUMIF(Plant_BD!$B:$B,$A193,Plant_BD!$AL:$AL))),"")</f>
        <v/>
      </c>
      <c r="P193" s="230"/>
      <c r="Q193" s="231" t="str">
        <f>IFERROR(1-(SUMIF(Grid_BD!$B:$B,$A193,Grid_BD!$V:$V)/($AA193+SUMIF(Grid_BD!$B:$B,$A193,Grid_BD!$V:$V))),"")</f>
        <v/>
      </c>
      <c r="R193" s="230" t="str">
        <f>IFERROR(1-(SUMIF(Grid_BD!$B:$B,$A193,Grid_BD!$V:$V)/($AA193+SUMIF(Grid_BD!$B:$B,$A193,Grid_BD!$V:$V))),"")</f>
        <v/>
      </c>
      <c r="S193" s="9"/>
      <c r="T193" s="231"/>
      <c r="U193" s="232" t="str">
        <f t="shared" si="16"/>
        <v/>
      </c>
      <c r="V193" s="232" t="str">
        <f>IFERROR(_xlfn.XLOOKUP($A193,Input_Raw!$A:$A,Input_Raw!$FG:$FG),"")</f>
        <v/>
      </c>
      <c r="W193" s="233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85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33">
        <f>IFERROR(_xlfn.XLOOKUP($D193,'Modelling New'!$D:$D,'Modelling New'!O:O),"")</f>
        <v>0.83889907823519261</v>
      </c>
      <c r="AF193" s="233">
        <f>IFERROR(_xlfn.XLOOKUP($D193,'Modelling New'!$D:$D,'Modelling New'!W:W),"")</f>
        <v>0.20363598592644594</v>
      </c>
      <c r="AG193" s="233">
        <f>IFERROR(_xlfn.XLOOKUP($D193,'Modelling New'!$D:$D,'Modelling New'!AE:AE),"")</f>
        <v>0.995</v>
      </c>
      <c r="AH193" s="233">
        <f>IFERROR(_xlfn.XLOOKUP($D193,'Modelling New'!$D:$D,'Modelling New'!AF:AF),"")</f>
        <v>0.995</v>
      </c>
      <c r="AI193" s="9"/>
      <c r="AJ193" s="9"/>
      <c r="AK193" s="256"/>
      <c r="AL193" s="256"/>
      <c r="AM193" s="256"/>
      <c r="AN193" s="230"/>
      <c r="AO193" s="233"/>
      <c r="AP193" s="233"/>
      <c r="AQ193" s="233"/>
      <c r="AR193" s="234">
        <f>_xlfn.XLOOKUP(D193,'Modelling New'!$D:$D,'Modelling New'!$N:$N)</f>
        <v>130</v>
      </c>
      <c r="AS193" s="234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29">
        <f>Table13[[#This Row],[Date]]-DAY(Table13[[#This Row],[Date]])+1</f>
        <v>45931</v>
      </c>
      <c r="E194" s="9">
        <f t="shared" si="15"/>
        <v>31</v>
      </c>
      <c r="F194" s="199" t="str">
        <f>IFERROR(_xlfn.XLOOKUP($A194,Input_Raw!$A:$A,Input_Raw!$FC:$FC),"")</f>
        <v/>
      </c>
      <c r="G194" s="200" t="str">
        <f>IFERROR(_xlfn.XLOOKUP($A194,Input_Raw!$A:$A,Input_Raw!$CY:$CY),"")</f>
        <v/>
      </c>
      <c r="H194" s="200" t="str">
        <f>IFERROR(_xlfn.XLOOKUP($A194,Input_Raw!$A:$A,Input_Raw!$DA:$DA),"")</f>
        <v/>
      </c>
      <c r="I194" s="200" t="str">
        <f>IFERROR(_xlfn.XLOOKUP($A194,Input_Raw!$A:$A,Input_Raw!$CX:$CX),"")</f>
        <v/>
      </c>
      <c r="J194" s="200" t="str">
        <f>IFERROR(_xlfn.XLOOKUP($A194,Input_Raw!$A:$A,Input_Raw!$CZ:$CZ),"")</f>
        <v/>
      </c>
      <c r="K194" s="201" t="str">
        <f>IFERROR(_xlfn.XLOOKUP($A194,Input_Raw!$A:$A,Input_Raw!$DB:$DB),"")</f>
        <v/>
      </c>
      <c r="L194" s="201" t="str">
        <f>IFERROR(_xlfn.XLOOKUP($A194,Input_Raw!$A:$A,Input_Raw!$DC:$DC),"")</f>
        <v/>
      </c>
      <c r="M194" s="200" t="str">
        <f>IFERROR(_xlfn.XLOOKUP($A194,Input_Raw!$A:$A,Input_Raw!$DF:$DF),"")</f>
        <v/>
      </c>
      <c r="N194" s="200" t="str">
        <f>IFERROR(_xlfn.XLOOKUP($A194,Input_Raw!$A:$A,Input_Raw!$DG:$DG),"")</f>
        <v/>
      </c>
      <c r="O194" s="230" t="str">
        <f>IFERROR(1-(SUMIF(Plant_BD!$B:$B,$A194,Plant_BD!$AL:$AL)/($AA194+SUMIF(Plant_BD!$B:$B,$A194,Plant_BD!$AL:$AL))),"")</f>
        <v/>
      </c>
      <c r="P194" s="230"/>
      <c r="Q194" s="231" t="str">
        <f>IFERROR(1-(SUMIF(Grid_BD!$B:$B,$A194,Grid_BD!$V:$V)/($AA194+SUMIF(Grid_BD!$B:$B,$A194,Grid_BD!$V:$V))),"")</f>
        <v/>
      </c>
      <c r="R194" s="230" t="str">
        <f>IFERROR(1-(SUMIF(Grid_BD!$B:$B,$A194,Grid_BD!$V:$V)/($AA194+SUMIF(Grid_BD!$B:$B,$A194,Grid_BD!$V:$V))),"")</f>
        <v/>
      </c>
      <c r="S194" s="9"/>
      <c r="T194" s="231"/>
      <c r="U194" s="232" t="str">
        <f t="shared" si="16"/>
        <v/>
      </c>
      <c r="V194" s="232" t="str">
        <f>IFERROR(_xlfn.XLOOKUP($A194,Input_Raw!$A:$A,Input_Raw!$FG:$FG),"")</f>
        <v/>
      </c>
      <c r="W194" s="233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85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33">
        <f>IFERROR(_xlfn.XLOOKUP($D194,'Modelling New'!$D:$D,'Modelling New'!O:O),"")</f>
        <v>0.83889907823519261</v>
      </c>
      <c r="AF194" s="233">
        <f>IFERROR(_xlfn.XLOOKUP($D194,'Modelling New'!$D:$D,'Modelling New'!W:W),"")</f>
        <v>0.20363598592644594</v>
      </c>
      <c r="AG194" s="233">
        <f>IFERROR(_xlfn.XLOOKUP($D194,'Modelling New'!$D:$D,'Modelling New'!AE:AE),"")</f>
        <v>0.995</v>
      </c>
      <c r="AH194" s="233">
        <f>IFERROR(_xlfn.XLOOKUP($D194,'Modelling New'!$D:$D,'Modelling New'!AF:AF),"")</f>
        <v>0.995</v>
      </c>
      <c r="AI194" s="9"/>
      <c r="AJ194" s="9"/>
      <c r="AK194" s="256"/>
      <c r="AL194" s="256"/>
      <c r="AM194" s="256"/>
      <c r="AN194" s="230"/>
      <c r="AO194" s="233"/>
      <c r="AP194" s="233"/>
      <c r="AQ194" s="233"/>
      <c r="AR194" s="234">
        <f>_xlfn.XLOOKUP(D194,'Modelling New'!$D:$D,'Modelling New'!$N:$N)</f>
        <v>130</v>
      </c>
      <c r="AS194" s="234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29">
        <f>Table13[[#This Row],[Date]]-DAY(Table13[[#This Row],[Date]])+1</f>
        <v>45931</v>
      </c>
      <c r="E195" s="9">
        <f t="shared" si="15"/>
        <v>31</v>
      </c>
      <c r="F195" s="199" t="str">
        <f>IFERROR(_xlfn.XLOOKUP($A195,Input_Raw!$A:$A,Input_Raw!$FC:$FC),"")</f>
        <v/>
      </c>
      <c r="G195" s="185" t="str">
        <f>IFERROR(_xlfn.XLOOKUP($A195,Input_Raw!$A:$A,Input_Raw!$CY:$CY),"")</f>
        <v/>
      </c>
      <c r="H195" s="185" t="str">
        <f>IFERROR(_xlfn.XLOOKUP($A195,Input_Raw!$A:$A,Input_Raw!$DA:$DA),"")</f>
        <v/>
      </c>
      <c r="I195" s="185" t="str">
        <f>IFERROR(_xlfn.XLOOKUP($A195,Input_Raw!$A:$A,Input_Raw!$CX:$CX),"")</f>
        <v/>
      </c>
      <c r="J195" s="185" t="str">
        <f>IFERROR(_xlfn.XLOOKUP($A195,Input_Raw!$A:$A,Input_Raw!$CZ:$CZ),"")</f>
        <v/>
      </c>
      <c r="K195" s="201" t="str">
        <f>IFERROR(_xlfn.XLOOKUP($A195,Input_Raw!$A:$A,Input_Raw!$DB:$DB),"")</f>
        <v/>
      </c>
      <c r="L195" s="201" t="str">
        <f>IFERROR(_xlfn.XLOOKUP($A195,Input_Raw!$A:$A,Input_Raw!$DC:$DC),"")</f>
        <v/>
      </c>
      <c r="M195" s="200" t="str">
        <f>IFERROR(_xlfn.XLOOKUP($A195,Input_Raw!$A:$A,Input_Raw!$DF:$DF),"")</f>
        <v/>
      </c>
      <c r="N195" s="200" t="str">
        <f>IFERROR(_xlfn.XLOOKUP($A195,Input_Raw!$A:$A,Input_Raw!$DG:$DG),"")</f>
        <v/>
      </c>
      <c r="O195" s="230" t="str">
        <f>IFERROR(1-(SUMIF(Plant_BD!$B:$B,$A195,Plant_BD!$AL:$AL)/($AA195+SUMIF(Plant_BD!$B:$B,$A195,Plant_BD!$AL:$AL))),"")</f>
        <v/>
      </c>
      <c r="P195" s="230"/>
      <c r="Q195" s="231" t="str">
        <f>IFERROR(1-(SUMIF(Grid_BD!$B:$B,$A195,Grid_BD!$V:$V)/($AA195+SUMIF(Grid_BD!$B:$B,$A195,Grid_BD!$V:$V))),"")</f>
        <v/>
      </c>
      <c r="R195" s="230" t="str">
        <f>IFERROR(1-(SUMIF(Grid_BD!$B:$B,$A195,Grid_BD!$V:$V)/($AA195+SUMIF(Grid_BD!$B:$B,$A195,Grid_BD!$V:$V))),"")</f>
        <v/>
      </c>
      <c r="S195" s="9"/>
      <c r="T195" s="231"/>
      <c r="U195" s="232" t="str">
        <f t="shared" si="16"/>
        <v/>
      </c>
      <c r="V195" s="232" t="str">
        <f>IFERROR(_xlfn.XLOOKUP($A195,Input_Raw!$A:$A,Input_Raw!$FG:$FG),"")</f>
        <v/>
      </c>
      <c r="W195" s="233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85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33">
        <f>IFERROR(_xlfn.XLOOKUP($D195,'Modelling New'!$D:$D,'Modelling New'!O:O),"")</f>
        <v>0.83889907823519261</v>
      </c>
      <c r="AF195" s="233">
        <f>IFERROR(_xlfn.XLOOKUP($D195,'Modelling New'!$D:$D,'Modelling New'!W:W),"")</f>
        <v>0.20363598592644594</v>
      </c>
      <c r="AG195" s="233">
        <f>IFERROR(_xlfn.XLOOKUP($D195,'Modelling New'!$D:$D,'Modelling New'!AE:AE),"")</f>
        <v>0.995</v>
      </c>
      <c r="AH195" s="233">
        <f>IFERROR(_xlfn.XLOOKUP($D195,'Modelling New'!$D:$D,'Modelling New'!AF:AF),"")</f>
        <v>0.995</v>
      </c>
      <c r="AI195" s="9"/>
      <c r="AJ195" s="9"/>
      <c r="AK195" s="256"/>
      <c r="AL195" s="256"/>
      <c r="AM195" s="256"/>
      <c r="AN195" s="230"/>
      <c r="AO195" s="233"/>
      <c r="AP195" s="233"/>
      <c r="AQ195" s="233"/>
      <c r="AR195" s="234">
        <f>_xlfn.XLOOKUP(D195,'Modelling New'!$D:$D,'Modelling New'!$N:$N)</f>
        <v>130</v>
      </c>
      <c r="AS195" s="234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29">
        <f>Table13[[#This Row],[Date]]-DAY(Table13[[#This Row],[Date]])+1</f>
        <v>45931</v>
      </c>
      <c r="E196" s="9">
        <f t="shared" si="15"/>
        <v>31</v>
      </c>
      <c r="F196" s="199" t="str">
        <f>IFERROR(_xlfn.XLOOKUP($A196,Input_Raw!$A:$A,Input_Raw!$FC:$FC),"")</f>
        <v/>
      </c>
      <c r="G196" s="200" t="str">
        <f>IFERROR(_xlfn.XLOOKUP($A196,Input_Raw!$A:$A,Input_Raw!$CY:$CY),"")</f>
        <v/>
      </c>
      <c r="H196" s="200" t="str">
        <f>IFERROR(_xlfn.XLOOKUP($A196,Input_Raw!$A:$A,Input_Raw!$DA:$DA),"")</f>
        <v/>
      </c>
      <c r="I196" s="200" t="str">
        <f>IFERROR(_xlfn.XLOOKUP($A196,Input_Raw!$A:$A,Input_Raw!$CX:$CX),"")</f>
        <v/>
      </c>
      <c r="J196" s="200" t="str">
        <f>IFERROR(_xlfn.XLOOKUP($A196,Input_Raw!$A:$A,Input_Raw!$CZ:$CZ),"")</f>
        <v/>
      </c>
      <c r="K196" s="201" t="str">
        <f>IFERROR(_xlfn.XLOOKUP($A196,Input_Raw!$A:$A,Input_Raw!$DB:$DB),"")</f>
        <v/>
      </c>
      <c r="L196" s="201" t="str">
        <f>IFERROR(_xlfn.XLOOKUP($A196,Input_Raw!$A:$A,Input_Raw!$DC:$DC),"")</f>
        <v/>
      </c>
      <c r="M196" s="200" t="str">
        <f>IFERROR(_xlfn.XLOOKUP($A196,Input_Raw!$A:$A,Input_Raw!$DF:$DF),"")</f>
        <v/>
      </c>
      <c r="N196" s="200" t="str">
        <f>IFERROR(_xlfn.XLOOKUP($A196,Input_Raw!$A:$A,Input_Raw!$DG:$DG),"")</f>
        <v/>
      </c>
      <c r="O196" s="230" t="str">
        <f>IFERROR(1-(SUMIF(Plant_BD!$B:$B,$A196,Plant_BD!$AL:$AL)/($AA196+SUMIF(Plant_BD!$B:$B,$A196,Plant_BD!$AL:$AL))),"")</f>
        <v/>
      </c>
      <c r="P196" s="230"/>
      <c r="Q196" s="231" t="str">
        <f>IFERROR(1-(SUMIF(Grid_BD!$B:$B,$A196,Grid_BD!$V:$V)/($AA196+SUMIF(Grid_BD!$B:$B,$A196,Grid_BD!$V:$V))),"")</f>
        <v/>
      </c>
      <c r="R196" s="230" t="str">
        <f>IFERROR(1-(SUMIF(Grid_BD!$B:$B,$A196,Grid_BD!$V:$V)/($AA196+SUMIF(Grid_BD!$B:$B,$A196,Grid_BD!$V:$V))),"")</f>
        <v/>
      </c>
      <c r="S196" s="9"/>
      <c r="T196" s="231"/>
      <c r="U196" s="232" t="str">
        <f t="shared" si="16"/>
        <v/>
      </c>
      <c r="V196" s="232" t="str">
        <f>IFERROR(_xlfn.XLOOKUP($A196,Input_Raw!$A:$A,Input_Raw!$FG:$FG),"")</f>
        <v/>
      </c>
      <c r="W196" s="233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85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33">
        <f>IFERROR(_xlfn.XLOOKUP($D196,'Modelling New'!$D:$D,'Modelling New'!O:O),"")</f>
        <v>0.83889907823519261</v>
      </c>
      <c r="AF196" s="233">
        <f>IFERROR(_xlfn.XLOOKUP($D196,'Modelling New'!$D:$D,'Modelling New'!W:W),"")</f>
        <v>0.20363598592644594</v>
      </c>
      <c r="AG196" s="233">
        <f>IFERROR(_xlfn.XLOOKUP($D196,'Modelling New'!$D:$D,'Modelling New'!AE:AE),"")</f>
        <v>0.995</v>
      </c>
      <c r="AH196" s="233">
        <f>IFERROR(_xlfn.XLOOKUP($D196,'Modelling New'!$D:$D,'Modelling New'!AF:AF),"")</f>
        <v>0.995</v>
      </c>
      <c r="AI196" s="9"/>
      <c r="AJ196" s="9"/>
      <c r="AK196" s="256"/>
      <c r="AL196" s="256"/>
      <c r="AM196" s="256"/>
      <c r="AN196" s="230"/>
      <c r="AO196" s="233"/>
      <c r="AP196" s="233"/>
      <c r="AQ196" s="233"/>
      <c r="AR196" s="234">
        <f>_xlfn.XLOOKUP(D196,'Modelling New'!$D:$D,'Modelling New'!$N:$N)</f>
        <v>130</v>
      </c>
      <c r="AS196" s="234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29">
        <f>Table13[[#This Row],[Date]]-DAY(Table13[[#This Row],[Date]])+1</f>
        <v>45931</v>
      </c>
      <c r="E197" s="9">
        <f t="shared" si="15"/>
        <v>31</v>
      </c>
      <c r="F197" s="199" t="str">
        <f>IFERROR(_xlfn.XLOOKUP($A197,Input_Raw!$A:$A,Input_Raw!$FC:$FC),"")</f>
        <v/>
      </c>
      <c r="G197" s="185" t="str">
        <f>IFERROR(_xlfn.XLOOKUP($A197,Input_Raw!$A:$A,Input_Raw!$CY:$CY),"")</f>
        <v/>
      </c>
      <c r="H197" s="185" t="str">
        <f>IFERROR(_xlfn.XLOOKUP($A197,Input_Raw!$A:$A,Input_Raw!$DA:$DA),"")</f>
        <v/>
      </c>
      <c r="I197" s="185" t="str">
        <f>IFERROR(_xlfn.XLOOKUP($A197,Input_Raw!$A:$A,Input_Raw!$CX:$CX),"")</f>
        <v/>
      </c>
      <c r="J197" s="185" t="str">
        <f>IFERROR(_xlfn.XLOOKUP($A197,Input_Raw!$A:$A,Input_Raw!$CZ:$CZ),"")</f>
        <v/>
      </c>
      <c r="K197" s="201" t="str">
        <f>IFERROR(_xlfn.XLOOKUP($A197,Input_Raw!$A:$A,Input_Raw!$DB:$DB),"")</f>
        <v/>
      </c>
      <c r="L197" s="201" t="str">
        <f>IFERROR(_xlfn.XLOOKUP($A197,Input_Raw!$A:$A,Input_Raw!$DC:$DC),"")</f>
        <v/>
      </c>
      <c r="M197" s="200" t="str">
        <f>IFERROR(_xlfn.XLOOKUP($A197,Input_Raw!$A:$A,Input_Raw!$DF:$DF),"")</f>
        <v/>
      </c>
      <c r="N197" s="200" t="str">
        <f>IFERROR(_xlfn.XLOOKUP($A197,Input_Raw!$A:$A,Input_Raw!$DG:$DG),"")</f>
        <v/>
      </c>
      <c r="O197" s="230" t="str">
        <f>IFERROR(1-(SUMIF(Plant_BD!$B:$B,$A197,Plant_BD!$AL:$AL)/($AA197+SUMIF(Plant_BD!$B:$B,$A197,Plant_BD!$AL:$AL))),"")</f>
        <v/>
      </c>
      <c r="P197" s="230"/>
      <c r="Q197" s="231" t="str">
        <f>IFERROR(1-(SUMIF(Grid_BD!$B:$B,$A197,Grid_BD!$V:$V)/($AA197+SUMIF(Grid_BD!$B:$B,$A197,Grid_BD!$V:$V))),"")</f>
        <v/>
      </c>
      <c r="R197" s="230" t="str">
        <f>IFERROR(1-(SUMIF(Grid_BD!$B:$B,$A197,Grid_BD!$V:$V)/($AA197+SUMIF(Grid_BD!$B:$B,$A197,Grid_BD!$V:$V))),"")</f>
        <v/>
      </c>
      <c r="S197" s="9"/>
      <c r="T197" s="231"/>
      <c r="U197" s="232" t="str">
        <f t="shared" si="16"/>
        <v/>
      </c>
      <c r="V197" s="232" t="str">
        <f>IFERROR(_xlfn.XLOOKUP($A197,Input_Raw!$A:$A,Input_Raw!$FG:$FG),"")</f>
        <v/>
      </c>
      <c r="W197" s="233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85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33">
        <f>IFERROR(_xlfn.XLOOKUP($D197,'Modelling New'!$D:$D,'Modelling New'!O:O),"")</f>
        <v>0.83889907823519261</v>
      </c>
      <c r="AF197" s="233">
        <f>IFERROR(_xlfn.XLOOKUP($D197,'Modelling New'!$D:$D,'Modelling New'!W:W),"")</f>
        <v>0.20363598592644594</v>
      </c>
      <c r="AG197" s="233">
        <f>IFERROR(_xlfn.XLOOKUP($D197,'Modelling New'!$D:$D,'Modelling New'!AE:AE),"")</f>
        <v>0.995</v>
      </c>
      <c r="AH197" s="233">
        <f>IFERROR(_xlfn.XLOOKUP($D197,'Modelling New'!$D:$D,'Modelling New'!AF:AF),"")</f>
        <v>0.995</v>
      </c>
      <c r="AI197" s="9"/>
      <c r="AJ197" s="9"/>
      <c r="AK197" s="256"/>
      <c r="AL197" s="256"/>
      <c r="AM197" s="256"/>
      <c r="AN197" s="230"/>
      <c r="AO197" s="233"/>
      <c r="AP197" s="233"/>
      <c r="AQ197" s="233"/>
      <c r="AR197" s="234">
        <f>_xlfn.XLOOKUP(D197,'Modelling New'!$D:$D,'Modelling New'!$N:$N)</f>
        <v>130</v>
      </c>
      <c r="AS197" s="234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29">
        <f>Table13[[#This Row],[Date]]-DAY(Table13[[#This Row],[Date]])+1</f>
        <v>45931</v>
      </c>
      <c r="E198" s="9">
        <f t="shared" si="15"/>
        <v>31</v>
      </c>
      <c r="F198" s="199" t="str">
        <f>IFERROR(_xlfn.XLOOKUP($A198,Input_Raw!$A:$A,Input_Raw!$FC:$FC),"")</f>
        <v/>
      </c>
      <c r="G198" s="200" t="str">
        <f>IFERROR(_xlfn.XLOOKUP($A198,Input_Raw!$A:$A,Input_Raw!$CY:$CY),"")</f>
        <v/>
      </c>
      <c r="H198" s="200" t="str">
        <f>IFERROR(_xlfn.XLOOKUP($A198,Input_Raw!$A:$A,Input_Raw!$DA:$DA),"")</f>
        <v/>
      </c>
      <c r="I198" s="200" t="str">
        <f>IFERROR(_xlfn.XLOOKUP($A198,Input_Raw!$A:$A,Input_Raw!$CX:$CX),"")</f>
        <v/>
      </c>
      <c r="J198" s="200" t="str">
        <f>IFERROR(_xlfn.XLOOKUP($A198,Input_Raw!$A:$A,Input_Raw!$CZ:$CZ),"")</f>
        <v/>
      </c>
      <c r="K198" s="201" t="str">
        <f>IFERROR(_xlfn.XLOOKUP($A198,Input_Raw!$A:$A,Input_Raw!$DB:$DB),"")</f>
        <v/>
      </c>
      <c r="L198" s="201" t="str">
        <f>IFERROR(_xlfn.XLOOKUP($A198,Input_Raw!$A:$A,Input_Raw!$DC:$DC),"")</f>
        <v/>
      </c>
      <c r="M198" s="200" t="str">
        <f>IFERROR(_xlfn.XLOOKUP($A198,Input_Raw!$A:$A,Input_Raw!$DF:$DF),"")</f>
        <v/>
      </c>
      <c r="N198" s="200" t="str">
        <f>IFERROR(_xlfn.XLOOKUP($A198,Input_Raw!$A:$A,Input_Raw!$DG:$DG),"")</f>
        <v/>
      </c>
      <c r="O198" s="230" t="str">
        <f>IFERROR(1-(SUMIF(Plant_BD!$B:$B,$A198,Plant_BD!$AL:$AL)/($AA198+SUMIF(Plant_BD!$B:$B,$A198,Plant_BD!$AL:$AL))),"")</f>
        <v/>
      </c>
      <c r="P198" s="230"/>
      <c r="Q198" s="231" t="str">
        <f>IFERROR(1-(SUMIF(Grid_BD!$B:$B,$A198,Grid_BD!$V:$V)/($AA198+SUMIF(Grid_BD!$B:$B,$A198,Grid_BD!$V:$V))),"")</f>
        <v/>
      </c>
      <c r="R198" s="230" t="str">
        <f>IFERROR(1-(SUMIF(Grid_BD!$B:$B,$A198,Grid_BD!$V:$V)/($AA198+SUMIF(Grid_BD!$B:$B,$A198,Grid_BD!$V:$V))),"")</f>
        <v/>
      </c>
      <c r="S198" s="9"/>
      <c r="T198" s="231"/>
      <c r="U198" s="232" t="str">
        <f t="shared" si="16"/>
        <v/>
      </c>
      <c r="V198" s="232" t="str">
        <f>IFERROR(_xlfn.XLOOKUP($A198,Input_Raw!$A:$A,Input_Raw!$FG:$FG),"")</f>
        <v/>
      </c>
      <c r="W198" s="233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85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33">
        <f>IFERROR(_xlfn.XLOOKUP($D198,'Modelling New'!$D:$D,'Modelling New'!O:O),"")</f>
        <v>0.83889907823519261</v>
      </c>
      <c r="AF198" s="233">
        <f>IFERROR(_xlfn.XLOOKUP($D198,'Modelling New'!$D:$D,'Modelling New'!W:W),"")</f>
        <v>0.20363598592644594</v>
      </c>
      <c r="AG198" s="233">
        <f>IFERROR(_xlfn.XLOOKUP($D198,'Modelling New'!$D:$D,'Modelling New'!AE:AE),"")</f>
        <v>0.995</v>
      </c>
      <c r="AH198" s="233">
        <f>IFERROR(_xlfn.XLOOKUP($D198,'Modelling New'!$D:$D,'Modelling New'!AF:AF),"")</f>
        <v>0.995</v>
      </c>
      <c r="AI198" s="9"/>
      <c r="AJ198" s="9"/>
      <c r="AK198" s="256"/>
      <c r="AL198" s="256"/>
      <c r="AM198" s="256"/>
      <c r="AN198" s="230"/>
      <c r="AO198" s="233"/>
      <c r="AP198" s="233"/>
      <c r="AQ198" s="233"/>
      <c r="AR198" s="234">
        <f>_xlfn.XLOOKUP(D198,'Modelling New'!$D:$D,'Modelling New'!$N:$N)</f>
        <v>130</v>
      </c>
      <c r="AS198" s="234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29">
        <f>Table13[[#This Row],[Date]]-DAY(Table13[[#This Row],[Date]])+1</f>
        <v>45931</v>
      </c>
      <c r="E199" s="9">
        <f t="shared" si="15"/>
        <v>31</v>
      </c>
      <c r="F199" s="199" t="str">
        <f>IFERROR(_xlfn.XLOOKUP($A199,Input_Raw!$A:$A,Input_Raw!$FC:$FC),"")</f>
        <v/>
      </c>
      <c r="G199" s="185" t="str">
        <f>IFERROR(_xlfn.XLOOKUP($A199,Input_Raw!$A:$A,Input_Raw!$CY:$CY),"")</f>
        <v/>
      </c>
      <c r="H199" s="185" t="str">
        <f>IFERROR(_xlfn.XLOOKUP($A199,Input_Raw!$A:$A,Input_Raw!$DA:$DA),"")</f>
        <v/>
      </c>
      <c r="I199" s="185" t="str">
        <f>IFERROR(_xlfn.XLOOKUP($A199,Input_Raw!$A:$A,Input_Raw!$CX:$CX),"")</f>
        <v/>
      </c>
      <c r="J199" s="185" t="str">
        <f>IFERROR(_xlfn.XLOOKUP($A199,Input_Raw!$A:$A,Input_Raw!$CZ:$CZ),"")</f>
        <v/>
      </c>
      <c r="K199" s="201" t="str">
        <f>IFERROR(_xlfn.XLOOKUP($A199,Input_Raw!$A:$A,Input_Raw!$DB:$DB),"")</f>
        <v/>
      </c>
      <c r="L199" s="201" t="str">
        <f>IFERROR(_xlfn.XLOOKUP($A199,Input_Raw!$A:$A,Input_Raw!$DC:$DC),"")</f>
        <v/>
      </c>
      <c r="M199" s="200" t="str">
        <f>IFERROR(_xlfn.XLOOKUP($A199,Input_Raw!$A:$A,Input_Raw!$DF:$DF),"")</f>
        <v/>
      </c>
      <c r="N199" s="200" t="str">
        <f>IFERROR(_xlfn.XLOOKUP($A199,Input_Raw!$A:$A,Input_Raw!$DG:$DG),"")</f>
        <v/>
      </c>
      <c r="O199" s="230" t="str">
        <f>IFERROR(1-(SUMIF(Plant_BD!$B:$B,$A199,Plant_BD!$AL:$AL)/($AA199+SUMIF(Plant_BD!$B:$B,$A199,Plant_BD!$AL:$AL))),"")</f>
        <v/>
      </c>
      <c r="P199" s="230"/>
      <c r="Q199" s="231" t="str">
        <f>IFERROR(1-(SUMIF(Grid_BD!$B:$B,$A199,Grid_BD!$V:$V)/($AA199+SUMIF(Grid_BD!$B:$B,$A199,Grid_BD!$V:$V))),"")</f>
        <v/>
      </c>
      <c r="R199" s="230" t="str">
        <f>IFERROR(1-(SUMIF(Grid_BD!$B:$B,$A199,Grid_BD!$V:$V)/($AA199+SUMIF(Grid_BD!$B:$B,$A199,Grid_BD!$V:$V))),"")</f>
        <v/>
      </c>
      <c r="S199" s="9"/>
      <c r="T199" s="231"/>
      <c r="U199" s="232" t="str">
        <f t="shared" si="16"/>
        <v/>
      </c>
      <c r="V199" s="232" t="str">
        <f>IFERROR(_xlfn.XLOOKUP($A199,Input_Raw!$A:$A,Input_Raw!$FG:$FG),"")</f>
        <v/>
      </c>
      <c r="W199" s="233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85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33">
        <f>IFERROR(_xlfn.XLOOKUP($D199,'Modelling New'!$D:$D,'Modelling New'!O:O),"")</f>
        <v>0.83889907823519261</v>
      </c>
      <c r="AF199" s="233">
        <f>IFERROR(_xlfn.XLOOKUP($D199,'Modelling New'!$D:$D,'Modelling New'!W:W),"")</f>
        <v>0.20363598592644594</v>
      </c>
      <c r="AG199" s="233">
        <f>IFERROR(_xlfn.XLOOKUP($D199,'Modelling New'!$D:$D,'Modelling New'!AE:AE),"")</f>
        <v>0.995</v>
      </c>
      <c r="AH199" s="233">
        <f>IFERROR(_xlfn.XLOOKUP($D199,'Modelling New'!$D:$D,'Modelling New'!AF:AF),"")</f>
        <v>0.995</v>
      </c>
      <c r="AI199" s="9"/>
      <c r="AJ199" s="9"/>
      <c r="AK199" s="256"/>
      <c r="AL199" s="256"/>
      <c r="AM199" s="256"/>
      <c r="AN199" s="230"/>
      <c r="AO199" s="233"/>
      <c r="AP199" s="233"/>
      <c r="AQ199" s="233"/>
      <c r="AR199" s="234">
        <f>_xlfn.XLOOKUP(D199,'Modelling New'!$D:$D,'Modelling New'!$N:$N)</f>
        <v>130</v>
      </c>
      <c r="AS199" s="234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29">
        <f>Table13[[#This Row],[Date]]-DAY(Table13[[#This Row],[Date]])+1</f>
        <v>45931</v>
      </c>
      <c r="E200" s="9">
        <f t="shared" si="15"/>
        <v>31</v>
      </c>
      <c r="F200" s="199" t="str">
        <f>IFERROR(_xlfn.XLOOKUP($A200,Input_Raw!$A:$A,Input_Raw!$FC:$FC),"")</f>
        <v/>
      </c>
      <c r="G200" s="200" t="str">
        <f>IFERROR(_xlfn.XLOOKUP($A200,Input_Raw!$A:$A,Input_Raw!$CY:$CY),"")</f>
        <v/>
      </c>
      <c r="H200" s="200" t="str">
        <f>IFERROR(_xlfn.XLOOKUP($A200,Input_Raw!$A:$A,Input_Raw!$DA:$DA),"")</f>
        <v/>
      </c>
      <c r="I200" s="200" t="str">
        <f>IFERROR(_xlfn.XLOOKUP($A200,Input_Raw!$A:$A,Input_Raw!$CX:$CX),"")</f>
        <v/>
      </c>
      <c r="J200" s="200" t="str">
        <f>IFERROR(_xlfn.XLOOKUP($A200,Input_Raw!$A:$A,Input_Raw!$CZ:$CZ),"")</f>
        <v/>
      </c>
      <c r="K200" s="201" t="str">
        <f>IFERROR(_xlfn.XLOOKUP($A200,Input_Raw!$A:$A,Input_Raw!$DB:$DB),"")</f>
        <v/>
      </c>
      <c r="L200" s="201" t="str">
        <f>IFERROR(_xlfn.XLOOKUP($A200,Input_Raw!$A:$A,Input_Raw!$DC:$DC),"")</f>
        <v/>
      </c>
      <c r="M200" s="200" t="str">
        <f>IFERROR(_xlfn.XLOOKUP($A200,Input_Raw!$A:$A,Input_Raw!$DF:$DF),"")</f>
        <v/>
      </c>
      <c r="N200" s="200" t="str">
        <f>IFERROR(_xlfn.XLOOKUP($A200,Input_Raw!$A:$A,Input_Raw!$DG:$DG),"")</f>
        <v/>
      </c>
      <c r="O200" s="230" t="str">
        <f>IFERROR(1-(SUMIF(Plant_BD!$B:$B,$A200,Plant_BD!$AL:$AL)/($AA200+SUMIF(Plant_BD!$B:$B,$A200,Plant_BD!$AL:$AL))),"")</f>
        <v/>
      </c>
      <c r="P200" s="230"/>
      <c r="Q200" s="231" t="str">
        <f>IFERROR(1-(SUMIF(Grid_BD!$B:$B,$A200,Grid_BD!$V:$V)/($AA200+SUMIF(Grid_BD!$B:$B,$A200,Grid_BD!$V:$V))),"")</f>
        <v/>
      </c>
      <c r="R200" s="230" t="str">
        <f>IFERROR(1-(SUMIF(Grid_BD!$B:$B,$A200,Grid_BD!$V:$V)/($AA200+SUMIF(Grid_BD!$B:$B,$A200,Grid_BD!$V:$V))),"")</f>
        <v/>
      </c>
      <c r="S200" s="9"/>
      <c r="T200" s="231"/>
      <c r="U200" s="232" t="str">
        <f t="shared" si="16"/>
        <v/>
      </c>
      <c r="V200" s="232" t="str">
        <f>IFERROR(_xlfn.XLOOKUP($A200,Input_Raw!$A:$A,Input_Raw!$FG:$FG),"")</f>
        <v/>
      </c>
      <c r="W200" s="233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85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33">
        <f>IFERROR(_xlfn.XLOOKUP($D200,'Modelling New'!$D:$D,'Modelling New'!O:O),"")</f>
        <v>0.83889907823519261</v>
      </c>
      <c r="AF200" s="233">
        <f>IFERROR(_xlfn.XLOOKUP($D200,'Modelling New'!$D:$D,'Modelling New'!W:W),"")</f>
        <v>0.20363598592644594</v>
      </c>
      <c r="AG200" s="233">
        <f>IFERROR(_xlfn.XLOOKUP($D200,'Modelling New'!$D:$D,'Modelling New'!AE:AE),"")</f>
        <v>0.995</v>
      </c>
      <c r="AH200" s="233">
        <f>IFERROR(_xlfn.XLOOKUP($D200,'Modelling New'!$D:$D,'Modelling New'!AF:AF),"")</f>
        <v>0.995</v>
      </c>
      <c r="AI200" s="9"/>
      <c r="AJ200" s="9"/>
      <c r="AK200" s="256"/>
      <c r="AL200" s="256"/>
      <c r="AM200" s="256"/>
      <c r="AN200" s="230"/>
      <c r="AO200" s="233"/>
      <c r="AP200" s="233"/>
      <c r="AQ200" s="233"/>
      <c r="AR200" s="234">
        <f>_xlfn.XLOOKUP(D200,'Modelling New'!$D:$D,'Modelling New'!$N:$N)</f>
        <v>130</v>
      </c>
      <c r="AS200" s="234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29">
        <f>Table13[[#This Row],[Date]]-DAY(Table13[[#This Row],[Date]])+1</f>
        <v>45931</v>
      </c>
      <c r="E201" s="9">
        <f t="shared" si="15"/>
        <v>31</v>
      </c>
      <c r="F201" s="199" t="str">
        <f>IFERROR(_xlfn.XLOOKUP($A201,Input_Raw!$A:$A,Input_Raw!$FC:$FC),"")</f>
        <v/>
      </c>
      <c r="G201" s="185" t="str">
        <f>IFERROR(_xlfn.XLOOKUP($A201,Input_Raw!$A:$A,Input_Raw!$CY:$CY),"")</f>
        <v/>
      </c>
      <c r="H201" s="185" t="str">
        <f>IFERROR(_xlfn.XLOOKUP($A201,Input_Raw!$A:$A,Input_Raw!$DA:$DA),"")</f>
        <v/>
      </c>
      <c r="I201" s="185" t="str">
        <f>IFERROR(_xlfn.XLOOKUP($A201,Input_Raw!$A:$A,Input_Raw!$CX:$CX),"")</f>
        <v/>
      </c>
      <c r="J201" s="185" t="str">
        <f>IFERROR(_xlfn.XLOOKUP($A201,Input_Raw!$A:$A,Input_Raw!$CZ:$CZ),"")</f>
        <v/>
      </c>
      <c r="K201" s="201" t="str">
        <f>IFERROR(_xlfn.XLOOKUP($A201,Input_Raw!$A:$A,Input_Raw!$DB:$DB),"")</f>
        <v/>
      </c>
      <c r="L201" s="201" t="str">
        <f>IFERROR(_xlfn.XLOOKUP($A201,Input_Raw!$A:$A,Input_Raw!$DC:$DC),"")</f>
        <v/>
      </c>
      <c r="M201" s="200" t="str">
        <f>IFERROR(_xlfn.XLOOKUP($A201,Input_Raw!$A:$A,Input_Raw!$DF:$DF),"")</f>
        <v/>
      </c>
      <c r="N201" s="200" t="str">
        <f>IFERROR(_xlfn.XLOOKUP($A201,Input_Raw!$A:$A,Input_Raw!$DG:$DG),"")</f>
        <v/>
      </c>
      <c r="O201" s="230" t="str">
        <f>IFERROR(1-(SUMIF(Plant_BD!$B:$B,$A201,Plant_BD!$AL:$AL)/($AA201+SUMIF(Plant_BD!$B:$B,$A201,Plant_BD!$AL:$AL))),"")</f>
        <v/>
      </c>
      <c r="P201" s="230"/>
      <c r="Q201" s="231" t="str">
        <f>IFERROR(1-(SUMIF(Grid_BD!$B:$B,$A201,Grid_BD!$V:$V)/($AA201+SUMIF(Grid_BD!$B:$B,$A201,Grid_BD!$V:$V))),"")</f>
        <v/>
      </c>
      <c r="R201" s="230" t="str">
        <f>IFERROR(1-(SUMIF(Grid_BD!$B:$B,$A201,Grid_BD!$V:$V)/($AA201+SUMIF(Grid_BD!$B:$B,$A201,Grid_BD!$V:$V))),"")</f>
        <v/>
      </c>
      <c r="S201" s="9"/>
      <c r="T201" s="231"/>
      <c r="U201" s="232" t="str">
        <f t="shared" si="16"/>
        <v/>
      </c>
      <c r="V201" s="232" t="str">
        <f>IFERROR(_xlfn.XLOOKUP($A201,Input_Raw!$A:$A,Input_Raw!$FG:$FG),"")</f>
        <v/>
      </c>
      <c r="W201" s="233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85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33">
        <f>IFERROR(_xlfn.XLOOKUP($D201,'Modelling New'!$D:$D,'Modelling New'!O:O),"")</f>
        <v>0.83889907823519261</v>
      </c>
      <c r="AF201" s="233">
        <f>IFERROR(_xlfn.XLOOKUP($D201,'Modelling New'!$D:$D,'Modelling New'!W:W),"")</f>
        <v>0.20363598592644594</v>
      </c>
      <c r="AG201" s="233">
        <f>IFERROR(_xlfn.XLOOKUP($D201,'Modelling New'!$D:$D,'Modelling New'!AE:AE),"")</f>
        <v>0.995</v>
      </c>
      <c r="AH201" s="233">
        <f>IFERROR(_xlfn.XLOOKUP($D201,'Modelling New'!$D:$D,'Modelling New'!AF:AF),"")</f>
        <v>0.995</v>
      </c>
      <c r="AI201" s="9"/>
      <c r="AJ201" s="9"/>
      <c r="AK201" s="256"/>
      <c r="AL201" s="256"/>
      <c r="AM201" s="256"/>
      <c r="AN201" s="230"/>
      <c r="AO201" s="233"/>
      <c r="AP201" s="233"/>
      <c r="AQ201" s="233"/>
      <c r="AR201" s="234">
        <f>_xlfn.XLOOKUP(D201,'Modelling New'!$D:$D,'Modelling New'!$N:$N)</f>
        <v>130</v>
      </c>
      <c r="AS201" s="234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29">
        <f>Table13[[#This Row],[Date]]-DAY(Table13[[#This Row],[Date]])+1</f>
        <v>45931</v>
      </c>
      <c r="E202" s="9">
        <f t="shared" si="15"/>
        <v>31</v>
      </c>
      <c r="F202" s="199" t="str">
        <f>IFERROR(_xlfn.XLOOKUP($A202,Input_Raw!$A:$A,Input_Raw!$FC:$FC),"")</f>
        <v/>
      </c>
      <c r="G202" s="200" t="str">
        <f>IFERROR(_xlfn.XLOOKUP($A202,Input_Raw!$A:$A,Input_Raw!$CY:$CY),"")</f>
        <v/>
      </c>
      <c r="H202" s="200" t="str">
        <f>IFERROR(_xlfn.XLOOKUP($A202,Input_Raw!$A:$A,Input_Raw!$DA:$DA),"")</f>
        <v/>
      </c>
      <c r="I202" s="200" t="str">
        <f>IFERROR(_xlfn.XLOOKUP($A202,Input_Raw!$A:$A,Input_Raw!$CX:$CX),"")</f>
        <v/>
      </c>
      <c r="J202" s="200" t="str">
        <f>IFERROR(_xlfn.XLOOKUP($A202,Input_Raw!$A:$A,Input_Raw!$CZ:$CZ),"")</f>
        <v/>
      </c>
      <c r="K202" s="201" t="str">
        <f>IFERROR(_xlfn.XLOOKUP($A202,Input_Raw!$A:$A,Input_Raw!$DB:$DB),"")</f>
        <v/>
      </c>
      <c r="L202" s="201" t="str">
        <f>IFERROR(_xlfn.XLOOKUP($A202,Input_Raw!$A:$A,Input_Raw!$DC:$DC),"")</f>
        <v/>
      </c>
      <c r="M202" s="200" t="str">
        <f>IFERROR(_xlfn.XLOOKUP($A202,Input_Raw!$A:$A,Input_Raw!$DF:$DF),"")</f>
        <v/>
      </c>
      <c r="N202" s="200" t="str">
        <f>IFERROR(_xlfn.XLOOKUP($A202,Input_Raw!$A:$A,Input_Raw!$DG:$DG),"")</f>
        <v/>
      </c>
      <c r="O202" s="230" t="str">
        <f>IFERROR(1-(SUMIF(Plant_BD!$B:$B,$A202,Plant_BD!$AL:$AL)/($AA202+SUMIF(Plant_BD!$B:$B,$A202,Plant_BD!$AL:$AL))),"")</f>
        <v/>
      </c>
      <c r="P202" s="230"/>
      <c r="Q202" s="231" t="str">
        <f>IFERROR(1-(SUMIF(Grid_BD!$B:$B,$A202,Grid_BD!$V:$V)/($AA202+SUMIF(Grid_BD!$B:$B,$A202,Grid_BD!$V:$V))),"")</f>
        <v/>
      </c>
      <c r="R202" s="230" t="str">
        <f>IFERROR(1-(SUMIF(Grid_BD!$B:$B,$A202,Grid_BD!$V:$V)/($AA202+SUMIF(Grid_BD!$B:$B,$A202,Grid_BD!$V:$V))),"")</f>
        <v/>
      </c>
      <c r="S202" s="9"/>
      <c r="T202" s="231"/>
      <c r="U202" s="232" t="str">
        <f t="shared" si="16"/>
        <v/>
      </c>
      <c r="V202" s="232" t="str">
        <f>IFERROR(_xlfn.XLOOKUP($A202,Input_Raw!$A:$A,Input_Raw!$FG:$FG),"")</f>
        <v/>
      </c>
      <c r="W202" s="233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85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33">
        <f>IFERROR(_xlfn.XLOOKUP($D202,'Modelling New'!$D:$D,'Modelling New'!O:O),"")</f>
        <v>0.83889907823519261</v>
      </c>
      <c r="AF202" s="233">
        <f>IFERROR(_xlfn.XLOOKUP($D202,'Modelling New'!$D:$D,'Modelling New'!W:W),"")</f>
        <v>0.20363598592644594</v>
      </c>
      <c r="AG202" s="233">
        <f>IFERROR(_xlfn.XLOOKUP($D202,'Modelling New'!$D:$D,'Modelling New'!AE:AE),"")</f>
        <v>0.995</v>
      </c>
      <c r="AH202" s="233">
        <f>IFERROR(_xlfn.XLOOKUP($D202,'Modelling New'!$D:$D,'Modelling New'!AF:AF),"")</f>
        <v>0.995</v>
      </c>
      <c r="AI202" s="9"/>
      <c r="AJ202" s="9"/>
      <c r="AK202" s="256"/>
      <c r="AL202" s="256"/>
      <c r="AM202" s="256"/>
      <c r="AN202" s="230"/>
      <c r="AO202" s="233"/>
      <c r="AP202" s="233"/>
      <c r="AQ202" s="233"/>
      <c r="AR202" s="234">
        <f>_xlfn.XLOOKUP(D202,'Modelling New'!$D:$D,'Modelling New'!$N:$N)</f>
        <v>130</v>
      </c>
      <c r="AS202" s="234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29">
        <f>Table13[[#This Row],[Date]]-DAY(Table13[[#This Row],[Date]])+1</f>
        <v>45931</v>
      </c>
      <c r="E203" s="9">
        <f t="shared" si="15"/>
        <v>31</v>
      </c>
      <c r="F203" s="199" t="str">
        <f>IFERROR(_xlfn.XLOOKUP($A203,Input_Raw!$A:$A,Input_Raw!$FC:$FC),"")</f>
        <v/>
      </c>
      <c r="G203" s="185" t="str">
        <f>IFERROR(_xlfn.XLOOKUP($A203,Input_Raw!$A:$A,Input_Raw!$CY:$CY),"")</f>
        <v/>
      </c>
      <c r="H203" s="185" t="str">
        <f>IFERROR(_xlfn.XLOOKUP($A203,Input_Raw!$A:$A,Input_Raw!$DA:$DA),"")</f>
        <v/>
      </c>
      <c r="I203" s="185" t="str">
        <f>IFERROR(_xlfn.XLOOKUP($A203,Input_Raw!$A:$A,Input_Raw!$CX:$CX),"")</f>
        <v/>
      </c>
      <c r="J203" s="185" t="str">
        <f>IFERROR(_xlfn.XLOOKUP($A203,Input_Raw!$A:$A,Input_Raw!$CZ:$CZ),"")</f>
        <v/>
      </c>
      <c r="K203" s="201" t="str">
        <f>IFERROR(_xlfn.XLOOKUP($A203,Input_Raw!$A:$A,Input_Raw!$DB:$DB),"")</f>
        <v/>
      </c>
      <c r="L203" s="201" t="str">
        <f>IFERROR(_xlfn.XLOOKUP($A203,Input_Raw!$A:$A,Input_Raw!$DC:$DC),"")</f>
        <v/>
      </c>
      <c r="M203" s="200" t="str">
        <f>IFERROR(_xlfn.XLOOKUP($A203,Input_Raw!$A:$A,Input_Raw!$DF:$DF),"")</f>
        <v/>
      </c>
      <c r="N203" s="200" t="str">
        <f>IFERROR(_xlfn.XLOOKUP($A203,Input_Raw!$A:$A,Input_Raw!$DG:$DG),"")</f>
        <v/>
      </c>
      <c r="O203" s="230" t="str">
        <f>IFERROR(1-(SUMIF(Plant_BD!$B:$B,$A203,Plant_BD!$AL:$AL)/($AA203+SUMIF(Plant_BD!$B:$B,$A203,Plant_BD!$AL:$AL))),"")</f>
        <v/>
      </c>
      <c r="P203" s="230"/>
      <c r="Q203" s="231" t="str">
        <f>IFERROR(1-(SUMIF(Grid_BD!$B:$B,$A203,Grid_BD!$V:$V)/($AA203+SUMIF(Grid_BD!$B:$B,$A203,Grid_BD!$V:$V))),"")</f>
        <v/>
      </c>
      <c r="R203" s="230" t="str">
        <f>IFERROR(1-(SUMIF(Grid_BD!$B:$B,$A203,Grid_BD!$V:$V)/($AA203+SUMIF(Grid_BD!$B:$B,$A203,Grid_BD!$V:$V))),"")</f>
        <v/>
      </c>
      <c r="S203" s="9"/>
      <c r="T203" s="231"/>
      <c r="U203" s="232" t="str">
        <f t="shared" si="16"/>
        <v/>
      </c>
      <c r="V203" s="232" t="str">
        <f>IFERROR(_xlfn.XLOOKUP($A203,Input_Raw!$A:$A,Input_Raw!$FG:$FG),"")</f>
        <v/>
      </c>
      <c r="W203" s="233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85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33">
        <f>IFERROR(_xlfn.XLOOKUP($D203,'Modelling New'!$D:$D,'Modelling New'!O:O),"")</f>
        <v>0.83889907823519261</v>
      </c>
      <c r="AF203" s="233">
        <f>IFERROR(_xlfn.XLOOKUP($D203,'Modelling New'!$D:$D,'Modelling New'!W:W),"")</f>
        <v>0.20363598592644594</v>
      </c>
      <c r="AG203" s="233">
        <f>IFERROR(_xlfn.XLOOKUP($D203,'Modelling New'!$D:$D,'Modelling New'!AE:AE),"")</f>
        <v>0.995</v>
      </c>
      <c r="AH203" s="233">
        <f>IFERROR(_xlfn.XLOOKUP($D203,'Modelling New'!$D:$D,'Modelling New'!AF:AF),"")</f>
        <v>0.995</v>
      </c>
      <c r="AI203" s="9"/>
      <c r="AJ203" s="9"/>
      <c r="AK203" s="256"/>
      <c r="AL203" s="256"/>
      <c r="AM203" s="256"/>
      <c r="AN203" s="230"/>
      <c r="AO203" s="233"/>
      <c r="AP203" s="233"/>
      <c r="AQ203" s="233"/>
      <c r="AR203" s="234">
        <f>_xlfn.XLOOKUP(D203,'Modelling New'!$D:$D,'Modelling New'!$N:$N)</f>
        <v>130</v>
      </c>
      <c r="AS203" s="234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29">
        <f>Table13[[#This Row],[Date]]-DAY(Table13[[#This Row],[Date]])+1</f>
        <v>45931</v>
      </c>
      <c r="E204" s="9">
        <f t="shared" si="15"/>
        <v>31</v>
      </c>
      <c r="F204" s="199" t="str">
        <f>IFERROR(_xlfn.XLOOKUP($A204,Input_Raw!$A:$A,Input_Raw!$FC:$FC),"")</f>
        <v/>
      </c>
      <c r="G204" s="200" t="str">
        <f>IFERROR(_xlfn.XLOOKUP($A204,Input_Raw!$A:$A,Input_Raw!$CY:$CY),"")</f>
        <v/>
      </c>
      <c r="H204" s="200" t="str">
        <f>IFERROR(_xlfn.XLOOKUP($A204,Input_Raw!$A:$A,Input_Raw!$DA:$DA),"")</f>
        <v/>
      </c>
      <c r="I204" s="200" t="str">
        <f>IFERROR(_xlfn.XLOOKUP($A204,Input_Raw!$A:$A,Input_Raw!$CX:$CX),"")</f>
        <v/>
      </c>
      <c r="J204" s="200" t="str">
        <f>IFERROR(_xlfn.XLOOKUP($A204,Input_Raw!$A:$A,Input_Raw!$CZ:$CZ),"")</f>
        <v/>
      </c>
      <c r="K204" s="201" t="str">
        <f>IFERROR(_xlfn.XLOOKUP($A204,Input_Raw!$A:$A,Input_Raw!$DB:$DB),"")</f>
        <v/>
      </c>
      <c r="L204" s="201" t="str">
        <f>IFERROR(_xlfn.XLOOKUP($A204,Input_Raw!$A:$A,Input_Raw!$DC:$DC),"")</f>
        <v/>
      </c>
      <c r="M204" s="200" t="str">
        <f>IFERROR(_xlfn.XLOOKUP($A204,Input_Raw!$A:$A,Input_Raw!$DF:$DF),"")</f>
        <v/>
      </c>
      <c r="N204" s="200" t="str">
        <f>IFERROR(_xlfn.XLOOKUP($A204,Input_Raw!$A:$A,Input_Raw!$DG:$DG),"")</f>
        <v/>
      </c>
      <c r="O204" s="230" t="str">
        <f>IFERROR(1-(SUMIF(Plant_BD!$B:$B,$A204,Plant_BD!$AL:$AL)/($AA204+SUMIF(Plant_BD!$B:$B,$A204,Plant_BD!$AL:$AL))),"")</f>
        <v/>
      </c>
      <c r="P204" s="230"/>
      <c r="Q204" s="231" t="str">
        <f>IFERROR(1-(SUMIF(Grid_BD!$B:$B,$A204,Grid_BD!$V:$V)/($AA204+SUMIF(Grid_BD!$B:$B,$A204,Grid_BD!$V:$V))),"")</f>
        <v/>
      </c>
      <c r="R204" s="230" t="str">
        <f>IFERROR(1-(SUMIF(Grid_BD!$B:$B,$A204,Grid_BD!$V:$V)/($AA204+SUMIF(Grid_BD!$B:$B,$A204,Grid_BD!$V:$V))),"")</f>
        <v/>
      </c>
      <c r="S204" s="9"/>
      <c r="T204" s="231"/>
      <c r="U204" s="232" t="str">
        <f t="shared" si="16"/>
        <v/>
      </c>
      <c r="V204" s="232" t="str">
        <f>IFERROR(_xlfn.XLOOKUP($A204,Input_Raw!$A:$A,Input_Raw!$FG:$FG),"")</f>
        <v/>
      </c>
      <c r="W204" s="233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85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33">
        <f>IFERROR(_xlfn.XLOOKUP($D204,'Modelling New'!$D:$D,'Modelling New'!O:O),"")</f>
        <v>0.83889907823519261</v>
      </c>
      <c r="AF204" s="233">
        <f>IFERROR(_xlfn.XLOOKUP($D204,'Modelling New'!$D:$D,'Modelling New'!W:W),"")</f>
        <v>0.20363598592644594</v>
      </c>
      <c r="AG204" s="233">
        <f>IFERROR(_xlfn.XLOOKUP($D204,'Modelling New'!$D:$D,'Modelling New'!AE:AE),"")</f>
        <v>0.995</v>
      </c>
      <c r="AH204" s="233">
        <f>IFERROR(_xlfn.XLOOKUP($D204,'Modelling New'!$D:$D,'Modelling New'!AF:AF),"")</f>
        <v>0.995</v>
      </c>
      <c r="AI204" s="9"/>
      <c r="AJ204" s="9"/>
      <c r="AK204" s="256"/>
      <c r="AL204" s="256"/>
      <c r="AM204" s="256"/>
      <c r="AN204" s="230"/>
      <c r="AO204" s="233"/>
      <c r="AP204" s="233"/>
      <c r="AQ204" s="233"/>
      <c r="AR204" s="234">
        <f>_xlfn.XLOOKUP(D204,'Modelling New'!$D:$D,'Modelling New'!$N:$N)</f>
        <v>130</v>
      </c>
      <c r="AS204" s="234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29">
        <f>Table13[[#This Row],[Date]]-DAY(Table13[[#This Row],[Date]])+1</f>
        <v>45931</v>
      </c>
      <c r="E205" s="9">
        <f t="shared" si="15"/>
        <v>31</v>
      </c>
      <c r="F205" s="199" t="str">
        <f>IFERROR(_xlfn.XLOOKUP($A205,Input_Raw!$A:$A,Input_Raw!$FC:$FC),"")</f>
        <v/>
      </c>
      <c r="G205" s="185" t="str">
        <f>IFERROR(_xlfn.XLOOKUP($A205,Input_Raw!$A:$A,Input_Raw!$CY:$CY),"")</f>
        <v/>
      </c>
      <c r="H205" s="185" t="str">
        <f>IFERROR(_xlfn.XLOOKUP($A205,Input_Raw!$A:$A,Input_Raw!$DA:$DA),"")</f>
        <v/>
      </c>
      <c r="I205" s="185" t="str">
        <f>IFERROR(_xlfn.XLOOKUP($A205,Input_Raw!$A:$A,Input_Raw!$CX:$CX),"")</f>
        <v/>
      </c>
      <c r="J205" s="185" t="str">
        <f>IFERROR(_xlfn.XLOOKUP($A205,Input_Raw!$A:$A,Input_Raw!$CZ:$CZ),"")</f>
        <v/>
      </c>
      <c r="K205" s="201" t="str">
        <f>IFERROR(_xlfn.XLOOKUP($A205,Input_Raw!$A:$A,Input_Raw!$DB:$DB),"")</f>
        <v/>
      </c>
      <c r="L205" s="201" t="str">
        <f>IFERROR(_xlfn.XLOOKUP($A205,Input_Raw!$A:$A,Input_Raw!$DC:$DC),"")</f>
        <v/>
      </c>
      <c r="M205" s="200" t="str">
        <f>IFERROR(_xlfn.XLOOKUP($A205,Input_Raw!$A:$A,Input_Raw!$DF:$DF),"")</f>
        <v/>
      </c>
      <c r="N205" s="200" t="str">
        <f>IFERROR(_xlfn.XLOOKUP($A205,Input_Raw!$A:$A,Input_Raw!$DG:$DG),"")</f>
        <v/>
      </c>
      <c r="O205" s="230" t="str">
        <f>IFERROR(1-(SUMIF(Plant_BD!$B:$B,$A205,Plant_BD!$AL:$AL)/($AA205+SUMIF(Plant_BD!$B:$B,$A205,Plant_BD!$AL:$AL))),"")</f>
        <v/>
      </c>
      <c r="P205" s="230"/>
      <c r="Q205" s="231" t="str">
        <f>IFERROR(1-(SUMIF(Grid_BD!$B:$B,$A205,Grid_BD!$V:$V)/($AA205+SUMIF(Grid_BD!$B:$B,$A205,Grid_BD!$V:$V))),"")</f>
        <v/>
      </c>
      <c r="R205" s="230" t="str">
        <f>IFERROR(1-(SUMIF(Grid_BD!$B:$B,$A205,Grid_BD!$V:$V)/($AA205+SUMIF(Grid_BD!$B:$B,$A205,Grid_BD!$V:$V))),"")</f>
        <v/>
      </c>
      <c r="S205" s="9"/>
      <c r="T205" s="231"/>
      <c r="U205" s="232" t="str">
        <f t="shared" si="16"/>
        <v/>
      </c>
      <c r="V205" s="232" t="str">
        <f>IFERROR(_xlfn.XLOOKUP($A205,Input_Raw!$A:$A,Input_Raw!$FG:$FG),"")</f>
        <v/>
      </c>
      <c r="W205" s="233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85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33">
        <f>IFERROR(_xlfn.XLOOKUP($D205,'Modelling New'!$D:$D,'Modelling New'!O:O),"")</f>
        <v>0.83889907823519261</v>
      </c>
      <c r="AF205" s="233">
        <f>IFERROR(_xlfn.XLOOKUP($D205,'Modelling New'!$D:$D,'Modelling New'!W:W),"")</f>
        <v>0.20363598592644594</v>
      </c>
      <c r="AG205" s="233">
        <f>IFERROR(_xlfn.XLOOKUP($D205,'Modelling New'!$D:$D,'Modelling New'!AE:AE),"")</f>
        <v>0.995</v>
      </c>
      <c r="AH205" s="233">
        <f>IFERROR(_xlfn.XLOOKUP($D205,'Modelling New'!$D:$D,'Modelling New'!AF:AF),"")</f>
        <v>0.995</v>
      </c>
      <c r="AI205" s="9"/>
      <c r="AJ205" s="9"/>
      <c r="AK205" s="256"/>
      <c r="AL205" s="256"/>
      <c r="AM205" s="256"/>
      <c r="AN205" s="230"/>
      <c r="AO205" s="233"/>
      <c r="AP205" s="233"/>
      <c r="AQ205" s="233"/>
      <c r="AR205" s="234">
        <f>_xlfn.XLOOKUP(D205,'Modelling New'!$D:$D,'Modelling New'!$N:$N)</f>
        <v>130</v>
      </c>
      <c r="AS205" s="234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29">
        <f>Table13[[#This Row],[Date]]-DAY(Table13[[#This Row],[Date]])+1</f>
        <v>45931</v>
      </c>
      <c r="E206" s="9">
        <f t="shared" si="15"/>
        <v>31</v>
      </c>
      <c r="F206" s="199" t="str">
        <f>IFERROR(_xlfn.XLOOKUP($A206,Input_Raw!$A:$A,Input_Raw!$FC:$FC),"")</f>
        <v/>
      </c>
      <c r="G206" s="200" t="str">
        <f>IFERROR(_xlfn.XLOOKUP($A206,Input_Raw!$A:$A,Input_Raw!$CY:$CY),"")</f>
        <v/>
      </c>
      <c r="H206" s="200" t="str">
        <f>IFERROR(_xlfn.XLOOKUP($A206,Input_Raw!$A:$A,Input_Raw!$DA:$DA),"")</f>
        <v/>
      </c>
      <c r="I206" s="200" t="str">
        <f>IFERROR(_xlfn.XLOOKUP($A206,Input_Raw!$A:$A,Input_Raw!$CX:$CX),"")</f>
        <v/>
      </c>
      <c r="J206" s="200" t="str">
        <f>IFERROR(_xlfn.XLOOKUP($A206,Input_Raw!$A:$A,Input_Raw!$CZ:$CZ),"")</f>
        <v/>
      </c>
      <c r="K206" s="201" t="str">
        <f>IFERROR(_xlfn.XLOOKUP($A206,Input_Raw!$A:$A,Input_Raw!$DB:$DB),"")</f>
        <v/>
      </c>
      <c r="L206" s="201" t="str">
        <f>IFERROR(_xlfn.XLOOKUP($A206,Input_Raw!$A:$A,Input_Raw!$DC:$DC),"")</f>
        <v/>
      </c>
      <c r="M206" s="200" t="str">
        <f>IFERROR(_xlfn.XLOOKUP($A206,Input_Raw!$A:$A,Input_Raw!$DF:$DF),"")</f>
        <v/>
      </c>
      <c r="N206" s="200" t="str">
        <f>IFERROR(_xlfn.XLOOKUP($A206,Input_Raw!$A:$A,Input_Raw!$DG:$DG),"")</f>
        <v/>
      </c>
      <c r="O206" s="230" t="str">
        <f>IFERROR(1-(SUMIF(Plant_BD!$B:$B,$A206,Plant_BD!$AL:$AL)/($AA206+SUMIF(Plant_BD!$B:$B,$A206,Plant_BD!$AL:$AL))),"")</f>
        <v/>
      </c>
      <c r="P206" s="230"/>
      <c r="Q206" s="231" t="str">
        <f>IFERROR(1-(SUMIF(Grid_BD!$B:$B,$A206,Grid_BD!$V:$V)/($AA206+SUMIF(Grid_BD!$B:$B,$A206,Grid_BD!$V:$V))),"")</f>
        <v/>
      </c>
      <c r="R206" s="230" t="str">
        <f>IFERROR(1-(SUMIF(Grid_BD!$B:$B,$A206,Grid_BD!$V:$V)/($AA206+SUMIF(Grid_BD!$B:$B,$A206,Grid_BD!$V:$V))),"")</f>
        <v/>
      </c>
      <c r="S206" s="9"/>
      <c r="T206" s="231"/>
      <c r="U206" s="232" t="str">
        <f t="shared" si="16"/>
        <v/>
      </c>
      <c r="V206" s="232" t="str">
        <f>IFERROR(_xlfn.XLOOKUP($A206,Input_Raw!$A:$A,Input_Raw!$FG:$FG),"")</f>
        <v/>
      </c>
      <c r="W206" s="233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85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33">
        <f>IFERROR(_xlfn.XLOOKUP($D206,'Modelling New'!$D:$D,'Modelling New'!O:O),"")</f>
        <v>0.83889907823519261</v>
      </c>
      <c r="AF206" s="233">
        <f>IFERROR(_xlfn.XLOOKUP($D206,'Modelling New'!$D:$D,'Modelling New'!W:W),"")</f>
        <v>0.20363598592644594</v>
      </c>
      <c r="AG206" s="233">
        <f>IFERROR(_xlfn.XLOOKUP($D206,'Modelling New'!$D:$D,'Modelling New'!AE:AE),"")</f>
        <v>0.995</v>
      </c>
      <c r="AH206" s="233">
        <f>IFERROR(_xlfn.XLOOKUP($D206,'Modelling New'!$D:$D,'Modelling New'!AF:AF),"")</f>
        <v>0.995</v>
      </c>
      <c r="AI206" s="9"/>
      <c r="AJ206" s="9"/>
      <c r="AK206" s="256"/>
      <c r="AL206" s="256"/>
      <c r="AM206" s="256"/>
      <c r="AN206" s="230"/>
      <c r="AO206" s="233"/>
      <c r="AP206" s="233"/>
      <c r="AQ206" s="233"/>
      <c r="AR206" s="234">
        <f>_xlfn.XLOOKUP(D206,'Modelling New'!$D:$D,'Modelling New'!$N:$N)</f>
        <v>130</v>
      </c>
      <c r="AS206" s="234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29">
        <f>Table13[[#This Row],[Date]]-DAY(Table13[[#This Row],[Date]])+1</f>
        <v>45931</v>
      </c>
      <c r="E207" s="9">
        <f t="shared" si="15"/>
        <v>31</v>
      </c>
      <c r="F207" s="199" t="str">
        <f>IFERROR(_xlfn.XLOOKUP($A207,Input_Raw!$A:$A,Input_Raw!$FC:$FC),"")</f>
        <v/>
      </c>
      <c r="G207" s="185" t="str">
        <f>IFERROR(_xlfn.XLOOKUP($A207,Input_Raw!$A:$A,Input_Raw!$CY:$CY),"")</f>
        <v/>
      </c>
      <c r="H207" s="185" t="str">
        <f>IFERROR(_xlfn.XLOOKUP($A207,Input_Raw!$A:$A,Input_Raw!$DA:$DA),"")</f>
        <v/>
      </c>
      <c r="I207" s="185" t="str">
        <f>IFERROR(_xlfn.XLOOKUP($A207,Input_Raw!$A:$A,Input_Raw!$CX:$CX),"")</f>
        <v/>
      </c>
      <c r="J207" s="185" t="str">
        <f>IFERROR(_xlfn.XLOOKUP($A207,Input_Raw!$A:$A,Input_Raw!$CZ:$CZ),"")</f>
        <v/>
      </c>
      <c r="K207" s="201" t="str">
        <f>IFERROR(_xlfn.XLOOKUP($A207,Input_Raw!$A:$A,Input_Raw!$DB:$DB),"")</f>
        <v/>
      </c>
      <c r="L207" s="201" t="str">
        <f>IFERROR(_xlfn.XLOOKUP($A207,Input_Raw!$A:$A,Input_Raw!$DC:$DC),"")</f>
        <v/>
      </c>
      <c r="M207" s="200" t="str">
        <f>IFERROR(_xlfn.XLOOKUP($A207,Input_Raw!$A:$A,Input_Raw!$DF:$DF),"")</f>
        <v/>
      </c>
      <c r="N207" s="200" t="str">
        <f>IFERROR(_xlfn.XLOOKUP($A207,Input_Raw!$A:$A,Input_Raw!$DG:$DG),"")</f>
        <v/>
      </c>
      <c r="O207" s="230" t="str">
        <f>IFERROR(1-(SUMIF(Plant_BD!$B:$B,$A207,Plant_BD!$AL:$AL)/($AA207+SUMIF(Plant_BD!$B:$B,$A207,Plant_BD!$AL:$AL))),"")</f>
        <v/>
      </c>
      <c r="P207" s="230"/>
      <c r="Q207" s="231" t="str">
        <f>IFERROR(1-(SUMIF(Grid_BD!$B:$B,$A207,Grid_BD!$V:$V)/($AA207+SUMIF(Grid_BD!$B:$B,$A207,Grid_BD!$V:$V))),"")</f>
        <v/>
      </c>
      <c r="R207" s="230" t="str">
        <f>IFERROR(1-(SUMIF(Grid_BD!$B:$B,$A207,Grid_BD!$V:$V)/($AA207+SUMIF(Grid_BD!$B:$B,$A207,Grid_BD!$V:$V))),"")</f>
        <v/>
      </c>
      <c r="S207" s="9"/>
      <c r="T207" s="231"/>
      <c r="U207" s="232" t="str">
        <f t="shared" si="16"/>
        <v/>
      </c>
      <c r="V207" s="232" t="str">
        <f>IFERROR(_xlfn.XLOOKUP($A207,Input_Raw!$A:$A,Input_Raw!$FG:$FG),"")</f>
        <v/>
      </c>
      <c r="W207" s="233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85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33">
        <f>IFERROR(_xlfn.XLOOKUP($D207,'Modelling New'!$D:$D,'Modelling New'!O:O),"")</f>
        <v>0.83889907823519261</v>
      </c>
      <c r="AF207" s="233">
        <f>IFERROR(_xlfn.XLOOKUP($D207,'Modelling New'!$D:$D,'Modelling New'!W:W),"")</f>
        <v>0.20363598592644594</v>
      </c>
      <c r="AG207" s="233">
        <f>IFERROR(_xlfn.XLOOKUP($D207,'Modelling New'!$D:$D,'Modelling New'!AE:AE),"")</f>
        <v>0.995</v>
      </c>
      <c r="AH207" s="233">
        <f>IFERROR(_xlfn.XLOOKUP($D207,'Modelling New'!$D:$D,'Modelling New'!AF:AF),"")</f>
        <v>0.995</v>
      </c>
      <c r="AI207" s="9"/>
      <c r="AJ207" s="9"/>
      <c r="AK207" s="256"/>
      <c r="AL207" s="256"/>
      <c r="AM207" s="256"/>
      <c r="AN207" s="230"/>
      <c r="AO207" s="233"/>
      <c r="AP207" s="233"/>
      <c r="AQ207" s="233"/>
      <c r="AR207" s="234">
        <f>_xlfn.XLOOKUP(D207,'Modelling New'!$D:$D,'Modelling New'!$N:$N)</f>
        <v>130</v>
      </c>
      <c r="AS207" s="234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29">
        <f>Table13[[#This Row],[Date]]-DAY(Table13[[#This Row],[Date]])+1</f>
        <v>45931</v>
      </c>
      <c r="E208" s="9">
        <f t="shared" si="15"/>
        <v>31</v>
      </c>
      <c r="F208" s="199" t="str">
        <f>IFERROR(_xlfn.XLOOKUP($A208,Input_Raw!$A:$A,Input_Raw!$FC:$FC),"")</f>
        <v/>
      </c>
      <c r="G208" s="200" t="str">
        <f>IFERROR(_xlfn.XLOOKUP($A208,Input_Raw!$A:$A,Input_Raw!$CY:$CY),"")</f>
        <v/>
      </c>
      <c r="H208" s="200" t="str">
        <f>IFERROR(_xlfn.XLOOKUP($A208,Input_Raw!$A:$A,Input_Raw!$DA:$DA),"")</f>
        <v/>
      </c>
      <c r="I208" s="200" t="str">
        <f>IFERROR(_xlfn.XLOOKUP($A208,Input_Raw!$A:$A,Input_Raw!$CX:$CX),"")</f>
        <v/>
      </c>
      <c r="J208" s="200" t="str">
        <f>IFERROR(_xlfn.XLOOKUP($A208,Input_Raw!$A:$A,Input_Raw!$CZ:$CZ),"")</f>
        <v/>
      </c>
      <c r="K208" s="201" t="str">
        <f>IFERROR(_xlfn.XLOOKUP($A208,Input_Raw!$A:$A,Input_Raw!$DB:$DB),"")</f>
        <v/>
      </c>
      <c r="L208" s="201" t="str">
        <f>IFERROR(_xlfn.XLOOKUP($A208,Input_Raw!$A:$A,Input_Raw!$DC:$DC),"")</f>
        <v/>
      </c>
      <c r="M208" s="200" t="str">
        <f>IFERROR(_xlfn.XLOOKUP($A208,Input_Raw!$A:$A,Input_Raw!$DF:$DF),"")</f>
        <v/>
      </c>
      <c r="N208" s="200" t="str">
        <f>IFERROR(_xlfn.XLOOKUP($A208,Input_Raw!$A:$A,Input_Raw!$DG:$DG),"")</f>
        <v/>
      </c>
      <c r="O208" s="230" t="str">
        <f>IFERROR(1-(SUMIF(Plant_BD!$B:$B,$A208,Plant_BD!$AL:$AL)/($AA208+SUMIF(Plant_BD!$B:$B,$A208,Plant_BD!$AL:$AL))),"")</f>
        <v/>
      </c>
      <c r="P208" s="230"/>
      <c r="Q208" s="231" t="str">
        <f>IFERROR(1-(SUMIF(Grid_BD!$B:$B,$A208,Grid_BD!$V:$V)/($AA208+SUMIF(Grid_BD!$B:$B,$A208,Grid_BD!$V:$V))),"")</f>
        <v/>
      </c>
      <c r="R208" s="230" t="str">
        <f>IFERROR(1-(SUMIF(Grid_BD!$B:$B,$A208,Grid_BD!$V:$V)/($AA208+SUMIF(Grid_BD!$B:$B,$A208,Grid_BD!$V:$V))),"")</f>
        <v/>
      </c>
      <c r="S208" s="9"/>
      <c r="T208" s="231"/>
      <c r="U208" s="232" t="str">
        <f t="shared" si="16"/>
        <v/>
      </c>
      <c r="V208" s="232" t="str">
        <f>IFERROR(_xlfn.XLOOKUP($A208,Input_Raw!$A:$A,Input_Raw!$FG:$FG),"")</f>
        <v/>
      </c>
      <c r="W208" s="233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85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33">
        <f>IFERROR(_xlfn.XLOOKUP($D208,'Modelling New'!$D:$D,'Modelling New'!O:O),"")</f>
        <v>0.83889907823519261</v>
      </c>
      <c r="AF208" s="233">
        <f>IFERROR(_xlfn.XLOOKUP($D208,'Modelling New'!$D:$D,'Modelling New'!W:W),"")</f>
        <v>0.20363598592644594</v>
      </c>
      <c r="AG208" s="233">
        <f>IFERROR(_xlfn.XLOOKUP($D208,'Modelling New'!$D:$D,'Modelling New'!AE:AE),"")</f>
        <v>0.995</v>
      </c>
      <c r="AH208" s="233">
        <f>IFERROR(_xlfn.XLOOKUP($D208,'Modelling New'!$D:$D,'Modelling New'!AF:AF),"")</f>
        <v>0.995</v>
      </c>
      <c r="AI208" s="9"/>
      <c r="AJ208" s="9"/>
      <c r="AK208" s="256"/>
      <c r="AL208" s="256"/>
      <c r="AM208" s="256"/>
      <c r="AN208" s="230"/>
      <c r="AO208" s="233"/>
      <c r="AP208" s="233"/>
      <c r="AQ208" s="233"/>
      <c r="AR208" s="234">
        <f>_xlfn.XLOOKUP(D208,'Modelling New'!$D:$D,'Modelling New'!$N:$N)</f>
        <v>130</v>
      </c>
      <c r="AS208" s="234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29">
        <f>Table13[[#This Row],[Date]]-DAY(Table13[[#This Row],[Date]])+1</f>
        <v>45931</v>
      </c>
      <c r="E209" s="9">
        <f t="shared" si="15"/>
        <v>31</v>
      </c>
      <c r="F209" s="199" t="str">
        <f>IFERROR(_xlfn.XLOOKUP($A209,Input_Raw!$A:$A,Input_Raw!$FC:$FC),"")</f>
        <v/>
      </c>
      <c r="G209" s="185" t="str">
        <f>IFERROR(_xlfn.XLOOKUP($A209,Input_Raw!$A:$A,Input_Raw!$CY:$CY),"")</f>
        <v/>
      </c>
      <c r="H209" s="185" t="str">
        <f>IFERROR(_xlfn.XLOOKUP($A209,Input_Raw!$A:$A,Input_Raw!$DA:$DA),"")</f>
        <v/>
      </c>
      <c r="I209" s="185" t="str">
        <f>IFERROR(_xlfn.XLOOKUP($A209,Input_Raw!$A:$A,Input_Raw!$CX:$CX),"")</f>
        <v/>
      </c>
      <c r="J209" s="185" t="str">
        <f>IFERROR(_xlfn.XLOOKUP($A209,Input_Raw!$A:$A,Input_Raw!$CZ:$CZ),"")</f>
        <v/>
      </c>
      <c r="K209" s="201" t="str">
        <f>IFERROR(_xlfn.XLOOKUP($A209,Input_Raw!$A:$A,Input_Raw!$DB:$DB),"")</f>
        <v/>
      </c>
      <c r="L209" s="201" t="str">
        <f>IFERROR(_xlfn.XLOOKUP($A209,Input_Raw!$A:$A,Input_Raw!$DC:$DC),"")</f>
        <v/>
      </c>
      <c r="M209" s="200" t="str">
        <f>IFERROR(_xlfn.XLOOKUP($A209,Input_Raw!$A:$A,Input_Raw!$DF:$DF),"")</f>
        <v/>
      </c>
      <c r="N209" s="200" t="str">
        <f>IFERROR(_xlfn.XLOOKUP($A209,Input_Raw!$A:$A,Input_Raw!$DG:$DG),"")</f>
        <v/>
      </c>
      <c r="O209" s="230" t="str">
        <f>IFERROR(1-(SUMIF(Plant_BD!$B:$B,$A209,Plant_BD!$AL:$AL)/($AA209+SUMIF(Plant_BD!$B:$B,$A209,Plant_BD!$AL:$AL))),"")</f>
        <v/>
      </c>
      <c r="P209" s="230"/>
      <c r="Q209" s="231" t="str">
        <f>IFERROR(1-(SUMIF(Grid_BD!$B:$B,$A209,Grid_BD!$V:$V)/($AA209+SUMIF(Grid_BD!$B:$B,$A209,Grid_BD!$V:$V))),"")</f>
        <v/>
      </c>
      <c r="R209" s="230" t="str">
        <f>IFERROR(1-(SUMIF(Grid_BD!$B:$B,$A209,Grid_BD!$V:$V)/($AA209+SUMIF(Grid_BD!$B:$B,$A209,Grid_BD!$V:$V))),"")</f>
        <v/>
      </c>
      <c r="S209" s="9"/>
      <c r="T209" s="231"/>
      <c r="U209" s="232" t="str">
        <f t="shared" si="16"/>
        <v/>
      </c>
      <c r="V209" s="232" t="str">
        <f>IFERROR(_xlfn.XLOOKUP($A209,Input_Raw!$A:$A,Input_Raw!$FG:$FG),"")</f>
        <v/>
      </c>
      <c r="W209" s="233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85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33">
        <f>IFERROR(_xlfn.XLOOKUP($D209,'Modelling New'!$D:$D,'Modelling New'!O:O),"")</f>
        <v>0.83889907823519261</v>
      </c>
      <c r="AF209" s="233">
        <f>IFERROR(_xlfn.XLOOKUP($D209,'Modelling New'!$D:$D,'Modelling New'!W:W),"")</f>
        <v>0.20363598592644594</v>
      </c>
      <c r="AG209" s="233">
        <f>IFERROR(_xlfn.XLOOKUP($D209,'Modelling New'!$D:$D,'Modelling New'!AE:AE),"")</f>
        <v>0.995</v>
      </c>
      <c r="AH209" s="233">
        <f>IFERROR(_xlfn.XLOOKUP($D209,'Modelling New'!$D:$D,'Modelling New'!AF:AF),"")</f>
        <v>0.995</v>
      </c>
      <c r="AI209" s="9"/>
      <c r="AJ209" s="9"/>
      <c r="AK209" s="256"/>
      <c r="AL209" s="256"/>
      <c r="AM209" s="256"/>
      <c r="AN209" s="230"/>
      <c r="AO209" s="233"/>
      <c r="AP209" s="233"/>
      <c r="AQ209" s="233"/>
      <c r="AR209" s="234">
        <f>_xlfn.XLOOKUP(D209,'Modelling New'!$D:$D,'Modelling New'!$N:$N)</f>
        <v>130</v>
      </c>
      <c r="AS209" s="234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29">
        <f>Table13[[#This Row],[Date]]-DAY(Table13[[#This Row],[Date]])+1</f>
        <v>45931</v>
      </c>
      <c r="E210" s="9">
        <f t="shared" si="15"/>
        <v>31</v>
      </c>
      <c r="F210" s="199" t="str">
        <f>IFERROR(_xlfn.XLOOKUP($A210,Input_Raw!$A:$A,Input_Raw!$FC:$FC),"")</f>
        <v/>
      </c>
      <c r="G210" s="200" t="str">
        <f>IFERROR(_xlfn.XLOOKUP($A210,Input_Raw!$A:$A,Input_Raw!$CY:$CY),"")</f>
        <v/>
      </c>
      <c r="H210" s="200" t="str">
        <f>IFERROR(_xlfn.XLOOKUP($A210,Input_Raw!$A:$A,Input_Raw!$DA:$DA),"")</f>
        <v/>
      </c>
      <c r="I210" s="200" t="str">
        <f>IFERROR(_xlfn.XLOOKUP($A210,Input_Raw!$A:$A,Input_Raw!$CX:$CX),"")</f>
        <v/>
      </c>
      <c r="J210" s="200" t="str">
        <f>IFERROR(_xlfn.XLOOKUP($A210,Input_Raw!$A:$A,Input_Raw!$CZ:$CZ),"")</f>
        <v/>
      </c>
      <c r="K210" s="201" t="str">
        <f>IFERROR(_xlfn.XLOOKUP($A210,Input_Raw!$A:$A,Input_Raw!$DB:$DB),"")</f>
        <v/>
      </c>
      <c r="L210" s="201" t="str">
        <f>IFERROR(_xlfn.XLOOKUP($A210,Input_Raw!$A:$A,Input_Raw!$DC:$DC),"")</f>
        <v/>
      </c>
      <c r="M210" s="200" t="str">
        <f>IFERROR(_xlfn.XLOOKUP($A210,Input_Raw!$A:$A,Input_Raw!$DF:$DF),"")</f>
        <v/>
      </c>
      <c r="N210" s="200" t="str">
        <f>IFERROR(_xlfn.XLOOKUP($A210,Input_Raw!$A:$A,Input_Raw!$DG:$DG),"")</f>
        <v/>
      </c>
      <c r="O210" s="230" t="str">
        <f>IFERROR(1-(SUMIF(Plant_BD!$B:$B,$A210,Plant_BD!$AL:$AL)/($AA210+SUMIF(Plant_BD!$B:$B,$A210,Plant_BD!$AL:$AL))),"")</f>
        <v/>
      </c>
      <c r="P210" s="230"/>
      <c r="Q210" s="231" t="str">
        <f>IFERROR(1-(SUMIF(Grid_BD!$B:$B,$A210,Grid_BD!$V:$V)/($AA210+SUMIF(Grid_BD!$B:$B,$A210,Grid_BD!$V:$V))),"")</f>
        <v/>
      </c>
      <c r="R210" s="230" t="str">
        <f>IFERROR(1-(SUMIF(Grid_BD!$B:$B,$A210,Grid_BD!$V:$V)/($AA210+SUMIF(Grid_BD!$B:$B,$A210,Grid_BD!$V:$V))),"")</f>
        <v/>
      </c>
      <c r="S210" s="9"/>
      <c r="T210" s="231"/>
      <c r="U210" s="232" t="str">
        <f t="shared" si="16"/>
        <v/>
      </c>
      <c r="V210" s="232" t="str">
        <f>IFERROR(_xlfn.XLOOKUP($A210,Input_Raw!$A:$A,Input_Raw!$FG:$FG),"")</f>
        <v/>
      </c>
      <c r="W210" s="233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85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33">
        <f>IFERROR(_xlfn.XLOOKUP($D210,'Modelling New'!$D:$D,'Modelling New'!O:O),"")</f>
        <v>0.83889907823519261</v>
      </c>
      <c r="AF210" s="233">
        <f>IFERROR(_xlfn.XLOOKUP($D210,'Modelling New'!$D:$D,'Modelling New'!W:W),"")</f>
        <v>0.20363598592644594</v>
      </c>
      <c r="AG210" s="233">
        <f>IFERROR(_xlfn.XLOOKUP($D210,'Modelling New'!$D:$D,'Modelling New'!AE:AE),"")</f>
        <v>0.995</v>
      </c>
      <c r="AH210" s="233">
        <f>IFERROR(_xlfn.XLOOKUP($D210,'Modelling New'!$D:$D,'Modelling New'!AF:AF),"")</f>
        <v>0.995</v>
      </c>
      <c r="AI210" s="9"/>
      <c r="AJ210" s="9"/>
      <c r="AK210" s="256"/>
      <c r="AL210" s="256"/>
      <c r="AM210" s="256"/>
      <c r="AN210" s="230"/>
      <c r="AO210" s="233"/>
      <c r="AP210" s="233"/>
      <c r="AQ210" s="233"/>
      <c r="AR210" s="234">
        <f>_xlfn.XLOOKUP(D210,'Modelling New'!$D:$D,'Modelling New'!$N:$N)</f>
        <v>130</v>
      </c>
      <c r="AS210" s="234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29">
        <f>Table13[[#This Row],[Date]]-DAY(Table13[[#This Row],[Date]])+1</f>
        <v>45931</v>
      </c>
      <c r="E211" s="9">
        <f t="shared" si="15"/>
        <v>31</v>
      </c>
      <c r="F211" s="199" t="str">
        <f>IFERROR(_xlfn.XLOOKUP($A211,Input_Raw!$A:$A,Input_Raw!$FC:$FC),"")</f>
        <v/>
      </c>
      <c r="G211" s="185" t="str">
        <f>IFERROR(_xlfn.XLOOKUP($A211,Input_Raw!$A:$A,Input_Raw!$CY:$CY),"")</f>
        <v/>
      </c>
      <c r="H211" s="185" t="str">
        <f>IFERROR(_xlfn.XLOOKUP($A211,Input_Raw!$A:$A,Input_Raw!$DA:$DA),"")</f>
        <v/>
      </c>
      <c r="I211" s="185" t="str">
        <f>IFERROR(_xlfn.XLOOKUP($A211,Input_Raw!$A:$A,Input_Raw!$CX:$CX),"")</f>
        <v/>
      </c>
      <c r="J211" s="185" t="str">
        <f>IFERROR(_xlfn.XLOOKUP($A211,Input_Raw!$A:$A,Input_Raw!$CZ:$CZ),"")</f>
        <v/>
      </c>
      <c r="K211" s="201" t="str">
        <f>IFERROR(_xlfn.XLOOKUP($A211,Input_Raw!$A:$A,Input_Raw!$DB:$DB),"")</f>
        <v/>
      </c>
      <c r="L211" s="201" t="str">
        <f>IFERROR(_xlfn.XLOOKUP($A211,Input_Raw!$A:$A,Input_Raw!$DC:$DC),"")</f>
        <v/>
      </c>
      <c r="M211" s="200" t="str">
        <f>IFERROR(_xlfn.XLOOKUP($A211,Input_Raw!$A:$A,Input_Raw!$DF:$DF),"")</f>
        <v/>
      </c>
      <c r="N211" s="200" t="str">
        <f>IFERROR(_xlfn.XLOOKUP($A211,Input_Raw!$A:$A,Input_Raw!$DG:$DG),"")</f>
        <v/>
      </c>
      <c r="O211" s="230" t="str">
        <f>IFERROR(1-(SUMIF(Plant_BD!$B:$B,$A211,Plant_BD!$AL:$AL)/($AA211+SUMIF(Plant_BD!$B:$B,$A211,Plant_BD!$AL:$AL))),"")</f>
        <v/>
      </c>
      <c r="P211" s="230"/>
      <c r="Q211" s="231" t="str">
        <f>IFERROR(1-(SUMIF(Grid_BD!$B:$B,$A211,Grid_BD!$V:$V)/($AA211+SUMIF(Grid_BD!$B:$B,$A211,Grid_BD!$V:$V))),"")</f>
        <v/>
      </c>
      <c r="R211" s="230" t="str">
        <f>IFERROR(1-(SUMIF(Grid_BD!$B:$B,$A211,Grid_BD!$V:$V)/($AA211+SUMIF(Grid_BD!$B:$B,$A211,Grid_BD!$V:$V))),"")</f>
        <v/>
      </c>
      <c r="S211" s="9"/>
      <c r="T211" s="231"/>
      <c r="U211" s="232" t="str">
        <f t="shared" si="16"/>
        <v/>
      </c>
      <c r="V211" s="232" t="str">
        <f>IFERROR(_xlfn.XLOOKUP($A211,Input_Raw!$A:$A,Input_Raw!$FG:$FG),"")</f>
        <v/>
      </c>
      <c r="W211" s="233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85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33">
        <f>IFERROR(_xlfn.XLOOKUP($D211,'Modelling New'!$D:$D,'Modelling New'!O:O),"")</f>
        <v>0.83889907823519261</v>
      </c>
      <c r="AF211" s="233">
        <f>IFERROR(_xlfn.XLOOKUP($D211,'Modelling New'!$D:$D,'Modelling New'!W:W),"")</f>
        <v>0.20363598592644594</v>
      </c>
      <c r="AG211" s="233">
        <f>IFERROR(_xlfn.XLOOKUP($D211,'Modelling New'!$D:$D,'Modelling New'!AE:AE),"")</f>
        <v>0.995</v>
      </c>
      <c r="AH211" s="233">
        <f>IFERROR(_xlfn.XLOOKUP($D211,'Modelling New'!$D:$D,'Modelling New'!AF:AF),"")</f>
        <v>0.995</v>
      </c>
      <c r="AI211" s="9"/>
      <c r="AJ211" s="9"/>
      <c r="AK211" s="256"/>
      <c r="AL211" s="256"/>
      <c r="AM211" s="256"/>
      <c r="AN211" s="230"/>
      <c r="AO211" s="233"/>
      <c r="AP211" s="233"/>
      <c r="AQ211" s="233"/>
      <c r="AR211" s="234">
        <f>_xlfn.XLOOKUP(D211,'Modelling New'!$D:$D,'Modelling New'!$N:$N)</f>
        <v>130</v>
      </c>
      <c r="AS211" s="234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29">
        <f>Table13[[#This Row],[Date]]-DAY(Table13[[#This Row],[Date]])+1</f>
        <v>45931</v>
      </c>
      <c r="E212" s="9">
        <f t="shared" si="15"/>
        <v>31</v>
      </c>
      <c r="F212" s="199" t="str">
        <f>IFERROR(_xlfn.XLOOKUP($A212,Input_Raw!$A:$A,Input_Raw!$FC:$FC),"")</f>
        <v/>
      </c>
      <c r="G212" s="200" t="str">
        <f>IFERROR(_xlfn.XLOOKUP($A212,Input_Raw!$A:$A,Input_Raw!$CY:$CY),"")</f>
        <v/>
      </c>
      <c r="H212" s="200" t="str">
        <f>IFERROR(_xlfn.XLOOKUP($A212,Input_Raw!$A:$A,Input_Raw!$DA:$DA),"")</f>
        <v/>
      </c>
      <c r="I212" s="200" t="str">
        <f>IFERROR(_xlfn.XLOOKUP($A212,Input_Raw!$A:$A,Input_Raw!$CX:$CX),"")</f>
        <v/>
      </c>
      <c r="J212" s="200" t="str">
        <f>IFERROR(_xlfn.XLOOKUP($A212,Input_Raw!$A:$A,Input_Raw!$CZ:$CZ),"")</f>
        <v/>
      </c>
      <c r="K212" s="201" t="str">
        <f>IFERROR(_xlfn.XLOOKUP($A212,Input_Raw!$A:$A,Input_Raw!$DB:$DB),"")</f>
        <v/>
      </c>
      <c r="L212" s="201" t="str">
        <f>IFERROR(_xlfn.XLOOKUP($A212,Input_Raw!$A:$A,Input_Raw!$DC:$DC),"")</f>
        <v/>
      </c>
      <c r="M212" s="200" t="str">
        <f>IFERROR(_xlfn.XLOOKUP($A212,Input_Raw!$A:$A,Input_Raw!$DF:$DF),"")</f>
        <v/>
      </c>
      <c r="N212" s="200" t="str">
        <f>IFERROR(_xlfn.XLOOKUP($A212,Input_Raw!$A:$A,Input_Raw!$DG:$DG),"")</f>
        <v/>
      </c>
      <c r="O212" s="230" t="str">
        <f>IFERROR(1-(SUMIF(Plant_BD!$B:$B,$A212,Plant_BD!$AL:$AL)/($AA212+SUMIF(Plant_BD!$B:$B,$A212,Plant_BD!$AL:$AL))),"")</f>
        <v/>
      </c>
      <c r="P212" s="230"/>
      <c r="Q212" s="231" t="str">
        <f>IFERROR(1-(SUMIF(Grid_BD!$B:$B,$A212,Grid_BD!$V:$V)/($AA212+SUMIF(Grid_BD!$B:$B,$A212,Grid_BD!$V:$V))),"")</f>
        <v/>
      </c>
      <c r="R212" s="230" t="str">
        <f>IFERROR(1-(SUMIF(Grid_BD!$B:$B,$A212,Grid_BD!$V:$V)/($AA212+SUMIF(Grid_BD!$B:$B,$A212,Grid_BD!$V:$V))),"")</f>
        <v/>
      </c>
      <c r="S212" s="9"/>
      <c r="T212" s="231"/>
      <c r="U212" s="232" t="str">
        <f t="shared" si="16"/>
        <v/>
      </c>
      <c r="V212" s="232" t="str">
        <f>IFERROR(_xlfn.XLOOKUP($A212,Input_Raw!$A:$A,Input_Raw!$FG:$FG),"")</f>
        <v/>
      </c>
      <c r="W212" s="233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85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33">
        <f>IFERROR(_xlfn.XLOOKUP($D212,'Modelling New'!$D:$D,'Modelling New'!O:O),"")</f>
        <v>0.83889907823519261</v>
      </c>
      <c r="AF212" s="233">
        <f>IFERROR(_xlfn.XLOOKUP($D212,'Modelling New'!$D:$D,'Modelling New'!W:W),"")</f>
        <v>0.20363598592644594</v>
      </c>
      <c r="AG212" s="233">
        <f>IFERROR(_xlfn.XLOOKUP($D212,'Modelling New'!$D:$D,'Modelling New'!AE:AE),"")</f>
        <v>0.995</v>
      </c>
      <c r="AH212" s="233">
        <f>IFERROR(_xlfn.XLOOKUP($D212,'Modelling New'!$D:$D,'Modelling New'!AF:AF),"")</f>
        <v>0.995</v>
      </c>
      <c r="AI212" s="9"/>
      <c r="AJ212" s="9"/>
      <c r="AK212" s="256"/>
      <c r="AL212" s="256"/>
      <c r="AM212" s="256"/>
      <c r="AN212" s="230"/>
      <c r="AO212" s="233"/>
      <c r="AP212" s="233"/>
      <c r="AQ212" s="233"/>
      <c r="AR212" s="234">
        <f>_xlfn.XLOOKUP(D212,'Modelling New'!$D:$D,'Modelling New'!$N:$N)</f>
        <v>130</v>
      </c>
      <c r="AS212" s="234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29">
        <f>Table13[[#This Row],[Date]]-DAY(Table13[[#This Row],[Date]])+1</f>
        <v>45931</v>
      </c>
      <c r="E213" s="9">
        <f t="shared" si="15"/>
        <v>31</v>
      </c>
      <c r="F213" s="199" t="str">
        <f>IFERROR(_xlfn.XLOOKUP($A213,Input_Raw!$A:$A,Input_Raw!$FC:$FC),"")</f>
        <v/>
      </c>
      <c r="G213" s="185" t="str">
        <f>IFERROR(_xlfn.XLOOKUP($A213,Input_Raw!$A:$A,Input_Raw!$CY:$CY),"")</f>
        <v/>
      </c>
      <c r="H213" s="185" t="str">
        <f>IFERROR(_xlfn.XLOOKUP($A213,Input_Raw!$A:$A,Input_Raw!$DA:$DA),"")</f>
        <v/>
      </c>
      <c r="I213" s="185" t="str">
        <f>IFERROR(_xlfn.XLOOKUP($A213,Input_Raw!$A:$A,Input_Raw!$CX:$CX),"")</f>
        <v/>
      </c>
      <c r="J213" s="185" t="str">
        <f>IFERROR(_xlfn.XLOOKUP($A213,Input_Raw!$A:$A,Input_Raw!$CZ:$CZ),"")</f>
        <v/>
      </c>
      <c r="K213" s="201" t="str">
        <f>IFERROR(_xlfn.XLOOKUP($A213,Input_Raw!$A:$A,Input_Raw!$DB:$DB),"")</f>
        <v/>
      </c>
      <c r="L213" s="201" t="str">
        <f>IFERROR(_xlfn.XLOOKUP($A213,Input_Raw!$A:$A,Input_Raw!$DC:$DC),"")</f>
        <v/>
      </c>
      <c r="M213" s="200" t="str">
        <f>IFERROR(_xlfn.XLOOKUP($A213,Input_Raw!$A:$A,Input_Raw!$DF:$DF),"")</f>
        <v/>
      </c>
      <c r="N213" s="200" t="str">
        <f>IFERROR(_xlfn.XLOOKUP($A213,Input_Raw!$A:$A,Input_Raw!$DG:$DG),"")</f>
        <v/>
      </c>
      <c r="O213" s="230" t="str">
        <f>IFERROR(1-(SUMIF(Plant_BD!$B:$B,$A213,Plant_BD!$AL:$AL)/($AA213+SUMIF(Plant_BD!$B:$B,$A213,Plant_BD!$AL:$AL))),"")</f>
        <v/>
      </c>
      <c r="P213" s="230"/>
      <c r="Q213" s="231" t="str">
        <f>IFERROR(1-(SUMIF(Grid_BD!$B:$B,$A213,Grid_BD!$V:$V)/($AA213+SUMIF(Grid_BD!$B:$B,$A213,Grid_BD!$V:$V))),"")</f>
        <v/>
      </c>
      <c r="R213" s="230" t="str">
        <f>IFERROR(1-(SUMIF(Grid_BD!$B:$B,$A213,Grid_BD!$V:$V)/($AA213+SUMIF(Grid_BD!$B:$B,$A213,Grid_BD!$V:$V))),"")</f>
        <v/>
      </c>
      <c r="S213" s="9"/>
      <c r="T213" s="231"/>
      <c r="U213" s="232" t="str">
        <f t="shared" si="16"/>
        <v/>
      </c>
      <c r="V213" s="232" t="str">
        <f>IFERROR(_xlfn.XLOOKUP($A213,Input_Raw!$A:$A,Input_Raw!$FG:$FG),"")</f>
        <v/>
      </c>
      <c r="W213" s="233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85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33">
        <f>IFERROR(_xlfn.XLOOKUP($D213,'Modelling New'!$D:$D,'Modelling New'!O:O),"")</f>
        <v>0.83889907823519261</v>
      </c>
      <c r="AF213" s="233">
        <f>IFERROR(_xlfn.XLOOKUP($D213,'Modelling New'!$D:$D,'Modelling New'!W:W),"")</f>
        <v>0.20363598592644594</v>
      </c>
      <c r="AG213" s="233">
        <f>IFERROR(_xlfn.XLOOKUP($D213,'Modelling New'!$D:$D,'Modelling New'!AE:AE),"")</f>
        <v>0.995</v>
      </c>
      <c r="AH213" s="233">
        <f>IFERROR(_xlfn.XLOOKUP($D213,'Modelling New'!$D:$D,'Modelling New'!AF:AF),"")</f>
        <v>0.995</v>
      </c>
      <c r="AI213" s="9"/>
      <c r="AJ213" s="9"/>
      <c r="AK213" s="256"/>
      <c r="AL213" s="256"/>
      <c r="AM213" s="256"/>
      <c r="AN213" s="230"/>
      <c r="AO213" s="233"/>
      <c r="AP213" s="233"/>
      <c r="AQ213" s="233"/>
      <c r="AR213" s="234">
        <f>_xlfn.XLOOKUP(D213,'Modelling New'!$D:$D,'Modelling New'!$N:$N)</f>
        <v>130</v>
      </c>
      <c r="AS213" s="234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29">
        <f>Table13[[#This Row],[Date]]-DAY(Table13[[#This Row],[Date]])+1</f>
        <v>45931</v>
      </c>
      <c r="E214" s="9">
        <f t="shared" si="15"/>
        <v>31</v>
      </c>
      <c r="F214" s="199" t="str">
        <f>IFERROR(_xlfn.XLOOKUP($A214,Input_Raw!$A:$A,Input_Raw!$FC:$FC),"")</f>
        <v/>
      </c>
      <c r="G214" s="200" t="str">
        <f>IFERROR(_xlfn.XLOOKUP($A214,Input_Raw!$A:$A,Input_Raw!$CY:$CY),"")</f>
        <v/>
      </c>
      <c r="H214" s="200" t="str">
        <f>IFERROR(_xlfn.XLOOKUP($A214,Input_Raw!$A:$A,Input_Raw!$DA:$DA),"")</f>
        <v/>
      </c>
      <c r="I214" s="200" t="str">
        <f>IFERROR(_xlfn.XLOOKUP($A214,Input_Raw!$A:$A,Input_Raw!$CX:$CX),"")</f>
        <v/>
      </c>
      <c r="J214" s="200" t="str">
        <f>IFERROR(_xlfn.XLOOKUP($A214,Input_Raw!$A:$A,Input_Raw!$CZ:$CZ),"")</f>
        <v/>
      </c>
      <c r="K214" s="201" t="str">
        <f>IFERROR(_xlfn.XLOOKUP($A214,Input_Raw!$A:$A,Input_Raw!$DB:$DB),"")</f>
        <v/>
      </c>
      <c r="L214" s="201" t="str">
        <f>IFERROR(_xlfn.XLOOKUP($A214,Input_Raw!$A:$A,Input_Raw!$DC:$DC),"")</f>
        <v/>
      </c>
      <c r="M214" s="200" t="str">
        <f>IFERROR(_xlfn.XLOOKUP($A214,Input_Raw!$A:$A,Input_Raw!$DF:$DF),"")</f>
        <v/>
      </c>
      <c r="N214" s="200" t="str">
        <f>IFERROR(_xlfn.XLOOKUP($A214,Input_Raw!$A:$A,Input_Raw!$DG:$DG),"")</f>
        <v/>
      </c>
      <c r="O214" s="230" t="str">
        <f>IFERROR(1-(SUMIF(Plant_BD!$B:$B,$A214,Plant_BD!$AL:$AL)/($AA214+SUMIF(Plant_BD!$B:$B,$A214,Plant_BD!$AL:$AL))),"")</f>
        <v/>
      </c>
      <c r="P214" s="230"/>
      <c r="Q214" s="231" t="str">
        <f>IFERROR(1-(SUMIF(Grid_BD!$B:$B,$A214,Grid_BD!$V:$V)/($AA214+SUMIF(Grid_BD!$B:$B,$A214,Grid_BD!$V:$V))),"")</f>
        <v/>
      </c>
      <c r="R214" s="230" t="str">
        <f>IFERROR(1-(SUMIF(Grid_BD!$B:$B,$A214,Grid_BD!$V:$V)/($AA214+SUMIF(Grid_BD!$B:$B,$A214,Grid_BD!$V:$V))),"")</f>
        <v/>
      </c>
      <c r="S214" s="9"/>
      <c r="T214" s="231"/>
      <c r="U214" s="232" t="str">
        <f t="shared" si="16"/>
        <v/>
      </c>
      <c r="V214" s="232" t="str">
        <f>IFERROR(_xlfn.XLOOKUP($A214,Input_Raw!$A:$A,Input_Raw!$FG:$FG),"")</f>
        <v/>
      </c>
      <c r="W214" s="233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85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33">
        <f>IFERROR(_xlfn.XLOOKUP($D214,'Modelling New'!$D:$D,'Modelling New'!O:O),"")</f>
        <v>0.83889907823519261</v>
      </c>
      <c r="AF214" s="233">
        <f>IFERROR(_xlfn.XLOOKUP($D214,'Modelling New'!$D:$D,'Modelling New'!W:W),"")</f>
        <v>0.20363598592644594</v>
      </c>
      <c r="AG214" s="233">
        <f>IFERROR(_xlfn.XLOOKUP($D214,'Modelling New'!$D:$D,'Modelling New'!AE:AE),"")</f>
        <v>0.995</v>
      </c>
      <c r="AH214" s="233">
        <f>IFERROR(_xlfn.XLOOKUP($D214,'Modelling New'!$D:$D,'Modelling New'!AF:AF),"")</f>
        <v>0.995</v>
      </c>
      <c r="AI214" s="9"/>
      <c r="AJ214" s="9"/>
      <c r="AK214" s="256"/>
      <c r="AL214" s="256"/>
      <c r="AM214" s="256"/>
      <c r="AN214" s="230"/>
      <c r="AO214" s="233"/>
      <c r="AP214" s="233"/>
      <c r="AQ214" s="233"/>
      <c r="AR214" s="234">
        <f>_xlfn.XLOOKUP(D214,'Modelling New'!$D:$D,'Modelling New'!$N:$N)</f>
        <v>130</v>
      </c>
      <c r="AS214" s="234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29">
        <f>Table13[[#This Row],[Date]]-DAY(Table13[[#This Row],[Date]])+1</f>
        <v>45931</v>
      </c>
      <c r="E215" s="9">
        <f t="shared" si="15"/>
        <v>31</v>
      </c>
      <c r="F215" s="199" t="str">
        <f>IFERROR(_xlfn.XLOOKUP($A215,Input_Raw!$A:$A,Input_Raw!$FC:$FC),"")</f>
        <v/>
      </c>
      <c r="G215" s="185" t="str">
        <f>IFERROR(_xlfn.XLOOKUP($A215,Input_Raw!$A:$A,Input_Raw!$CY:$CY),"")</f>
        <v/>
      </c>
      <c r="H215" s="185" t="str">
        <f>IFERROR(_xlfn.XLOOKUP($A215,Input_Raw!$A:$A,Input_Raw!$DA:$DA),"")</f>
        <v/>
      </c>
      <c r="I215" s="185" t="str">
        <f>IFERROR(_xlfn.XLOOKUP($A215,Input_Raw!$A:$A,Input_Raw!$CX:$CX),"")</f>
        <v/>
      </c>
      <c r="J215" s="185" t="str">
        <f>IFERROR(_xlfn.XLOOKUP($A215,Input_Raw!$A:$A,Input_Raw!$CZ:$CZ),"")</f>
        <v/>
      </c>
      <c r="K215" s="201" t="str">
        <f>IFERROR(_xlfn.XLOOKUP($A215,Input_Raw!$A:$A,Input_Raw!$DB:$DB),"")</f>
        <v/>
      </c>
      <c r="L215" s="201" t="str">
        <f>IFERROR(_xlfn.XLOOKUP($A215,Input_Raw!$A:$A,Input_Raw!$DC:$DC),"")</f>
        <v/>
      </c>
      <c r="M215" s="200" t="str">
        <f>IFERROR(_xlfn.XLOOKUP($A215,Input_Raw!$A:$A,Input_Raw!$DF:$DF),"")</f>
        <v/>
      </c>
      <c r="N215" s="200" t="str">
        <f>IFERROR(_xlfn.XLOOKUP($A215,Input_Raw!$A:$A,Input_Raw!$DG:$DG),"")</f>
        <v/>
      </c>
      <c r="O215" s="230" t="str">
        <f>IFERROR(1-(SUMIF(Plant_BD!$B:$B,$A215,Plant_BD!$AL:$AL)/($AA215+SUMIF(Plant_BD!$B:$B,$A215,Plant_BD!$AL:$AL))),"")</f>
        <v/>
      </c>
      <c r="P215" s="230"/>
      <c r="Q215" s="231" t="str">
        <f>IFERROR(1-(SUMIF(Grid_BD!$B:$B,$A215,Grid_BD!$V:$V)/($AA215+SUMIF(Grid_BD!$B:$B,$A215,Grid_BD!$V:$V))),"")</f>
        <v/>
      </c>
      <c r="R215" s="230" t="str">
        <f>IFERROR(1-(SUMIF(Grid_BD!$B:$B,$A215,Grid_BD!$V:$V)/($AA215+SUMIF(Grid_BD!$B:$B,$A215,Grid_BD!$V:$V))),"")</f>
        <v/>
      </c>
      <c r="S215" s="9"/>
      <c r="T215" s="231"/>
      <c r="U215" s="232" t="str">
        <f t="shared" si="16"/>
        <v/>
      </c>
      <c r="V215" s="232" t="str">
        <f>IFERROR(_xlfn.XLOOKUP($A215,Input_Raw!$A:$A,Input_Raw!$FG:$FG),"")</f>
        <v/>
      </c>
      <c r="W215" s="233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85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33">
        <f>IFERROR(_xlfn.XLOOKUP($D215,'Modelling New'!$D:$D,'Modelling New'!O:O),"")</f>
        <v>0.83889907823519261</v>
      </c>
      <c r="AF215" s="233">
        <f>IFERROR(_xlfn.XLOOKUP($D215,'Modelling New'!$D:$D,'Modelling New'!W:W),"")</f>
        <v>0.20363598592644594</v>
      </c>
      <c r="AG215" s="233">
        <f>IFERROR(_xlfn.XLOOKUP($D215,'Modelling New'!$D:$D,'Modelling New'!AE:AE),"")</f>
        <v>0.995</v>
      </c>
      <c r="AH215" s="233">
        <f>IFERROR(_xlfn.XLOOKUP($D215,'Modelling New'!$D:$D,'Modelling New'!AF:AF),"")</f>
        <v>0.995</v>
      </c>
      <c r="AI215" s="9"/>
      <c r="AJ215" s="9"/>
      <c r="AK215" s="256"/>
      <c r="AL215" s="256"/>
      <c r="AM215" s="256"/>
      <c r="AN215" s="230"/>
      <c r="AO215" s="233"/>
      <c r="AP215" s="233"/>
      <c r="AQ215" s="233"/>
      <c r="AR215" s="234">
        <f>_xlfn.XLOOKUP(D215,'Modelling New'!$D:$D,'Modelling New'!$N:$N)</f>
        <v>130</v>
      </c>
      <c r="AS215" s="234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29">
        <f>Table13[[#This Row],[Date]]-DAY(Table13[[#This Row],[Date]])+1</f>
        <v>45931</v>
      </c>
      <c r="E216" s="9">
        <f t="shared" si="15"/>
        <v>31</v>
      </c>
      <c r="F216" s="199" t="str">
        <f>IFERROR(_xlfn.XLOOKUP($A216,Input_Raw!$A:$A,Input_Raw!$FC:$FC),"")</f>
        <v/>
      </c>
      <c r="G216" s="200" t="str">
        <f>IFERROR(_xlfn.XLOOKUP($A216,Input_Raw!$A:$A,Input_Raw!$CY:$CY),"")</f>
        <v/>
      </c>
      <c r="H216" s="200" t="str">
        <f>IFERROR(_xlfn.XLOOKUP($A216,Input_Raw!$A:$A,Input_Raw!$DA:$DA),"")</f>
        <v/>
      </c>
      <c r="I216" s="200" t="str">
        <f>IFERROR(_xlfn.XLOOKUP($A216,Input_Raw!$A:$A,Input_Raw!$CX:$CX),"")</f>
        <v/>
      </c>
      <c r="J216" s="200" t="str">
        <f>IFERROR(_xlfn.XLOOKUP($A216,Input_Raw!$A:$A,Input_Raw!$CZ:$CZ),"")</f>
        <v/>
      </c>
      <c r="K216" s="201" t="str">
        <f>IFERROR(_xlfn.XLOOKUP($A216,Input_Raw!$A:$A,Input_Raw!$DB:$DB),"")</f>
        <v/>
      </c>
      <c r="L216" s="201" t="str">
        <f>IFERROR(_xlfn.XLOOKUP($A216,Input_Raw!$A:$A,Input_Raw!$DC:$DC),"")</f>
        <v/>
      </c>
      <c r="M216" s="200" t="str">
        <f>IFERROR(_xlfn.XLOOKUP($A216,Input_Raw!$A:$A,Input_Raw!$DF:$DF),"")</f>
        <v/>
      </c>
      <c r="N216" s="200" t="str">
        <f>IFERROR(_xlfn.XLOOKUP($A216,Input_Raw!$A:$A,Input_Raw!$DG:$DG),"")</f>
        <v/>
      </c>
      <c r="O216" s="230" t="str">
        <f>IFERROR(1-(SUMIF(Plant_BD!$B:$B,$A216,Plant_BD!$AL:$AL)/($AA216+SUMIF(Plant_BD!$B:$B,$A216,Plant_BD!$AL:$AL))),"")</f>
        <v/>
      </c>
      <c r="P216" s="230"/>
      <c r="Q216" s="231" t="str">
        <f>IFERROR(1-(SUMIF(Grid_BD!$B:$B,$A216,Grid_BD!$V:$V)/($AA216+SUMIF(Grid_BD!$B:$B,$A216,Grid_BD!$V:$V))),"")</f>
        <v/>
      </c>
      <c r="R216" s="230" t="str">
        <f>IFERROR(1-(SUMIF(Grid_BD!$B:$B,$A216,Grid_BD!$V:$V)/($AA216+SUMIF(Grid_BD!$B:$B,$A216,Grid_BD!$V:$V))),"")</f>
        <v/>
      </c>
      <c r="S216" s="9"/>
      <c r="T216" s="231"/>
      <c r="U216" s="232" t="str">
        <f t="shared" si="16"/>
        <v/>
      </c>
      <c r="V216" s="232" t="str">
        <f>IFERROR(_xlfn.XLOOKUP($A216,Input_Raw!$A:$A,Input_Raw!$FG:$FG),"")</f>
        <v/>
      </c>
      <c r="W216" s="233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85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33">
        <f>IFERROR(_xlfn.XLOOKUP($D216,'Modelling New'!$D:$D,'Modelling New'!O:O),"")</f>
        <v>0.83889907823519261</v>
      </c>
      <c r="AF216" s="233">
        <f>IFERROR(_xlfn.XLOOKUP($D216,'Modelling New'!$D:$D,'Modelling New'!W:W),"")</f>
        <v>0.20363598592644594</v>
      </c>
      <c r="AG216" s="233">
        <f>IFERROR(_xlfn.XLOOKUP($D216,'Modelling New'!$D:$D,'Modelling New'!AE:AE),"")</f>
        <v>0.995</v>
      </c>
      <c r="AH216" s="233">
        <f>IFERROR(_xlfn.XLOOKUP($D216,'Modelling New'!$D:$D,'Modelling New'!AF:AF),"")</f>
        <v>0.995</v>
      </c>
      <c r="AI216" s="9"/>
      <c r="AJ216" s="9"/>
      <c r="AK216" s="256"/>
      <c r="AL216" s="256"/>
      <c r="AM216" s="256"/>
      <c r="AN216" s="230"/>
      <c r="AO216" s="233"/>
      <c r="AP216" s="233"/>
      <c r="AQ216" s="233"/>
      <c r="AR216" s="234">
        <f>_xlfn.XLOOKUP(D216,'Modelling New'!$D:$D,'Modelling New'!$N:$N)</f>
        <v>130</v>
      </c>
      <c r="AS216" s="234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29">
        <f>Table13[[#This Row],[Date]]-DAY(Table13[[#This Row],[Date]])+1</f>
        <v>45931</v>
      </c>
      <c r="E217" s="9">
        <f t="shared" si="15"/>
        <v>31</v>
      </c>
      <c r="F217" s="199" t="str">
        <f>IFERROR(_xlfn.XLOOKUP($A217,Input_Raw!$A:$A,Input_Raw!$FC:$FC),"")</f>
        <v/>
      </c>
      <c r="G217" s="185" t="str">
        <f>IFERROR(_xlfn.XLOOKUP($A217,Input_Raw!$A:$A,Input_Raw!$CY:$CY),"")</f>
        <v/>
      </c>
      <c r="H217" s="185" t="str">
        <f>IFERROR(_xlfn.XLOOKUP($A217,Input_Raw!$A:$A,Input_Raw!$DA:$DA),"")</f>
        <v/>
      </c>
      <c r="I217" s="185" t="str">
        <f>IFERROR(_xlfn.XLOOKUP($A217,Input_Raw!$A:$A,Input_Raw!$CX:$CX),"")</f>
        <v/>
      </c>
      <c r="J217" s="185" t="str">
        <f>IFERROR(_xlfn.XLOOKUP($A217,Input_Raw!$A:$A,Input_Raw!$CZ:$CZ),"")</f>
        <v/>
      </c>
      <c r="K217" s="201" t="str">
        <f>IFERROR(_xlfn.XLOOKUP($A217,Input_Raw!$A:$A,Input_Raw!$DB:$DB),"")</f>
        <v/>
      </c>
      <c r="L217" s="201" t="str">
        <f>IFERROR(_xlfn.XLOOKUP($A217,Input_Raw!$A:$A,Input_Raw!$DC:$DC),"")</f>
        <v/>
      </c>
      <c r="M217" s="200" t="str">
        <f>IFERROR(_xlfn.XLOOKUP($A217,Input_Raw!$A:$A,Input_Raw!$DF:$DF),"")</f>
        <v/>
      </c>
      <c r="N217" s="200" t="str">
        <f>IFERROR(_xlfn.XLOOKUP($A217,Input_Raw!$A:$A,Input_Raw!$DG:$DG),"")</f>
        <v/>
      </c>
      <c r="O217" s="230" t="str">
        <f>IFERROR(1-(SUMIF(Plant_BD!$B:$B,$A217,Plant_BD!$AL:$AL)/($AA217+SUMIF(Plant_BD!$B:$B,$A217,Plant_BD!$AL:$AL))),"")</f>
        <v/>
      </c>
      <c r="P217" s="230"/>
      <c r="Q217" s="231" t="str">
        <f>IFERROR(1-(SUMIF(Grid_BD!$B:$B,$A217,Grid_BD!$V:$V)/($AA217+SUMIF(Grid_BD!$B:$B,$A217,Grid_BD!$V:$V))),"")</f>
        <v/>
      </c>
      <c r="R217" s="230" t="str">
        <f>IFERROR(1-(SUMIF(Grid_BD!$B:$B,$A217,Grid_BD!$V:$V)/($AA217+SUMIF(Grid_BD!$B:$B,$A217,Grid_BD!$V:$V))),"")</f>
        <v/>
      </c>
      <c r="S217" s="9"/>
      <c r="T217" s="231"/>
      <c r="U217" s="232" t="str">
        <f t="shared" si="16"/>
        <v/>
      </c>
      <c r="V217" s="232" t="str">
        <f>IFERROR(_xlfn.XLOOKUP($A217,Input_Raw!$A:$A,Input_Raw!$FG:$FG),"")</f>
        <v/>
      </c>
      <c r="W217" s="233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85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33">
        <f>IFERROR(_xlfn.XLOOKUP($D217,'Modelling New'!$D:$D,'Modelling New'!O:O),"")</f>
        <v>0.83889907823519261</v>
      </c>
      <c r="AF217" s="233">
        <f>IFERROR(_xlfn.XLOOKUP($D217,'Modelling New'!$D:$D,'Modelling New'!W:W),"")</f>
        <v>0.20363598592644594</v>
      </c>
      <c r="AG217" s="233">
        <f>IFERROR(_xlfn.XLOOKUP($D217,'Modelling New'!$D:$D,'Modelling New'!AE:AE),"")</f>
        <v>0.995</v>
      </c>
      <c r="AH217" s="233">
        <f>IFERROR(_xlfn.XLOOKUP($D217,'Modelling New'!$D:$D,'Modelling New'!AF:AF),"")</f>
        <v>0.995</v>
      </c>
      <c r="AI217" s="9"/>
      <c r="AJ217" s="9"/>
      <c r="AK217" s="256"/>
      <c r="AL217" s="256"/>
      <c r="AM217" s="256"/>
      <c r="AN217" s="230"/>
      <c r="AO217" s="233"/>
      <c r="AP217" s="233"/>
      <c r="AQ217" s="233"/>
      <c r="AR217" s="234">
        <f>_xlfn.XLOOKUP(D217,'Modelling New'!$D:$D,'Modelling New'!$N:$N)</f>
        <v>130</v>
      </c>
      <c r="AS217" s="234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29">
        <f>Table13[[#This Row],[Date]]-DAY(Table13[[#This Row],[Date]])+1</f>
        <v>45931</v>
      </c>
      <c r="E218" s="9">
        <f t="shared" si="15"/>
        <v>31</v>
      </c>
      <c r="F218" s="199" t="str">
        <f>IFERROR(_xlfn.XLOOKUP($A218,Input_Raw!$A:$A,Input_Raw!$FC:$FC),"")</f>
        <v/>
      </c>
      <c r="G218" s="200" t="str">
        <f>IFERROR(_xlfn.XLOOKUP($A218,Input_Raw!$A:$A,Input_Raw!$CY:$CY),"")</f>
        <v/>
      </c>
      <c r="H218" s="200" t="str">
        <f>IFERROR(_xlfn.XLOOKUP($A218,Input_Raw!$A:$A,Input_Raw!$DA:$DA),"")</f>
        <v/>
      </c>
      <c r="I218" s="200" t="str">
        <f>IFERROR(_xlfn.XLOOKUP($A218,Input_Raw!$A:$A,Input_Raw!$CX:$CX),"")</f>
        <v/>
      </c>
      <c r="J218" s="200" t="str">
        <f>IFERROR(_xlfn.XLOOKUP($A218,Input_Raw!$A:$A,Input_Raw!$CZ:$CZ),"")</f>
        <v/>
      </c>
      <c r="K218" s="201" t="str">
        <f>IFERROR(_xlfn.XLOOKUP($A218,Input_Raw!$A:$A,Input_Raw!$DB:$DB),"")</f>
        <v/>
      </c>
      <c r="L218" s="201" t="str">
        <f>IFERROR(_xlfn.XLOOKUP($A218,Input_Raw!$A:$A,Input_Raw!$DC:$DC),"")</f>
        <v/>
      </c>
      <c r="M218" s="200" t="str">
        <f>IFERROR(_xlfn.XLOOKUP($A218,Input_Raw!$A:$A,Input_Raw!$DF:$DF),"")</f>
        <v/>
      </c>
      <c r="N218" s="200" t="str">
        <f>IFERROR(_xlfn.XLOOKUP($A218,Input_Raw!$A:$A,Input_Raw!$DG:$DG),"")</f>
        <v/>
      </c>
      <c r="O218" s="230" t="str">
        <f>IFERROR(1-(SUMIF(Plant_BD!$B:$B,$A218,Plant_BD!$AL:$AL)/($AA218+SUMIF(Plant_BD!$B:$B,$A218,Plant_BD!$AL:$AL))),"")</f>
        <v/>
      </c>
      <c r="P218" s="230"/>
      <c r="Q218" s="231" t="str">
        <f>IFERROR(1-(SUMIF(Grid_BD!$B:$B,$A218,Grid_BD!$V:$V)/($AA218+SUMIF(Grid_BD!$B:$B,$A218,Grid_BD!$V:$V))),"")</f>
        <v/>
      </c>
      <c r="R218" s="230" t="str">
        <f>IFERROR(1-(SUMIF(Grid_BD!$B:$B,$A218,Grid_BD!$V:$V)/($AA218+SUMIF(Grid_BD!$B:$B,$A218,Grid_BD!$V:$V))),"")</f>
        <v/>
      </c>
      <c r="S218" s="9"/>
      <c r="T218" s="231"/>
      <c r="U218" s="232" t="str">
        <f t="shared" si="16"/>
        <v/>
      </c>
      <c r="V218" s="232" t="str">
        <f>IFERROR(_xlfn.XLOOKUP($A218,Input_Raw!$A:$A,Input_Raw!$FG:$FG),"")</f>
        <v/>
      </c>
      <c r="W218" s="233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85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33">
        <f>IFERROR(_xlfn.XLOOKUP($D218,'Modelling New'!$D:$D,'Modelling New'!O:O),"")</f>
        <v>0.83889907823519261</v>
      </c>
      <c r="AF218" s="233">
        <f>IFERROR(_xlfn.XLOOKUP($D218,'Modelling New'!$D:$D,'Modelling New'!W:W),"")</f>
        <v>0.20363598592644594</v>
      </c>
      <c r="AG218" s="233">
        <f>IFERROR(_xlfn.XLOOKUP($D218,'Modelling New'!$D:$D,'Modelling New'!AE:AE),"")</f>
        <v>0.995</v>
      </c>
      <c r="AH218" s="233">
        <f>IFERROR(_xlfn.XLOOKUP($D218,'Modelling New'!$D:$D,'Modelling New'!AF:AF),"")</f>
        <v>0.995</v>
      </c>
      <c r="AI218" s="9"/>
      <c r="AJ218" s="9"/>
      <c r="AK218" s="256"/>
      <c r="AL218" s="256"/>
      <c r="AM218" s="256"/>
      <c r="AN218" s="230"/>
      <c r="AO218" s="233"/>
      <c r="AP218" s="233"/>
      <c r="AQ218" s="233"/>
      <c r="AR218" s="234">
        <f>_xlfn.XLOOKUP(D218,'Modelling New'!$D:$D,'Modelling New'!$N:$N)</f>
        <v>130</v>
      </c>
      <c r="AS218" s="234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29">
        <f>Table13[[#This Row],[Date]]-DAY(Table13[[#This Row],[Date]])+1</f>
        <v>45962</v>
      </c>
      <c r="E219" s="9">
        <f t="shared" si="15"/>
        <v>30</v>
      </c>
      <c r="F219" s="199" t="str">
        <f>IFERROR(_xlfn.XLOOKUP($A219,Input_Raw!$A:$A,Input_Raw!$FC:$FC),"")</f>
        <v/>
      </c>
      <c r="G219" s="185" t="str">
        <f>IFERROR(_xlfn.XLOOKUP($A219,Input_Raw!$A:$A,Input_Raw!$CY:$CY),"")</f>
        <v/>
      </c>
      <c r="H219" s="185" t="str">
        <f>IFERROR(_xlfn.XLOOKUP($A219,Input_Raw!$A:$A,Input_Raw!$DA:$DA),"")</f>
        <v/>
      </c>
      <c r="I219" s="185" t="str">
        <f>IFERROR(_xlfn.XLOOKUP($A219,Input_Raw!$A:$A,Input_Raw!$CX:$CX),"")</f>
        <v/>
      </c>
      <c r="J219" s="185" t="str">
        <f>IFERROR(_xlfn.XLOOKUP($A219,Input_Raw!$A:$A,Input_Raw!$CZ:$CZ),"")</f>
        <v/>
      </c>
      <c r="K219" s="201" t="str">
        <f>IFERROR(_xlfn.XLOOKUP($A219,Input_Raw!$A:$A,Input_Raw!$DB:$DB),"")</f>
        <v/>
      </c>
      <c r="L219" s="201" t="str">
        <f>IFERROR(_xlfn.XLOOKUP($A219,Input_Raw!$A:$A,Input_Raw!$DC:$DC),"")</f>
        <v/>
      </c>
      <c r="M219" s="200" t="str">
        <f>IFERROR(_xlfn.XLOOKUP($A219,Input_Raw!$A:$A,Input_Raw!$DF:$DF),"")</f>
        <v/>
      </c>
      <c r="N219" s="200" t="str">
        <f>IFERROR(_xlfn.XLOOKUP($A219,Input_Raw!$A:$A,Input_Raw!$DG:$DG),"")</f>
        <v/>
      </c>
      <c r="O219" s="230" t="str">
        <f>IFERROR(1-(SUMIF(Plant_BD!$B:$B,$A219,Plant_BD!$AL:$AL)/($AA219+SUMIF(Plant_BD!$B:$B,$A219,Plant_BD!$AL:$AL))),"")</f>
        <v/>
      </c>
      <c r="P219" s="230"/>
      <c r="Q219" s="231" t="str">
        <f>IFERROR(1-(SUMIF(Grid_BD!$B:$B,$A219,Grid_BD!$V:$V)/($AA219+SUMIF(Grid_BD!$B:$B,$A219,Grid_BD!$V:$V))),"")</f>
        <v/>
      </c>
      <c r="R219" s="230" t="str">
        <f>IFERROR(1-(SUMIF(Grid_BD!$B:$B,$A219,Grid_BD!$V:$V)/($AA219+SUMIF(Grid_BD!$B:$B,$A219,Grid_BD!$V:$V))),"")</f>
        <v/>
      </c>
      <c r="S219" s="9"/>
      <c r="T219" s="231"/>
      <c r="U219" s="232" t="str">
        <f t="shared" si="16"/>
        <v/>
      </c>
      <c r="V219" s="232" t="str">
        <f>IFERROR(_xlfn.XLOOKUP($A219,Input_Raw!$A:$A,Input_Raw!$FG:$FG),"")</f>
        <v/>
      </c>
      <c r="W219" s="233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85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33">
        <f>IFERROR(_xlfn.XLOOKUP($D219,'Modelling New'!$D:$D,'Modelling New'!O:O),"")</f>
        <v>0.85168295119970561</v>
      </c>
      <c r="AF219" s="233">
        <f>IFERROR(_xlfn.XLOOKUP($D219,'Modelling New'!$D:$D,'Modelling New'!W:W),"")</f>
        <v>0.19813457545270932</v>
      </c>
      <c r="AG219" s="233">
        <f>IFERROR(_xlfn.XLOOKUP($D219,'Modelling New'!$D:$D,'Modelling New'!AE:AE),"")</f>
        <v>0.995</v>
      </c>
      <c r="AH219" s="233">
        <f>IFERROR(_xlfn.XLOOKUP($D219,'Modelling New'!$D:$D,'Modelling New'!AF:AF),"")</f>
        <v>0.995</v>
      </c>
      <c r="AI219" s="9"/>
      <c r="AJ219" s="9"/>
      <c r="AK219" s="256"/>
      <c r="AL219" s="256"/>
      <c r="AM219" s="256"/>
      <c r="AN219" s="230"/>
      <c r="AO219" s="233"/>
      <c r="AP219" s="233"/>
      <c r="AQ219" s="233"/>
      <c r="AR219" s="234">
        <f>_xlfn.XLOOKUP(D219,'Modelling New'!$D:$D,'Modelling New'!$N:$N)</f>
        <v>130</v>
      </c>
      <c r="AS219" s="234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29">
        <f>Table13[[#This Row],[Date]]-DAY(Table13[[#This Row],[Date]])+1</f>
        <v>45962</v>
      </c>
      <c r="E220" s="9">
        <f t="shared" si="15"/>
        <v>30</v>
      </c>
      <c r="F220" s="199" t="str">
        <f>IFERROR(_xlfn.XLOOKUP($A220,Input_Raw!$A:$A,Input_Raw!$FC:$FC),"")</f>
        <v/>
      </c>
      <c r="G220" s="200" t="str">
        <f>IFERROR(_xlfn.XLOOKUP($A220,Input_Raw!$A:$A,Input_Raw!$CY:$CY),"")</f>
        <v/>
      </c>
      <c r="H220" s="200" t="str">
        <f>IFERROR(_xlfn.XLOOKUP($A220,Input_Raw!$A:$A,Input_Raw!$DA:$DA),"")</f>
        <v/>
      </c>
      <c r="I220" s="200" t="str">
        <f>IFERROR(_xlfn.XLOOKUP($A220,Input_Raw!$A:$A,Input_Raw!$CX:$CX),"")</f>
        <v/>
      </c>
      <c r="J220" s="200" t="str">
        <f>IFERROR(_xlfn.XLOOKUP($A220,Input_Raw!$A:$A,Input_Raw!$CZ:$CZ),"")</f>
        <v/>
      </c>
      <c r="K220" s="201" t="str">
        <f>IFERROR(_xlfn.XLOOKUP($A220,Input_Raw!$A:$A,Input_Raw!$DB:$DB),"")</f>
        <v/>
      </c>
      <c r="L220" s="201" t="str">
        <f>IFERROR(_xlfn.XLOOKUP($A220,Input_Raw!$A:$A,Input_Raw!$DC:$DC),"")</f>
        <v/>
      </c>
      <c r="M220" s="200" t="str">
        <f>IFERROR(_xlfn.XLOOKUP($A220,Input_Raw!$A:$A,Input_Raw!$DF:$DF),"")</f>
        <v/>
      </c>
      <c r="N220" s="200" t="str">
        <f>IFERROR(_xlfn.XLOOKUP($A220,Input_Raw!$A:$A,Input_Raw!$DG:$DG),"")</f>
        <v/>
      </c>
      <c r="O220" s="230" t="str">
        <f>IFERROR(1-(SUMIF(Plant_BD!$B:$B,$A220,Plant_BD!$AL:$AL)/($AA220+SUMIF(Plant_BD!$B:$B,$A220,Plant_BD!$AL:$AL))),"")</f>
        <v/>
      </c>
      <c r="P220" s="230"/>
      <c r="Q220" s="231" t="str">
        <f>IFERROR(1-(SUMIF(Grid_BD!$B:$B,$A220,Grid_BD!$V:$V)/($AA220+SUMIF(Grid_BD!$B:$B,$A220,Grid_BD!$V:$V))),"")</f>
        <v/>
      </c>
      <c r="R220" s="230" t="str">
        <f>IFERROR(1-(SUMIF(Grid_BD!$B:$B,$A220,Grid_BD!$V:$V)/($AA220+SUMIF(Grid_BD!$B:$B,$A220,Grid_BD!$V:$V))),"")</f>
        <v/>
      </c>
      <c r="S220" s="9"/>
      <c r="T220" s="231"/>
      <c r="U220" s="232" t="str">
        <f t="shared" si="16"/>
        <v/>
      </c>
      <c r="V220" s="232" t="str">
        <f>IFERROR(_xlfn.XLOOKUP($A220,Input_Raw!$A:$A,Input_Raw!$FG:$FG),"")</f>
        <v/>
      </c>
      <c r="W220" s="233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85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33">
        <f>IFERROR(_xlfn.XLOOKUP($D220,'Modelling New'!$D:$D,'Modelling New'!O:O),"")</f>
        <v>0.85168295119970561</v>
      </c>
      <c r="AF220" s="233">
        <f>IFERROR(_xlfn.XLOOKUP($D220,'Modelling New'!$D:$D,'Modelling New'!W:W),"")</f>
        <v>0.19813457545270932</v>
      </c>
      <c r="AG220" s="233">
        <f>IFERROR(_xlfn.XLOOKUP($D220,'Modelling New'!$D:$D,'Modelling New'!AE:AE),"")</f>
        <v>0.995</v>
      </c>
      <c r="AH220" s="233">
        <f>IFERROR(_xlfn.XLOOKUP($D220,'Modelling New'!$D:$D,'Modelling New'!AF:AF),"")</f>
        <v>0.995</v>
      </c>
      <c r="AI220" s="9"/>
      <c r="AJ220" s="9"/>
      <c r="AK220" s="256"/>
      <c r="AL220" s="256"/>
      <c r="AM220" s="256"/>
      <c r="AN220" s="230"/>
      <c r="AO220" s="233"/>
      <c r="AP220" s="233"/>
      <c r="AQ220" s="233"/>
      <c r="AR220" s="234">
        <f>_xlfn.XLOOKUP(D220,'Modelling New'!$D:$D,'Modelling New'!$N:$N)</f>
        <v>130</v>
      </c>
      <c r="AS220" s="234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29">
        <f>Table13[[#This Row],[Date]]-DAY(Table13[[#This Row],[Date]])+1</f>
        <v>45962</v>
      </c>
      <c r="E221" s="9">
        <f t="shared" si="15"/>
        <v>30</v>
      </c>
      <c r="F221" s="199" t="str">
        <f>IFERROR(_xlfn.XLOOKUP($A221,Input_Raw!$A:$A,Input_Raw!$FC:$FC),"")</f>
        <v/>
      </c>
      <c r="G221" s="185" t="str">
        <f>IFERROR(_xlfn.XLOOKUP($A221,Input_Raw!$A:$A,Input_Raw!$CY:$CY),"")</f>
        <v/>
      </c>
      <c r="H221" s="185" t="str">
        <f>IFERROR(_xlfn.XLOOKUP($A221,Input_Raw!$A:$A,Input_Raw!$DA:$DA),"")</f>
        <v/>
      </c>
      <c r="I221" s="185" t="str">
        <f>IFERROR(_xlfn.XLOOKUP($A221,Input_Raw!$A:$A,Input_Raw!$CX:$CX),"")</f>
        <v/>
      </c>
      <c r="J221" s="185" t="str">
        <f>IFERROR(_xlfn.XLOOKUP($A221,Input_Raw!$A:$A,Input_Raw!$CZ:$CZ),"")</f>
        <v/>
      </c>
      <c r="K221" s="201" t="str">
        <f>IFERROR(_xlfn.XLOOKUP($A221,Input_Raw!$A:$A,Input_Raw!$DB:$DB),"")</f>
        <v/>
      </c>
      <c r="L221" s="201" t="str">
        <f>IFERROR(_xlfn.XLOOKUP($A221,Input_Raw!$A:$A,Input_Raw!$DC:$DC),"")</f>
        <v/>
      </c>
      <c r="M221" s="200" t="str">
        <f>IFERROR(_xlfn.XLOOKUP($A221,Input_Raw!$A:$A,Input_Raw!$DF:$DF),"")</f>
        <v/>
      </c>
      <c r="N221" s="200" t="str">
        <f>IFERROR(_xlfn.XLOOKUP($A221,Input_Raw!$A:$A,Input_Raw!$DG:$DG),"")</f>
        <v/>
      </c>
      <c r="O221" s="230" t="str">
        <f>IFERROR(1-(SUMIF(Plant_BD!$B:$B,$A221,Plant_BD!$AL:$AL)/($AA221+SUMIF(Plant_BD!$B:$B,$A221,Plant_BD!$AL:$AL))),"")</f>
        <v/>
      </c>
      <c r="P221" s="230"/>
      <c r="Q221" s="231" t="str">
        <f>IFERROR(1-(SUMIF(Grid_BD!$B:$B,$A221,Grid_BD!$V:$V)/($AA221+SUMIF(Grid_BD!$B:$B,$A221,Grid_BD!$V:$V))),"")</f>
        <v/>
      </c>
      <c r="R221" s="230" t="str">
        <f>IFERROR(1-(SUMIF(Grid_BD!$B:$B,$A221,Grid_BD!$V:$V)/($AA221+SUMIF(Grid_BD!$B:$B,$A221,Grid_BD!$V:$V))),"")</f>
        <v/>
      </c>
      <c r="S221" s="9"/>
      <c r="T221" s="231"/>
      <c r="U221" s="232" t="str">
        <f t="shared" si="16"/>
        <v/>
      </c>
      <c r="V221" s="232" t="str">
        <f>IFERROR(_xlfn.XLOOKUP($A221,Input_Raw!$A:$A,Input_Raw!$FG:$FG),"")</f>
        <v/>
      </c>
      <c r="W221" s="233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85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33">
        <f>IFERROR(_xlfn.XLOOKUP($D221,'Modelling New'!$D:$D,'Modelling New'!O:O),"")</f>
        <v>0.85168295119970561</v>
      </c>
      <c r="AF221" s="233">
        <f>IFERROR(_xlfn.XLOOKUP($D221,'Modelling New'!$D:$D,'Modelling New'!W:W),"")</f>
        <v>0.19813457545270932</v>
      </c>
      <c r="AG221" s="233">
        <f>IFERROR(_xlfn.XLOOKUP($D221,'Modelling New'!$D:$D,'Modelling New'!AE:AE),"")</f>
        <v>0.995</v>
      </c>
      <c r="AH221" s="233">
        <f>IFERROR(_xlfn.XLOOKUP($D221,'Modelling New'!$D:$D,'Modelling New'!AF:AF),"")</f>
        <v>0.995</v>
      </c>
      <c r="AI221" s="9"/>
      <c r="AJ221" s="9"/>
      <c r="AK221" s="256"/>
      <c r="AL221" s="256"/>
      <c r="AM221" s="256"/>
      <c r="AN221" s="230"/>
      <c r="AO221" s="233"/>
      <c r="AP221" s="233"/>
      <c r="AQ221" s="233"/>
      <c r="AR221" s="234">
        <f>_xlfn.XLOOKUP(D221,'Modelling New'!$D:$D,'Modelling New'!$N:$N)</f>
        <v>130</v>
      </c>
      <c r="AS221" s="234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29">
        <f>Table13[[#This Row],[Date]]-DAY(Table13[[#This Row],[Date]])+1</f>
        <v>45962</v>
      </c>
      <c r="E222" s="9">
        <f t="shared" si="15"/>
        <v>30</v>
      </c>
      <c r="F222" s="199" t="str">
        <f>IFERROR(_xlfn.XLOOKUP($A222,Input_Raw!$A:$A,Input_Raw!$FC:$FC),"")</f>
        <v/>
      </c>
      <c r="G222" s="200" t="str">
        <f>IFERROR(_xlfn.XLOOKUP($A222,Input_Raw!$A:$A,Input_Raw!$CY:$CY),"")</f>
        <v/>
      </c>
      <c r="H222" s="200" t="str">
        <f>IFERROR(_xlfn.XLOOKUP($A222,Input_Raw!$A:$A,Input_Raw!$DA:$DA),"")</f>
        <v/>
      </c>
      <c r="I222" s="200" t="str">
        <f>IFERROR(_xlfn.XLOOKUP($A222,Input_Raw!$A:$A,Input_Raw!$CX:$CX),"")</f>
        <v/>
      </c>
      <c r="J222" s="200" t="str">
        <f>IFERROR(_xlfn.XLOOKUP($A222,Input_Raw!$A:$A,Input_Raw!$CZ:$CZ),"")</f>
        <v/>
      </c>
      <c r="K222" s="201" t="str">
        <f>IFERROR(_xlfn.XLOOKUP($A222,Input_Raw!$A:$A,Input_Raw!$DB:$DB),"")</f>
        <v/>
      </c>
      <c r="L222" s="201" t="str">
        <f>IFERROR(_xlfn.XLOOKUP($A222,Input_Raw!$A:$A,Input_Raw!$DC:$DC),"")</f>
        <v/>
      </c>
      <c r="M222" s="200" t="str">
        <f>IFERROR(_xlfn.XLOOKUP($A222,Input_Raw!$A:$A,Input_Raw!$DF:$DF),"")</f>
        <v/>
      </c>
      <c r="N222" s="200" t="str">
        <f>IFERROR(_xlfn.XLOOKUP($A222,Input_Raw!$A:$A,Input_Raw!$DG:$DG),"")</f>
        <v/>
      </c>
      <c r="O222" s="230" t="str">
        <f>IFERROR(1-(SUMIF(Plant_BD!$B:$B,$A222,Plant_BD!$AL:$AL)/($AA222+SUMIF(Plant_BD!$B:$B,$A222,Plant_BD!$AL:$AL))),"")</f>
        <v/>
      </c>
      <c r="P222" s="230"/>
      <c r="Q222" s="231" t="str">
        <f>IFERROR(1-(SUMIF(Grid_BD!$B:$B,$A222,Grid_BD!$V:$V)/($AA222+SUMIF(Grid_BD!$B:$B,$A222,Grid_BD!$V:$V))),"")</f>
        <v/>
      </c>
      <c r="R222" s="230" t="str">
        <f>IFERROR(1-(SUMIF(Grid_BD!$B:$B,$A222,Grid_BD!$V:$V)/($AA222+SUMIF(Grid_BD!$B:$B,$A222,Grid_BD!$V:$V))),"")</f>
        <v/>
      </c>
      <c r="S222" s="9"/>
      <c r="T222" s="231"/>
      <c r="U222" s="232" t="str">
        <f t="shared" si="16"/>
        <v/>
      </c>
      <c r="V222" s="232" t="str">
        <f>IFERROR(_xlfn.XLOOKUP($A222,Input_Raw!$A:$A,Input_Raw!$FG:$FG),"")</f>
        <v/>
      </c>
      <c r="W222" s="233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85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33">
        <f>IFERROR(_xlfn.XLOOKUP($D222,'Modelling New'!$D:$D,'Modelling New'!O:O),"")</f>
        <v>0.85168295119970561</v>
      </c>
      <c r="AF222" s="233">
        <f>IFERROR(_xlfn.XLOOKUP($D222,'Modelling New'!$D:$D,'Modelling New'!W:W),"")</f>
        <v>0.19813457545270932</v>
      </c>
      <c r="AG222" s="233">
        <f>IFERROR(_xlfn.XLOOKUP($D222,'Modelling New'!$D:$D,'Modelling New'!AE:AE),"")</f>
        <v>0.995</v>
      </c>
      <c r="AH222" s="233">
        <f>IFERROR(_xlfn.XLOOKUP($D222,'Modelling New'!$D:$D,'Modelling New'!AF:AF),"")</f>
        <v>0.995</v>
      </c>
      <c r="AI222" s="9"/>
      <c r="AJ222" s="9"/>
      <c r="AK222" s="256"/>
      <c r="AL222" s="256"/>
      <c r="AM222" s="256"/>
      <c r="AN222" s="230"/>
      <c r="AO222" s="233"/>
      <c r="AP222" s="233"/>
      <c r="AQ222" s="233"/>
      <c r="AR222" s="234">
        <f>_xlfn.XLOOKUP(D222,'Modelling New'!$D:$D,'Modelling New'!$N:$N)</f>
        <v>130</v>
      </c>
      <c r="AS222" s="234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29">
        <f>Table13[[#This Row],[Date]]-DAY(Table13[[#This Row],[Date]])+1</f>
        <v>45962</v>
      </c>
      <c r="E223" s="9">
        <f t="shared" si="15"/>
        <v>30</v>
      </c>
      <c r="F223" s="199" t="str">
        <f>IFERROR(_xlfn.XLOOKUP($A223,Input_Raw!$A:$A,Input_Raw!$FC:$FC),"")</f>
        <v/>
      </c>
      <c r="G223" s="185" t="str">
        <f>IFERROR(_xlfn.XLOOKUP($A223,Input_Raw!$A:$A,Input_Raw!$CY:$CY),"")</f>
        <v/>
      </c>
      <c r="H223" s="185" t="str">
        <f>IFERROR(_xlfn.XLOOKUP($A223,Input_Raw!$A:$A,Input_Raw!$DA:$DA),"")</f>
        <v/>
      </c>
      <c r="I223" s="185" t="str">
        <f>IFERROR(_xlfn.XLOOKUP($A223,Input_Raw!$A:$A,Input_Raw!$CX:$CX),"")</f>
        <v/>
      </c>
      <c r="J223" s="185" t="str">
        <f>IFERROR(_xlfn.XLOOKUP($A223,Input_Raw!$A:$A,Input_Raw!$CZ:$CZ),"")</f>
        <v/>
      </c>
      <c r="K223" s="201" t="str">
        <f>IFERROR(_xlfn.XLOOKUP($A223,Input_Raw!$A:$A,Input_Raw!$DB:$DB),"")</f>
        <v/>
      </c>
      <c r="L223" s="201" t="str">
        <f>IFERROR(_xlfn.XLOOKUP($A223,Input_Raw!$A:$A,Input_Raw!$DC:$DC),"")</f>
        <v/>
      </c>
      <c r="M223" s="200" t="str">
        <f>IFERROR(_xlfn.XLOOKUP($A223,Input_Raw!$A:$A,Input_Raw!$DF:$DF),"")</f>
        <v/>
      </c>
      <c r="N223" s="200" t="str">
        <f>IFERROR(_xlfn.XLOOKUP($A223,Input_Raw!$A:$A,Input_Raw!$DG:$DG),"")</f>
        <v/>
      </c>
      <c r="O223" s="230" t="str">
        <f>IFERROR(1-(SUMIF(Plant_BD!$B:$B,$A223,Plant_BD!$AL:$AL)/($AA223+SUMIF(Plant_BD!$B:$B,$A223,Plant_BD!$AL:$AL))),"")</f>
        <v/>
      </c>
      <c r="P223" s="230"/>
      <c r="Q223" s="231" t="str">
        <f>IFERROR(1-(SUMIF(Grid_BD!$B:$B,$A223,Grid_BD!$V:$V)/($AA223+SUMIF(Grid_BD!$B:$B,$A223,Grid_BD!$V:$V))),"")</f>
        <v/>
      </c>
      <c r="R223" s="230" t="str">
        <f>IFERROR(1-(SUMIF(Grid_BD!$B:$B,$A223,Grid_BD!$V:$V)/($AA223+SUMIF(Grid_BD!$B:$B,$A223,Grid_BD!$V:$V))),"")</f>
        <v/>
      </c>
      <c r="S223" s="9"/>
      <c r="T223" s="231"/>
      <c r="U223" s="232" t="str">
        <f t="shared" si="16"/>
        <v/>
      </c>
      <c r="V223" s="232" t="str">
        <f>IFERROR(_xlfn.XLOOKUP($A223,Input_Raw!$A:$A,Input_Raw!$FG:$FG),"")</f>
        <v/>
      </c>
      <c r="W223" s="233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85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33">
        <f>IFERROR(_xlfn.XLOOKUP($D223,'Modelling New'!$D:$D,'Modelling New'!O:O),"")</f>
        <v>0.85168295119970561</v>
      </c>
      <c r="AF223" s="233">
        <f>IFERROR(_xlfn.XLOOKUP($D223,'Modelling New'!$D:$D,'Modelling New'!W:W),"")</f>
        <v>0.19813457545270932</v>
      </c>
      <c r="AG223" s="233">
        <f>IFERROR(_xlfn.XLOOKUP($D223,'Modelling New'!$D:$D,'Modelling New'!AE:AE),"")</f>
        <v>0.995</v>
      </c>
      <c r="AH223" s="233">
        <f>IFERROR(_xlfn.XLOOKUP($D223,'Modelling New'!$D:$D,'Modelling New'!AF:AF),"")</f>
        <v>0.995</v>
      </c>
      <c r="AI223" s="9"/>
      <c r="AJ223" s="9"/>
      <c r="AK223" s="256"/>
      <c r="AL223" s="256"/>
      <c r="AM223" s="256"/>
      <c r="AN223" s="230"/>
      <c r="AO223" s="233"/>
      <c r="AP223" s="233"/>
      <c r="AQ223" s="233"/>
      <c r="AR223" s="234">
        <f>_xlfn.XLOOKUP(D223,'Modelling New'!$D:$D,'Modelling New'!$N:$N)</f>
        <v>130</v>
      </c>
      <c r="AS223" s="234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29">
        <f>Table13[[#This Row],[Date]]-DAY(Table13[[#This Row],[Date]])+1</f>
        <v>45962</v>
      </c>
      <c r="E224" s="9">
        <f t="shared" si="15"/>
        <v>30</v>
      </c>
      <c r="F224" s="199" t="str">
        <f>IFERROR(_xlfn.XLOOKUP($A224,Input_Raw!$A:$A,Input_Raw!$FC:$FC),"")</f>
        <v/>
      </c>
      <c r="G224" s="200" t="str">
        <f>IFERROR(_xlfn.XLOOKUP($A224,Input_Raw!$A:$A,Input_Raw!$CY:$CY),"")</f>
        <v/>
      </c>
      <c r="H224" s="200" t="str">
        <f>IFERROR(_xlfn.XLOOKUP($A224,Input_Raw!$A:$A,Input_Raw!$DA:$DA),"")</f>
        <v/>
      </c>
      <c r="I224" s="200" t="str">
        <f>IFERROR(_xlfn.XLOOKUP($A224,Input_Raw!$A:$A,Input_Raw!$CX:$CX),"")</f>
        <v/>
      </c>
      <c r="J224" s="200" t="str">
        <f>IFERROR(_xlfn.XLOOKUP($A224,Input_Raw!$A:$A,Input_Raw!$CZ:$CZ),"")</f>
        <v/>
      </c>
      <c r="K224" s="201" t="str">
        <f>IFERROR(_xlfn.XLOOKUP($A224,Input_Raw!$A:$A,Input_Raw!$DB:$DB),"")</f>
        <v/>
      </c>
      <c r="L224" s="201" t="str">
        <f>IFERROR(_xlfn.XLOOKUP($A224,Input_Raw!$A:$A,Input_Raw!$DC:$DC),"")</f>
        <v/>
      </c>
      <c r="M224" s="200" t="str">
        <f>IFERROR(_xlfn.XLOOKUP($A224,Input_Raw!$A:$A,Input_Raw!$DF:$DF),"")</f>
        <v/>
      </c>
      <c r="N224" s="200" t="str">
        <f>IFERROR(_xlfn.XLOOKUP($A224,Input_Raw!$A:$A,Input_Raw!$DG:$DG),"")</f>
        <v/>
      </c>
      <c r="O224" s="230" t="str">
        <f>IFERROR(1-(SUMIF(Plant_BD!$B:$B,$A224,Plant_BD!$AL:$AL)/($AA224+SUMIF(Plant_BD!$B:$B,$A224,Plant_BD!$AL:$AL))),"")</f>
        <v/>
      </c>
      <c r="P224" s="230"/>
      <c r="Q224" s="231" t="str">
        <f>IFERROR(1-(SUMIF(Grid_BD!$B:$B,$A224,Grid_BD!$V:$V)/($AA224+SUMIF(Grid_BD!$B:$B,$A224,Grid_BD!$V:$V))),"")</f>
        <v/>
      </c>
      <c r="R224" s="230" t="str">
        <f>IFERROR(1-(SUMIF(Grid_BD!$B:$B,$A224,Grid_BD!$V:$V)/($AA224+SUMIF(Grid_BD!$B:$B,$A224,Grid_BD!$V:$V))),"")</f>
        <v/>
      </c>
      <c r="S224" s="9"/>
      <c r="T224" s="231"/>
      <c r="U224" s="232" t="str">
        <f t="shared" si="16"/>
        <v/>
      </c>
      <c r="V224" s="232" t="str">
        <f>IFERROR(_xlfn.XLOOKUP($A224,Input_Raw!$A:$A,Input_Raw!$FG:$FG),"")</f>
        <v/>
      </c>
      <c r="W224" s="233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85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33">
        <f>IFERROR(_xlfn.XLOOKUP($D224,'Modelling New'!$D:$D,'Modelling New'!O:O),"")</f>
        <v>0.85168295119970561</v>
      </c>
      <c r="AF224" s="233">
        <f>IFERROR(_xlfn.XLOOKUP($D224,'Modelling New'!$D:$D,'Modelling New'!W:W),"")</f>
        <v>0.19813457545270932</v>
      </c>
      <c r="AG224" s="233">
        <f>IFERROR(_xlfn.XLOOKUP($D224,'Modelling New'!$D:$D,'Modelling New'!AE:AE),"")</f>
        <v>0.995</v>
      </c>
      <c r="AH224" s="233">
        <f>IFERROR(_xlfn.XLOOKUP($D224,'Modelling New'!$D:$D,'Modelling New'!AF:AF),"")</f>
        <v>0.995</v>
      </c>
      <c r="AI224" s="9"/>
      <c r="AJ224" s="9"/>
      <c r="AK224" s="256"/>
      <c r="AL224" s="256"/>
      <c r="AM224" s="256"/>
      <c r="AN224" s="230"/>
      <c r="AO224" s="233"/>
      <c r="AP224" s="233"/>
      <c r="AQ224" s="233"/>
      <c r="AR224" s="234">
        <f>_xlfn.XLOOKUP(D224,'Modelling New'!$D:$D,'Modelling New'!$N:$N)</f>
        <v>130</v>
      </c>
      <c r="AS224" s="234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29">
        <f>Table13[[#This Row],[Date]]-DAY(Table13[[#This Row],[Date]])+1</f>
        <v>45962</v>
      </c>
      <c r="E225" s="9">
        <f t="shared" si="15"/>
        <v>30</v>
      </c>
      <c r="F225" s="199" t="str">
        <f>IFERROR(_xlfn.XLOOKUP($A225,Input_Raw!$A:$A,Input_Raw!$FC:$FC),"")</f>
        <v/>
      </c>
      <c r="G225" s="185" t="str">
        <f>IFERROR(_xlfn.XLOOKUP($A225,Input_Raw!$A:$A,Input_Raw!$CY:$CY),"")</f>
        <v/>
      </c>
      <c r="H225" s="185" t="str">
        <f>IFERROR(_xlfn.XLOOKUP($A225,Input_Raw!$A:$A,Input_Raw!$DA:$DA),"")</f>
        <v/>
      </c>
      <c r="I225" s="185" t="str">
        <f>IFERROR(_xlfn.XLOOKUP($A225,Input_Raw!$A:$A,Input_Raw!$CX:$CX),"")</f>
        <v/>
      </c>
      <c r="J225" s="185" t="str">
        <f>IFERROR(_xlfn.XLOOKUP($A225,Input_Raw!$A:$A,Input_Raw!$CZ:$CZ),"")</f>
        <v/>
      </c>
      <c r="K225" s="201" t="str">
        <f>IFERROR(_xlfn.XLOOKUP($A225,Input_Raw!$A:$A,Input_Raw!$DB:$DB),"")</f>
        <v/>
      </c>
      <c r="L225" s="201" t="str">
        <f>IFERROR(_xlfn.XLOOKUP($A225,Input_Raw!$A:$A,Input_Raw!$DC:$DC),"")</f>
        <v/>
      </c>
      <c r="M225" s="200" t="str">
        <f>IFERROR(_xlfn.XLOOKUP($A225,Input_Raw!$A:$A,Input_Raw!$DF:$DF),"")</f>
        <v/>
      </c>
      <c r="N225" s="200" t="str">
        <f>IFERROR(_xlfn.XLOOKUP($A225,Input_Raw!$A:$A,Input_Raw!$DG:$DG),"")</f>
        <v/>
      </c>
      <c r="O225" s="230" t="str">
        <f>IFERROR(1-(SUMIF(Plant_BD!$B:$B,$A225,Plant_BD!$AL:$AL)/($AA225+SUMIF(Plant_BD!$B:$B,$A225,Plant_BD!$AL:$AL))),"")</f>
        <v/>
      </c>
      <c r="P225" s="230"/>
      <c r="Q225" s="231" t="str">
        <f>IFERROR(1-(SUMIF(Grid_BD!$B:$B,$A225,Grid_BD!$V:$V)/($AA225+SUMIF(Grid_BD!$B:$B,$A225,Grid_BD!$V:$V))),"")</f>
        <v/>
      </c>
      <c r="R225" s="230" t="str">
        <f>IFERROR(1-(SUMIF(Grid_BD!$B:$B,$A225,Grid_BD!$V:$V)/($AA225+SUMIF(Grid_BD!$B:$B,$A225,Grid_BD!$V:$V))),"")</f>
        <v/>
      </c>
      <c r="S225" s="9"/>
      <c r="T225" s="231"/>
      <c r="U225" s="232" t="str">
        <f t="shared" si="16"/>
        <v/>
      </c>
      <c r="V225" s="232" t="str">
        <f>IFERROR(_xlfn.XLOOKUP($A225,Input_Raw!$A:$A,Input_Raw!$FG:$FG),"")</f>
        <v/>
      </c>
      <c r="W225" s="233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85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33">
        <f>IFERROR(_xlfn.XLOOKUP($D225,'Modelling New'!$D:$D,'Modelling New'!O:O),"")</f>
        <v>0.85168295119970561</v>
      </c>
      <c r="AF225" s="233">
        <f>IFERROR(_xlfn.XLOOKUP($D225,'Modelling New'!$D:$D,'Modelling New'!W:W),"")</f>
        <v>0.19813457545270932</v>
      </c>
      <c r="AG225" s="233">
        <f>IFERROR(_xlfn.XLOOKUP($D225,'Modelling New'!$D:$D,'Modelling New'!AE:AE),"")</f>
        <v>0.995</v>
      </c>
      <c r="AH225" s="233">
        <f>IFERROR(_xlfn.XLOOKUP($D225,'Modelling New'!$D:$D,'Modelling New'!AF:AF),"")</f>
        <v>0.995</v>
      </c>
      <c r="AI225" s="9"/>
      <c r="AJ225" s="9"/>
      <c r="AK225" s="256"/>
      <c r="AL225" s="256"/>
      <c r="AM225" s="256"/>
      <c r="AN225" s="230"/>
      <c r="AO225" s="233"/>
      <c r="AP225" s="233"/>
      <c r="AQ225" s="233"/>
      <c r="AR225" s="234">
        <f>_xlfn.XLOOKUP(D225,'Modelling New'!$D:$D,'Modelling New'!$N:$N)</f>
        <v>130</v>
      </c>
      <c r="AS225" s="234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29">
        <f>Table13[[#This Row],[Date]]-DAY(Table13[[#This Row],[Date]])+1</f>
        <v>45962</v>
      </c>
      <c r="E226" s="9">
        <f t="shared" si="15"/>
        <v>30</v>
      </c>
      <c r="F226" s="199" t="str">
        <f>IFERROR(_xlfn.XLOOKUP($A226,Input_Raw!$A:$A,Input_Raw!$FC:$FC),"")</f>
        <v/>
      </c>
      <c r="G226" s="200" t="str">
        <f>IFERROR(_xlfn.XLOOKUP($A226,Input_Raw!$A:$A,Input_Raw!$CY:$CY),"")</f>
        <v/>
      </c>
      <c r="H226" s="200" t="str">
        <f>IFERROR(_xlfn.XLOOKUP($A226,Input_Raw!$A:$A,Input_Raw!$DA:$DA),"")</f>
        <v/>
      </c>
      <c r="I226" s="200" t="str">
        <f>IFERROR(_xlfn.XLOOKUP($A226,Input_Raw!$A:$A,Input_Raw!$CX:$CX),"")</f>
        <v/>
      </c>
      <c r="J226" s="200" t="str">
        <f>IFERROR(_xlfn.XLOOKUP($A226,Input_Raw!$A:$A,Input_Raw!$CZ:$CZ),"")</f>
        <v/>
      </c>
      <c r="K226" s="201" t="str">
        <f>IFERROR(_xlfn.XLOOKUP($A226,Input_Raw!$A:$A,Input_Raw!$DB:$DB),"")</f>
        <v/>
      </c>
      <c r="L226" s="201" t="str">
        <f>IFERROR(_xlfn.XLOOKUP($A226,Input_Raw!$A:$A,Input_Raw!$DC:$DC),"")</f>
        <v/>
      </c>
      <c r="M226" s="200" t="str">
        <f>IFERROR(_xlfn.XLOOKUP($A226,Input_Raw!$A:$A,Input_Raw!$DF:$DF),"")</f>
        <v/>
      </c>
      <c r="N226" s="200" t="str">
        <f>IFERROR(_xlfn.XLOOKUP($A226,Input_Raw!$A:$A,Input_Raw!$DG:$DG),"")</f>
        <v/>
      </c>
      <c r="O226" s="230" t="str">
        <f>IFERROR(1-(SUMIF(Plant_BD!$B:$B,$A226,Plant_BD!$AL:$AL)/($AA226+SUMIF(Plant_BD!$B:$B,$A226,Plant_BD!$AL:$AL))),"")</f>
        <v/>
      </c>
      <c r="P226" s="230"/>
      <c r="Q226" s="231" t="str">
        <f>IFERROR(1-(SUMIF(Grid_BD!$B:$B,$A226,Grid_BD!$V:$V)/($AA226+SUMIF(Grid_BD!$B:$B,$A226,Grid_BD!$V:$V))),"")</f>
        <v/>
      </c>
      <c r="R226" s="230" t="str">
        <f>IFERROR(1-(SUMIF(Grid_BD!$B:$B,$A226,Grid_BD!$V:$V)/($AA226+SUMIF(Grid_BD!$B:$B,$A226,Grid_BD!$V:$V))),"")</f>
        <v/>
      </c>
      <c r="S226" s="9"/>
      <c r="T226" s="231"/>
      <c r="U226" s="232" t="str">
        <f t="shared" si="16"/>
        <v/>
      </c>
      <c r="V226" s="232" t="str">
        <f>IFERROR(_xlfn.XLOOKUP($A226,Input_Raw!$A:$A,Input_Raw!$FG:$FG),"")</f>
        <v/>
      </c>
      <c r="W226" s="233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85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33">
        <f>IFERROR(_xlfn.XLOOKUP($D226,'Modelling New'!$D:$D,'Modelling New'!O:O),"")</f>
        <v>0.85168295119970561</v>
      </c>
      <c r="AF226" s="233">
        <f>IFERROR(_xlfn.XLOOKUP($D226,'Modelling New'!$D:$D,'Modelling New'!W:W),"")</f>
        <v>0.19813457545270932</v>
      </c>
      <c r="AG226" s="233">
        <f>IFERROR(_xlfn.XLOOKUP($D226,'Modelling New'!$D:$D,'Modelling New'!AE:AE),"")</f>
        <v>0.995</v>
      </c>
      <c r="AH226" s="233">
        <f>IFERROR(_xlfn.XLOOKUP($D226,'Modelling New'!$D:$D,'Modelling New'!AF:AF),"")</f>
        <v>0.995</v>
      </c>
      <c r="AI226" s="9"/>
      <c r="AJ226" s="9"/>
      <c r="AK226" s="256"/>
      <c r="AL226" s="256"/>
      <c r="AM226" s="256"/>
      <c r="AN226" s="230"/>
      <c r="AO226" s="233"/>
      <c r="AP226" s="233"/>
      <c r="AQ226" s="233"/>
      <c r="AR226" s="234">
        <f>_xlfn.XLOOKUP(D226,'Modelling New'!$D:$D,'Modelling New'!$N:$N)</f>
        <v>130</v>
      </c>
      <c r="AS226" s="234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29">
        <f>Table13[[#This Row],[Date]]-DAY(Table13[[#This Row],[Date]])+1</f>
        <v>45962</v>
      </c>
      <c r="E227" s="9">
        <f t="shared" si="15"/>
        <v>30</v>
      </c>
      <c r="F227" s="199" t="str">
        <f>IFERROR(_xlfn.XLOOKUP($A227,Input_Raw!$A:$A,Input_Raw!$FC:$FC),"")</f>
        <v/>
      </c>
      <c r="G227" s="185" t="str">
        <f>IFERROR(_xlfn.XLOOKUP($A227,Input_Raw!$A:$A,Input_Raw!$CY:$CY),"")</f>
        <v/>
      </c>
      <c r="H227" s="185" t="str">
        <f>IFERROR(_xlfn.XLOOKUP($A227,Input_Raw!$A:$A,Input_Raw!$DA:$DA),"")</f>
        <v/>
      </c>
      <c r="I227" s="185" t="str">
        <f>IFERROR(_xlfn.XLOOKUP($A227,Input_Raw!$A:$A,Input_Raw!$CX:$CX),"")</f>
        <v/>
      </c>
      <c r="J227" s="185" t="str">
        <f>IFERROR(_xlfn.XLOOKUP($A227,Input_Raw!$A:$A,Input_Raw!$CZ:$CZ),"")</f>
        <v/>
      </c>
      <c r="K227" s="201" t="str">
        <f>IFERROR(_xlfn.XLOOKUP($A227,Input_Raw!$A:$A,Input_Raw!$DB:$DB),"")</f>
        <v/>
      </c>
      <c r="L227" s="201" t="str">
        <f>IFERROR(_xlfn.XLOOKUP($A227,Input_Raw!$A:$A,Input_Raw!$DC:$DC),"")</f>
        <v/>
      </c>
      <c r="M227" s="200" t="str">
        <f>IFERROR(_xlfn.XLOOKUP($A227,Input_Raw!$A:$A,Input_Raw!$DF:$DF),"")</f>
        <v/>
      </c>
      <c r="N227" s="200" t="str">
        <f>IFERROR(_xlfn.XLOOKUP($A227,Input_Raw!$A:$A,Input_Raw!$DG:$DG),"")</f>
        <v/>
      </c>
      <c r="O227" s="230" t="str">
        <f>IFERROR(1-(SUMIF(Plant_BD!$B:$B,$A227,Plant_BD!$AL:$AL)/($AA227+SUMIF(Plant_BD!$B:$B,$A227,Plant_BD!$AL:$AL))),"")</f>
        <v/>
      </c>
      <c r="P227" s="230"/>
      <c r="Q227" s="231" t="str">
        <f>IFERROR(1-(SUMIF(Grid_BD!$B:$B,$A227,Grid_BD!$V:$V)/($AA227+SUMIF(Grid_BD!$B:$B,$A227,Grid_BD!$V:$V))),"")</f>
        <v/>
      </c>
      <c r="R227" s="230" t="str">
        <f>IFERROR(1-(SUMIF(Grid_BD!$B:$B,$A227,Grid_BD!$V:$V)/($AA227+SUMIF(Grid_BD!$B:$B,$A227,Grid_BD!$V:$V))),"")</f>
        <v/>
      </c>
      <c r="S227" s="9"/>
      <c r="T227" s="231"/>
      <c r="U227" s="232" t="str">
        <f t="shared" si="16"/>
        <v/>
      </c>
      <c r="V227" s="232" t="str">
        <f>IFERROR(_xlfn.XLOOKUP($A227,Input_Raw!$A:$A,Input_Raw!$FG:$FG),"")</f>
        <v/>
      </c>
      <c r="W227" s="233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85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33">
        <f>IFERROR(_xlfn.XLOOKUP($D227,'Modelling New'!$D:$D,'Modelling New'!O:O),"")</f>
        <v>0.85168295119970561</v>
      </c>
      <c r="AF227" s="233">
        <f>IFERROR(_xlfn.XLOOKUP($D227,'Modelling New'!$D:$D,'Modelling New'!W:W),"")</f>
        <v>0.19813457545270932</v>
      </c>
      <c r="AG227" s="233">
        <f>IFERROR(_xlfn.XLOOKUP($D227,'Modelling New'!$D:$D,'Modelling New'!AE:AE),"")</f>
        <v>0.995</v>
      </c>
      <c r="AH227" s="233">
        <f>IFERROR(_xlfn.XLOOKUP($D227,'Modelling New'!$D:$D,'Modelling New'!AF:AF),"")</f>
        <v>0.995</v>
      </c>
      <c r="AI227" s="9"/>
      <c r="AJ227" s="9"/>
      <c r="AK227" s="256"/>
      <c r="AL227" s="256"/>
      <c r="AM227" s="256"/>
      <c r="AN227" s="230"/>
      <c r="AO227" s="233"/>
      <c r="AP227" s="233"/>
      <c r="AQ227" s="233"/>
      <c r="AR227" s="234">
        <f>_xlfn.XLOOKUP(D227,'Modelling New'!$D:$D,'Modelling New'!$N:$N)</f>
        <v>130</v>
      </c>
      <c r="AS227" s="234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29">
        <f>Table13[[#This Row],[Date]]-DAY(Table13[[#This Row],[Date]])+1</f>
        <v>45962</v>
      </c>
      <c r="E228" s="9">
        <f t="shared" si="15"/>
        <v>30</v>
      </c>
      <c r="F228" s="199" t="str">
        <f>IFERROR(_xlfn.XLOOKUP($A228,Input_Raw!$A:$A,Input_Raw!$FC:$FC),"")</f>
        <v/>
      </c>
      <c r="G228" s="200" t="str">
        <f>IFERROR(_xlfn.XLOOKUP($A228,Input_Raw!$A:$A,Input_Raw!$CY:$CY),"")</f>
        <v/>
      </c>
      <c r="H228" s="200" t="str">
        <f>IFERROR(_xlfn.XLOOKUP($A228,Input_Raw!$A:$A,Input_Raw!$DA:$DA),"")</f>
        <v/>
      </c>
      <c r="I228" s="200" t="str">
        <f>IFERROR(_xlfn.XLOOKUP($A228,Input_Raw!$A:$A,Input_Raw!$CX:$CX),"")</f>
        <v/>
      </c>
      <c r="J228" s="200" t="str">
        <f>IFERROR(_xlfn.XLOOKUP($A228,Input_Raw!$A:$A,Input_Raw!$CZ:$CZ),"")</f>
        <v/>
      </c>
      <c r="K228" s="201" t="str">
        <f>IFERROR(_xlfn.XLOOKUP($A228,Input_Raw!$A:$A,Input_Raw!$DB:$DB),"")</f>
        <v/>
      </c>
      <c r="L228" s="201" t="str">
        <f>IFERROR(_xlfn.XLOOKUP($A228,Input_Raw!$A:$A,Input_Raw!$DC:$DC),"")</f>
        <v/>
      </c>
      <c r="M228" s="200" t="str">
        <f>IFERROR(_xlfn.XLOOKUP($A228,Input_Raw!$A:$A,Input_Raw!$DF:$DF),"")</f>
        <v/>
      </c>
      <c r="N228" s="200" t="str">
        <f>IFERROR(_xlfn.XLOOKUP($A228,Input_Raw!$A:$A,Input_Raw!$DG:$DG),"")</f>
        <v/>
      </c>
      <c r="O228" s="230" t="str">
        <f>IFERROR(1-(SUMIF(Plant_BD!$B:$B,$A228,Plant_BD!$AL:$AL)/($AA228+SUMIF(Plant_BD!$B:$B,$A228,Plant_BD!$AL:$AL))),"")</f>
        <v/>
      </c>
      <c r="P228" s="230"/>
      <c r="Q228" s="231" t="str">
        <f>IFERROR(1-(SUMIF(Grid_BD!$B:$B,$A228,Grid_BD!$V:$V)/($AA228+SUMIF(Grid_BD!$B:$B,$A228,Grid_BD!$V:$V))),"")</f>
        <v/>
      </c>
      <c r="R228" s="230" t="str">
        <f>IFERROR(1-(SUMIF(Grid_BD!$B:$B,$A228,Grid_BD!$V:$V)/($AA228+SUMIF(Grid_BD!$B:$B,$A228,Grid_BD!$V:$V))),"")</f>
        <v/>
      </c>
      <c r="S228" s="9"/>
      <c r="T228" s="231"/>
      <c r="U228" s="232" t="str">
        <f t="shared" si="16"/>
        <v/>
      </c>
      <c r="V228" s="232" t="str">
        <f>IFERROR(_xlfn.XLOOKUP($A228,Input_Raw!$A:$A,Input_Raw!$FG:$FG),"")</f>
        <v/>
      </c>
      <c r="W228" s="233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85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33">
        <f>IFERROR(_xlfn.XLOOKUP($D228,'Modelling New'!$D:$D,'Modelling New'!O:O),"")</f>
        <v>0.85168295119970561</v>
      </c>
      <c r="AF228" s="233">
        <f>IFERROR(_xlfn.XLOOKUP($D228,'Modelling New'!$D:$D,'Modelling New'!W:W),"")</f>
        <v>0.19813457545270932</v>
      </c>
      <c r="AG228" s="233">
        <f>IFERROR(_xlfn.XLOOKUP($D228,'Modelling New'!$D:$D,'Modelling New'!AE:AE),"")</f>
        <v>0.995</v>
      </c>
      <c r="AH228" s="233">
        <f>IFERROR(_xlfn.XLOOKUP($D228,'Modelling New'!$D:$D,'Modelling New'!AF:AF),"")</f>
        <v>0.995</v>
      </c>
      <c r="AI228" s="9"/>
      <c r="AJ228" s="9"/>
      <c r="AK228" s="256"/>
      <c r="AL228" s="256"/>
      <c r="AM228" s="256"/>
      <c r="AN228" s="230"/>
      <c r="AO228" s="233"/>
      <c r="AP228" s="233"/>
      <c r="AQ228" s="233"/>
      <c r="AR228" s="234">
        <f>_xlfn.XLOOKUP(D228,'Modelling New'!$D:$D,'Modelling New'!$N:$N)</f>
        <v>130</v>
      </c>
      <c r="AS228" s="234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29">
        <f>Table13[[#This Row],[Date]]-DAY(Table13[[#This Row],[Date]])+1</f>
        <v>45962</v>
      </c>
      <c r="E229" s="9">
        <f t="shared" si="15"/>
        <v>30</v>
      </c>
      <c r="F229" s="199" t="str">
        <f>IFERROR(_xlfn.XLOOKUP($A229,Input_Raw!$A:$A,Input_Raw!$FC:$FC),"")</f>
        <v/>
      </c>
      <c r="G229" s="185" t="str">
        <f>IFERROR(_xlfn.XLOOKUP($A229,Input_Raw!$A:$A,Input_Raw!$CY:$CY),"")</f>
        <v/>
      </c>
      <c r="H229" s="185" t="str">
        <f>IFERROR(_xlfn.XLOOKUP($A229,Input_Raw!$A:$A,Input_Raw!$DA:$DA),"")</f>
        <v/>
      </c>
      <c r="I229" s="185" t="str">
        <f>IFERROR(_xlfn.XLOOKUP($A229,Input_Raw!$A:$A,Input_Raw!$CX:$CX),"")</f>
        <v/>
      </c>
      <c r="J229" s="185" t="str">
        <f>IFERROR(_xlfn.XLOOKUP($A229,Input_Raw!$A:$A,Input_Raw!$CZ:$CZ),"")</f>
        <v/>
      </c>
      <c r="K229" s="201" t="str">
        <f>IFERROR(_xlfn.XLOOKUP($A229,Input_Raw!$A:$A,Input_Raw!$DB:$DB),"")</f>
        <v/>
      </c>
      <c r="L229" s="201" t="str">
        <f>IFERROR(_xlfn.XLOOKUP($A229,Input_Raw!$A:$A,Input_Raw!$DC:$DC),"")</f>
        <v/>
      </c>
      <c r="M229" s="200" t="str">
        <f>IFERROR(_xlfn.XLOOKUP($A229,Input_Raw!$A:$A,Input_Raw!$DF:$DF),"")</f>
        <v/>
      </c>
      <c r="N229" s="200" t="str">
        <f>IFERROR(_xlfn.XLOOKUP($A229,Input_Raw!$A:$A,Input_Raw!$DG:$DG),"")</f>
        <v/>
      </c>
      <c r="O229" s="230" t="str">
        <f>IFERROR(1-(SUMIF(Plant_BD!$B:$B,$A229,Plant_BD!$AL:$AL)/($AA229+SUMIF(Plant_BD!$B:$B,$A229,Plant_BD!$AL:$AL))),"")</f>
        <v/>
      </c>
      <c r="P229" s="230"/>
      <c r="Q229" s="231" t="str">
        <f>IFERROR(1-(SUMIF(Grid_BD!$B:$B,$A229,Grid_BD!$V:$V)/($AA229+SUMIF(Grid_BD!$B:$B,$A229,Grid_BD!$V:$V))),"")</f>
        <v/>
      </c>
      <c r="R229" s="230" t="str">
        <f>IFERROR(1-(SUMIF(Grid_BD!$B:$B,$A229,Grid_BD!$V:$V)/($AA229+SUMIF(Grid_BD!$B:$B,$A229,Grid_BD!$V:$V))),"")</f>
        <v/>
      </c>
      <c r="S229" s="9"/>
      <c r="T229" s="231"/>
      <c r="U229" s="232" t="str">
        <f t="shared" si="16"/>
        <v/>
      </c>
      <c r="V229" s="232" t="str">
        <f>IFERROR(_xlfn.XLOOKUP($A229,Input_Raw!$A:$A,Input_Raw!$FG:$FG),"")</f>
        <v/>
      </c>
      <c r="W229" s="233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85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33">
        <f>IFERROR(_xlfn.XLOOKUP($D229,'Modelling New'!$D:$D,'Modelling New'!O:O),"")</f>
        <v>0.85168295119970561</v>
      </c>
      <c r="AF229" s="233">
        <f>IFERROR(_xlfn.XLOOKUP($D229,'Modelling New'!$D:$D,'Modelling New'!W:W),"")</f>
        <v>0.19813457545270932</v>
      </c>
      <c r="AG229" s="233">
        <f>IFERROR(_xlfn.XLOOKUP($D229,'Modelling New'!$D:$D,'Modelling New'!AE:AE),"")</f>
        <v>0.995</v>
      </c>
      <c r="AH229" s="233">
        <f>IFERROR(_xlfn.XLOOKUP($D229,'Modelling New'!$D:$D,'Modelling New'!AF:AF),"")</f>
        <v>0.995</v>
      </c>
      <c r="AI229" s="9"/>
      <c r="AJ229" s="9"/>
      <c r="AK229" s="256"/>
      <c r="AL229" s="256"/>
      <c r="AM229" s="256"/>
      <c r="AN229" s="230"/>
      <c r="AO229" s="233"/>
      <c r="AP229" s="233"/>
      <c r="AQ229" s="233"/>
      <c r="AR229" s="234">
        <f>_xlfn.XLOOKUP(D229,'Modelling New'!$D:$D,'Modelling New'!$N:$N)</f>
        <v>130</v>
      </c>
      <c r="AS229" s="234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29">
        <f>Table13[[#This Row],[Date]]-DAY(Table13[[#This Row],[Date]])+1</f>
        <v>45962</v>
      </c>
      <c r="E230" s="9">
        <f t="shared" si="15"/>
        <v>30</v>
      </c>
      <c r="F230" s="199" t="str">
        <f>IFERROR(_xlfn.XLOOKUP($A230,Input_Raw!$A:$A,Input_Raw!$FC:$FC),"")</f>
        <v/>
      </c>
      <c r="G230" s="200" t="str">
        <f>IFERROR(_xlfn.XLOOKUP($A230,Input_Raw!$A:$A,Input_Raw!$CY:$CY),"")</f>
        <v/>
      </c>
      <c r="H230" s="200" t="str">
        <f>IFERROR(_xlfn.XLOOKUP($A230,Input_Raw!$A:$A,Input_Raw!$DA:$DA),"")</f>
        <v/>
      </c>
      <c r="I230" s="200" t="str">
        <f>IFERROR(_xlfn.XLOOKUP($A230,Input_Raw!$A:$A,Input_Raw!$CX:$CX),"")</f>
        <v/>
      </c>
      <c r="J230" s="200" t="str">
        <f>IFERROR(_xlfn.XLOOKUP($A230,Input_Raw!$A:$A,Input_Raw!$CZ:$CZ),"")</f>
        <v/>
      </c>
      <c r="K230" s="201" t="str">
        <f>IFERROR(_xlfn.XLOOKUP($A230,Input_Raw!$A:$A,Input_Raw!$DB:$DB),"")</f>
        <v/>
      </c>
      <c r="L230" s="201" t="str">
        <f>IFERROR(_xlfn.XLOOKUP($A230,Input_Raw!$A:$A,Input_Raw!$DC:$DC),"")</f>
        <v/>
      </c>
      <c r="M230" s="200" t="str">
        <f>IFERROR(_xlfn.XLOOKUP($A230,Input_Raw!$A:$A,Input_Raw!$DF:$DF),"")</f>
        <v/>
      </c>
      <c r="N230" s="200" t="str">
        <f>IFERROR(_xlfn.XLOOKUP($A230,Input_Raw!$A:$A,Input_Raw!$DG:$DG),"")</f>
        <v/>
      </c>
      <c r="O230" s="230" t="str">
        <f>IFERROR(1-(SUMIF(Plant_BD!$B:$B,$A230,Plant_BD!$AL:$AL)/($AA230+SUMIF(Plant_BD!$B:$B,$A230,Plant_BD!$AL:$AL))),"")</f>
        <v/>
      </c>
      <c r="P230" s="230"/>
      <c r="Q230" s="231" t="str">
        <f>IFERROR(1-(SUMIF(Grid_BD!$B:$B,$A230,Grid_BD!$V:$V)/($AA230+SUMIF(Grid_BD!$B:$B,$A230,Grid_BD!$V:$V))),"")</f>
        <v/>
      </c>
      <c r="R230" s="230" t="str">
        <f>IFERROR(1-(SUMIF(Grid_BD!$B:$B,$A230,Grid_BD!$V:$V)/($AA230+SUMIF(Grid_BD!$B:$B,$A230,Grid_BD!$V:$V))),"")</f>
        <v/>
      </c>
      <c r="S230" s="9"/>
      <c r="T230" s="231"/>
      <c r="U230" s="232" t="str">
        <f t="shared" si="16"/>
        <v/>
      </c>
      <c r="V230" s="232" t="str">
        <f>IFERROR(_xlfn.XLOOKUP($A230,Input_Raw!$A:$A,Input_Raw!$FG:$FG),"")</f>
        <v/>
      </c>
      <c r="W230" s="233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85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33">
        <f>IFERROR(_xlfn.XLOOKUP($D230,'Modelling New'!$D:$D,'Modelling New'!O:O),"")</f>
        <v>0.85168295119970561</v>
      </c>
      <c r="AF230" s="233">
        <f>IFERROR(_xlfn.XLOOKUP($D230,'Modelling New'!$D:$D,'Modelling New'!W:W),"")</f>
        <v>0.19813457545270932</v>
      </c>
      <c r="AG230" s="233">
        <f>IFERROR(_xlfn.XLOOKUP($D230,'Modelling New'!$D:$D,'Modelling New'!AE:AE),"")</f>
        <v>0.995</v>
      </c>
      <c r="AH230" s="233">
        <f>IFERROR(_xlfn.XLOOKUP($D230,'Modelling New'!$D:$D,'Modelling New'!AF:AF),"")</f>
        <v>0.995</v>
      </c>
      <c r="AI230" s="9"/>
      <c r="AJ230" s="9"/>
      <c r="AK230" s="256"/>
      <c r="AL230" s="256"/>
      <c r="AM230" s="256"/>
      <c r="AN230" s="230"/>
      <c r="AO230" s="233"/>
      <c r="AP230" s="233"/>
      <c r="AQ230" s="233"/>
      <c r="AR230" s="234">
        <f>_xlfn.XLOOKUP(D230,'Modelling New'!$D:$D,'Modelling New'!$N:$N)</f>
        <v>130</v>
      </c>
      <c r="AS230" s="234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29">
        <f>Table13[[#This Row],[Date]]-DAY(Table13[[#This Row],[Date]])+1</f>
        <v>45962</v>
      </c>
      <c r="E231" s="9">
        <f t="shared" si="15"/>
        <v>30</v>
      </c>
      <c r="F231" s="199" t="str">
        <f>IFERROR(_xlfn.XLOOKUP($A231,Input_Raw!$A:$A,Input_Raw!$FC:$FC),"")</f>
        <v/>
      </c>
      <c r="G231" s="185" t="str">
        <f>IFERROR(_xlfn.XLOOKUP($A231,Input_Raw!$A:$A,Input_Raw!$CY:$CY),"")</f>
        <v/>
      </c>
      <c r="H231" s="185" t="str">
        <f>IFERROR(_xlfn.XLOOKUP($A231,Input_Raw!$A:$A,Input_Raw!$DA:$DA),"")</f>
        <v/>
      </c>
      <c r="I231" s="185" t="str">
        <f>IFERROR(_xlfn.XLOOKUP($A231,Input_Raw!$A:$A,Input_Raw!$CX:$CX),"")</f>
        <v/>
      </c>
      <c r="J231" s="185" t="str">
        <f>IFERROR(_xlfn.XLOOKUP($A231,Input_Raw!$A:$A,Input_Raw!$CZ:$CZ),"")</f>
        <v/>
      </c>
      <c r="K231" s="201" t="str">
        <f>IFERROR(_xlfn.XLOOKUP($A231,Input_Raw!$A:$A,Input_Raw!$DB:$DB),"")</f>
        <v/>
      </c>
      <c r="L231" s="201" t="str">
        <f>IFERROR(_xlfn.XLOOKUP($A231,Input_Raw!$A:$A,Input_Raw!$DC:$DC),"")</f>
        <v/>
      </c>
      <c r="M231" s="200" t="str">
        <f>IFERROR(_xlfn.XLOOKUP($A231,Input_Raw!$A:$A,Input_Raw!$DF:$DF),"")</f>
        <v/>
      </c>
      <c r="N231" s="200" t="str">
        <f>IFERROR(_xlfn.XLOOKUP($A231,Input_Raw!$A:$A,Input_Raw!$DG:$DG),"")</f>
        <v/>
      </c>
      <c r="O231" s="230" t="str">
        <f>IFERROR(1-(SUMIF(Plant_BD!$B:$B,$A231,Plant_BD!$AL:$AL)/($AA231+SUMIF(Plant_BD!$B:$B,$A231,Plant_BD!$AL:$AL))),"")</f>
        <v/>
      </c>
      <c r="P231" s="230"/>
      <c r="Q231" s="231" t="str">
        <f>IFERROR(1-(SUMIF(Grid_BD!$B:$B,$A231,Grid_BD!$V:$V)/($AA231+SUMIF(Grid_BD!$B:$B,$A231,Grid_BD!$V:$V))),"")</f>
        <v/>
      </c>
      <c r="R231" s="230" t="str">
        <f>IFERROR(1-(SUMIF(Grid_BD!$B:$B,$A231,Grid_BD!$V:$V)/($AA231+SUMIF(Grid_BD!$B:$B,$A231,Grid_BD!$V:$V))),"")</f>
        <v/>
      </c>
      <c r="S231" s="9"/>
      <c r="T231" s="231"/>
      <c r="U231" s="232" t="str">
        <f t="shared" si="16"/>
        <v/>
      </c>
      <c r="V231" s="232" t="str">
        <f>IFERROR(_xlfn.XLOOKUP($A231,Input_Raw!$A:$A,Input_Raw!$FG:$FG),"")</f>
        <v/>
      </c>
      <c r="W231" s="233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85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33">
        <f>IFERROR(_xlfn.XLOOKUP($D231,'Modelling New'!$D:$D,'Modelling New'!O:O),"")</f>
        <v>0.85168295119970561</v>
      </c>
      <c r="AF231" s="233">
        <f>IFERROR(_xlfn.XLOOKUP($D231,'Modelling New'!$D:$D,'Modelling New'!W:W),"")</f>
        <v>0.19813457545270932</v>
      </c>
      <c r="AG231" s="233">
        <f>IFERROR(_xlfn.XLOOKUP($D231,'Modelling New'!$D:$D,'Modelling New'!AE:AE),"")</f>
        <v>0.995</v>
      </c>
      <c r="AH231" s="233">
        <f>IFERROR(_xlfn.XLOOKUP($D231,'Modelling New'!$D:$D,'Modelling New'!AF:AF),"")</f>
        <v>0.995</v>
      </c>
      <c r="AI231" s="9"/>
      <c r="AJ231" s="9"/>
      <c r="AK231" s="256"/>
      <c r="AL231" s="256"/>
      <c r="AM231" s="256"/>
      <c r="AN231" s="230"/>
      <c r="AO231" s="233"/>
      <c r="AP231" s="233"/>
      <c r="AQ231" s="233"/>
      <c r="AR231" s="234">
        <f>_xlfn.XLOOKUP(D231,'Modelling New'!$D:$D,'Modelling New'!$N:$N)</f>
        <v>130</v>
      </c>
      <c r="AS231" s="234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29">
        <f>Table13[[#This Row],[Date]]-DAY(Table13[[#This Row],[Date]])+1</f>
        <v>45962</v>
      </c>
      <c r="E232" s="9">
        <f t="shared" ref="E232:E295" si="20">DAY(EOMONTH(A232,0))</f>
        <v>30</v>
      </c>
      <c r="F232" s="199" t="str">
        <f>IFERROR(_xlfn.XLOOKUP($A232,Input_Raw!$A:$A,Input_Raw!$FC:$FC),"")</f>
        <v/>
      </c>
      <c r="G232" s="200" t="str">
        <f>IFERROR(_xlfn.XLOOKUP($A232,Input_Raw!$A:$A,Input_Raw!$CY:$CY),"")</f>
        <v/>
      </c>
      <c r="H232" s="200" t="str">
        <f>IFERROR(_xlfn.XLOOKUP($A232,Input_Raw!$A:$A,Input_Raw!$DA:$DA),"")</f>
        <v/>
      </c>
      <c r="I232" s="200" t="str">
        <f>IFERROR(_xlfn.XLOOKUP($A232,Input_Raw!$A:$A,Input_Raw!$CX:$CX),"")</f>
        <v/>
      </c>
      <c r="J232" s="200" t="str">
        <f>IFERROR(_xlfn.XLOOKUP($A232,Input_Raw!$A:$A,Input_Raw!$CZ:$CZ),"")</f>
        <v/>
      </c>
      <c r="K232" s="201" t="str">
        <f>IFERROR(_xlfn.XLOOKUP($A232,Input_Raw!$A:$A,Input_Raw!$DB:$DB),"")</f>
        <v/>
      </c>
      <c r="L232" s="201" t="str">
        <f>IFERROR(_xlfn.XLOOKUP($A232,Input_Raw!$A:$A,Input_Raw!$DC:$DC),"")</f>
        <v/>
      </c>
      <c r="M232" s="200" t="str">
        <f>IFERROR(_xlfn.XLOOKUP($A232,Input_Raw!$A:$A,Input_Raw!$DF:$DF),"")</f>
        <v/>
      </c>
      <c r="N232" s="200" t="str">
        <f>IFERROR(_xlfn.XLOOKUP($A232,Input_Raw!$A:$A,Input_Raw!$DG:$DG),"")</f>
        <v/>
      </c>
      <c r="O232" s="230" t="str">
        <f>IFERROR(1-(SUMIF(Plant_BD!$B:$B,$A232,Plant_BD!$AL:$AL)/($AA232+SUMIF(Plant_BD!$B:$B,$A232,Plant_BD!$AL:$AL))),"")</f>
        <v/>
      </c>
      <c r="P232" s="230"/>
      <c r="Q232" s="231" t="str">
        <f>IFERROR(1-(SUMIF(Grid_BD!$B:$B,$A232,Grid_BD!$V:$V)/($AA232+SUMIF(Grid_BD!$B:$B,$A232,Grid_BD!$V:$V))),"")</f>
        <v/>
      </c>
      <c r="R232" s="230" t="str">
        <f>IFERROR(1-(SUMIF(Grid_BD!$B:$B,$A232,Grid_BD!$V:$V)/($AA232+SUMIF(Grid_BD!$B:$B,$A232,Grid_BD!$V:$V))),"")</f>
        <v/>
      </c>
      <c r="S232" s="9"/>
      <c r="T232" s="231"/>
      <c r="U232" s="232" t="str">
        <f t="shared" ref="U232:U295" si="21">IFERROR(AA232/I232/AB232/1000,"")</f>
        <v/>
      </c>
      <c r="V232" s="232" t="str">
        <f>IFERROR(_xlfn.XLOOKUP($A232,Input_Raw!$A:$A,Input_Raw!$FG:$FG),"")</f>
        <v/>
      </c>
      <c r="W232" s="233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85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33">
        <f>IFERROR(_xlfn.XLOOKUP($D232,'Modelling New'!$D:$D,'Modelling New'!O:O),"")</f>
        <v>0.85168295119970561</v>
      </c>
      <c r="AF232" s="233">
        <f>IFERROR(_xlfn.XLOOKUP($D232,'Modelling New'!$D:$D,'Modelling New'!W:W),"")</f>
        <v>0.19813457545270932</v>
      </c>
      <c r="AG232" s="233">
        <f>IFERROR(_xlfn.XLOOKUP($D232,'Modelling New'!$D:$D,'Modelling New'!AE:AE),"")</f>
        <v>0.995</v>
      </c>
      <c r="AH232" s="233">
        <f>IFERROR(_xlfn.XLOOKUP($D232,'Modelling New'!$D:$D,'Modelling New'!AF:AF),"")</f>
        <v>0.995</v>
      </c>
      <c r="AI232" s="9"/>
      <c r="AJ232" s="9"/>
      <c r="AK232" s="256"/>
      <c r="AL232" s="256"/>
      <c r="AM232" s="256"/>
      <c r="AN232" s="230"/>
      <c r="AO232" s="233"/>
      <c r="AP232" s="233"/>
      <c r="AQ232" s="233"/>
      <c r="AR232" s="234">
        <f>_xlfn.XLOOKUP(D232,'Modelling New'!$D:$D,'Modelling New'!$N:$N)</f>
        <v>130</v>
      </c>
      <c r="AS232" s="234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29">
        <f>Table13[[#This Row],[Date]]-DAY(Table13[[#This Row],[Date]])+1</f>
        <v>45962</v>
      </c>
      <c r="E233" s="9">
        <f t="shared" si="20"/>
        <v>30</v>
      </c>
      <c r="F233" s="199" t="str">
        <f>IFERROR(_xlfn.XLOOKUP($A233,Input_Raw!$A:$A,Input_Raw!$FC:$FC),"")</f>
        <v/>
      </c>
      <c r="G233" s="185" t="str">
        <f>IFERROR(_xlfn.XLOOKUP($A233,Input_Raw!$A:$A,Input_Raw!$CY:$CY),"")</f>
        <v/>
      </c>
      <c r="H233" s="185" t="str">
        <f>IFERROR(_xlfn.XLOOKUP($A233,Input_Raw!$A:$A,Input_Raw!$DA:$DA),"")</f>
        <v/>
      </c>
      <c r="I233" s="185" t="str">
        <f>IFERROR(_xlfn.XLOOKUP($A233,Input_Raw!$A:$A,Input_Raw!$CX:$CX),"")</f>
        <v/>
      </c>
      <c r="J233" s="185" t="str">
        <f>IFERROR(_xlfn.XLOOKUP($A233,Input_Raw!$A:$A,Input_Raw!$CZ:$CZ),"")</f>
        <v/>
      </c>
      <c r="K233" s="201" t="str">
        <f>IFERROR(_xlfn.XLOOKUP($A233,Input_Raw!$A:$A,Input_Raw!$DB:$DB),"")</f>
        <v/>
      </c>
      <c r="L233" s="201" t="str">
        <f>IFERROR(_xlfn.XLOOKUP($A233,Input_Raw!$A:$A,Input_Raw!$DC:$DC),"")</f>
        <v/>
      </c>
      <c r="M233" s="200" t="str">
        <f>IFERROR(_xlfn.XLOOKUP($A233,Input_Raw!$A:$A,Input_Raw!$DF:$DF),"")</f>
        <v/>
      </c>
      <c r="N233" s="200" t="str">
        <f>IFERROR(_xlfn.XLOOKUP($A233,Input_Raw!$A:$A,Input_Raw!$DG:$DG),"")</f>
        <v/>
      </c>
      <c r="O233" s="230" t="str">
        <f>IFERROR(1-(SUMIF(Plant_BD!$B:$B,$A233,Plant_BD!$AL:$AL)/($AA233+SUMIF(Plant_BD!$B:$B,$A233,Plant_BD!$AL:$AL))),"")</f>
        <v/>
      </c>
      <c r="P233" s="230"/>
      <c r="Q233" s="231" t="str">
        <f>IFERROR(1-(SUMIF(Grid_BD!$B:$B,$A233,Grid_BD!$V:$V)/($AA233+SUMIF(Grid_BD!$B:$B,$A233,Grid_BD!$V:$V))),"")</f>
        <v/>
      </c>
      <c r="R233" s="230" t="str">
        <f>IFERROR(1-(SUMIF(Grid_BD!$B:$B,$A233,Grid_BD!$V:$V)/($AA233+SUMIF(Grid_BD!$B:$B,$A233,Grid_BD!$V:$V))),"")</f>
        <v/>
      </c>
      <c r="S233" s="9"/>
      <c r="T233" s="231"/>
      <c r="U233" s="232" t="str">
        <f t="shared" si="21"/>
        <v/>
      </c>
      <c r="V233" s="232" t="str">
        <f>IFERROR(_xlfn.XLOOKUP($A233,Input_Raw!$A:$A,Input_Raw!$FG:$FG),"")</f>
        <v/>
      </c>
      <c r="W233" s="233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85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33">
        <f>IFERROR(_xlfn.XLOOKUP($D233,'Modelling New'!$D:$D,'Modelling New'!O:O),"")</f>
        <v>0.85168295119970561</v>
      </c>
      <c r="AF233" s="233">
        <f>IFERROR(_xlfn.XLOOKUP($D233,'Modelling New'!$D:$D,'Modelling New'!W:W),"")</f>
        <v>0.19813457545270932</v>
      </c>
      <c r="AG233" s="233">
        <f>IFERROR(_xlfn.XLOOKUP($D233,'Modelling New'!$D:$D,'Modelling New'!AE:AE),"")</f>
        <v>0.995</v>
      </c>
      <c r="AH233" s="233">
        <f>IFERROR(_xlfn.XLOOKUP($D233,'Modelling New'!$D:$D,'Modelling New'!AF:AF),"")</f>
        <v>0.995</v>
      </c>
      <c r="AI233" s="9"/>
      <c r="AJ233" s="9"/>
      <c r="AK233" s="256"/>
      <c r="AL233" s="256"/>
      <c r="AM233" s="256"/>
      <c r="AN233" s="230"/>
      <c r="AO233" s="233"/>
      <c r="AP233" s="233"/>
      <c r="AQ233" s="233"/>
      <c r="AR233" s="234">
        <f>_xlfn.XLOOKUP(D233,'Modelling New'!$D:$D,'Modelling New'!$N:$N)</f>
        <v>130</v>
      </c>
      <c r="AS233" s="234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29">
        <f>Table13[[#This Row],[Date]]-DAY(Table13[[#This Row],[Date]])+1</f>
        <v>45962</v>
      </c>
      <c r="E234" s="9">
        <f t="shared" si="20"/>
        <v>30</v>
      </c>
      <c r="F234" s="199" t="str">
        <f>IFERROR(_xlfn.XLOOKUP($A234,Input_Raw!$A:$A,Input_Raw!$FC:$FC),"")</f>
        <v/>
      </c>
      <c r="G234" s="200" t="str">
        <f>IFERROR(_xlfn.XLOOKUP($A234,Input_Raw!$A:$A,Input_Raw!$CY:$CY),"")</f>
        <v/>
      </c>
      <c r="H234" s="200" t="str">
        <f>IFERROR(_xlfn.XLOOKUP($A234,Input_Raw!$A:$A,Input_Raw!$DA:$DA),"")</f>
        <v/>
      </c>
      <c r="I234" s="200" t="str">
        <f>IFERROR(_xlfn.XLOOKUP($A234,Input_Raw!$A:$A,Input_Raw!$CX:$CX),"")</f>
        <v/>
      </c>
      <c r="J234" s="200" t="str">
        <f>IFERROR(_xlfn.XLOOKUP($A234,Input_Raw!$A:$A,Input_Raw!$CZ:$CZ),"")</f>
        <v/>
      </c>
      <c r="K234" s="201" t="str">
        <f>IFERROR(_xlfn.XLOOKUP($A234,Input_Raw!$A:$A,Input_Raw!$DB:$DB),"")</f>
        <v/>
      </c>
      <c r="L234" s="201" t="str">
        <f>IFERROR(_xlfn.XLOOKUP($A234,Input_Raw!$A:$A,Input_Raw!$DC:$DC),"")</f>
        <v/>
      </c>
      <c r="M234" s="200" t="str">
        <f>IFERROR(_xlfn.XLOOKUP($A234,Input_Raw!$A:$A,Input_Raw!$DF:$DF),"")</f>
        <v/>
      </c>
      <c r="N234" s="200" t="str">
        <f>IFERROR(_xlfn.XLOOKUP($A234,Input_Raw!$A:$A,Input_Raw!$DG:$DG),"")</f>
        <v/>
      </c>
      <c r="O234" s="230" t="str">
        <f>IFERROR(1-(SUMIF(Plant_BD!$B:$B,$A234,Plant_BD!$AL:$AL)/($AA234+SUMIF(Plant_BD!$B:$B,$A234,Plant_BD!$AL:$AL))),"")</f>
        <v/>
      </c>
      <c r="P234" s="230"/>
      <c r="Q234" s="231" t="str">
        <f>IFERROR(1-(SUMIF(Grid_BD!$B:$B,$A234,Grid_BD!$V:$V)/($AA234+SUMIF(Grid_BD!$B:$B,$A234,Grid_BD!$V:$V))),"")</f>
        <v/>
      </c>
      <c r="R234" s="230" t="str">
        <f>IFERROR(1-(SUMIF(Grid_BD!$B:$B,$A234,Grid_BD!$V:$V)/($AA234+SUMIF(Grid_BD!$B:$B,$A234,Grid_BD!$V:$V))),"")</f>
        <v/>
      </c>
      <c r="S234" s="9"/>
      <c r="T234" s="231"/>
      <c r="U234" s="232" t="str">
        <f t="shared" si="21"/>
        <v/>
      </c>
      <c r="V234" s="232" t="str">
        <f>IFERROR(_xlfn.XLOOKUP($A234,Input_Raw!$A:$A,Input_Raw!$FG:$FG),"")</f>
        <v/>
      </c>
      <c r="W234" s="233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85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33">
        <f>IFERROR(_xlfn.XLOOKUP($D234,'Modelling New'!$D:$D,'Modelling New'!O:O),"")</f>
        <v>0.85168295119970561</v>
      </c>
      <c r="AF234" s="233">
        <f>IFERROR(_xlfn.XLOOKUP($D234,'Modelling New'!$D:$D,'Modelling New'!W:W),"")</f>
        <v>0.19813457545270932</v>
      </c>
      <c r="AG234" s="233">
        <f>IFERROR(_xlfn.XLOOKUP($D234,'Modelling New'!$D:$D,'Modelling New'!AE:AE),"")</f>
        <v>0.995</v>
      </c>
      <c r="AH234" s="233">
        <f>IFERROR(_xlfn.XLOOKUP($D234,'Modelling New'!$D:$D,'Modelling New'!AF:AF),"")</f>
        <v>0.995</v>
      </c>
      <c r="AI234" s="9"/>
      <c r="AJ234" s="9"/>
      <c r="AK234" s="256"/>
      <c r="AL234" s="256"/>
      <c r="AM234" s="256"/>
      <c r="AN234" s="230"/>
      <c r="AO234" s="233"/>
      <c r="AP234" s="233"/>
      <c r="AQ234" s="233"/>
      <c r="AR234" s="234">
        <f>_xlfn.XLOOKUP(D234,'Modelling New'!$D:$D,'Modelling New'!$N:$N)</f>
        <v>130</v>
      </c>
      <c r="AS234" s="234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29">
        <f>Table13[[#This Row],[Date]]-DAY(Table13[[#This Row],[Date]])+1</f>
        <v>45962</v>
      </c>
      <c r="E235" s="9">
        <f t="shared" si="20"/>
        <v>30</v>
      </c>
      <c r="F235" s="199" t="str">
        <f>IFERROR(_xlfn.XLOOKUP($A235,Input_Raw!$A:$A,Input_Raw!$FC:$FC),"")</f>
        <v/>
      </c>
      <c r="G235" s="185" t="str">
        <f>IFERROR(_xlfn.XLOOKUP($A235,Input_Raw!$A:$A,Input_Raw!$CY:$CY),"")</f>
        <v/>
      </c>
      <c r="H235" s="185" t="str">
        <f>IFERROR(_xlfn.XLOOKUP($A235,Input_Raw!$A:$A,Input_Raw!$DA:$DA),"")</f>
        <v/>
      </c>
      <c r="I235" s="185" t="str">
        <f>IFERROR(_xlfn.XLOOKUP($A235,Input_Raw!$A:$A,Input_Raw!$CX:$CX),"")</f>
        <v/>
      </c>
      <c r="J235" s="185" t="str">
        <f>IFERROR(_xlfn.XLOOKUP($A235,Input_Raw!$A:$A,Input_Raw!$CZ:$CZ),"")</f>
        <v/>
      </c>
      <c r="K235" s="201" t="str">
        <f>IFERROR(_xlfn.XLOOKUP($A235,Input_Raw!$A:$A,Input_Raw!$DB:$DB),"")</f>
        <v/>
      </c>
      <c r="L235" s="201" t="str">
        <f>IFERROR(_xlfn.XLOOKUP($A235,Input_Raw!$A:$A,Input_Raw!$DC:$DC),"")</f>
        <v/>
      </c>
      <c r="M235" s="200" t="str">
        <f>IFERROR(_xlfn.XLOOKUP($A235,Input_Raw!$A:$A,Input_Raw!$DF:$DF),"")</f>
        <v/>
      </c>
      <c r="N235" s="200" t="str">
        <f>IFERROR(_xlfn.XLOOKUP($A235,Input_Raw!$A:$A,Input_Raw!$DG:$DG),"")</f>
        <v/>
      </c>
      <c r="O235" s="230" t="str">
        <f>IFERROR(1-(SUMIF(Plant_BD!$B:$B,$A235,Plant_BD!$AL:$AL)/($AA235+SUMIF(Plant_BD!$B:$B,$A235,Plant_BD!$AL:$AL))),"")</f>
        <v/>
      </c>
      <c r="P235" s="230"/>
      <c r="Q235" s="231" t="str">
        <f>IFERROR(1-(SUMIF(Grid_BD!$B:$B,$A235,Grid_BD!$V:$V)/($AA235+SUMIF(Grid_BD!$B:$B,$A235,Grid_BD!$V:$V))),"")</f>
        <v/>
      </c>
      <c r="R235" s="230" t="str">
        <f>IFERROR(1-(SUMIF(Grid_BD!$B:$B,$A235,Grid_BD!$V:$V)/($AA235+SUMIF(Grid_BD!$B:$B,$A235,Grid_BD!$V:$V))),"")</f>
        <v/>
      </c>
      <c r="S235" s="9"/>
      <c r="T235" s="231"/>
      <c r="U235" s="232" t="str">
        <f t="shared" si="21"/>
        <v/>
      </c>
      <c r="V235" s="232" t="str">
        <f>IFERROR(_xlfn.XLOOKUP($A235,Input_Raw!$A:$A,Input_Raw!$FG:$FG),"")</f>
        <v/>
      </c>
      <c r="W235" s="233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85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33">
        <f>IFERROR(_xlfn.XLOOKUP($D235,'Modelling New'!$D:$D,'Modelling New'!O:O),"")</f>
        <v>0.85168295119970561</v>
      </c>
      <c r="AF235" s="233">
        <f>IFERROR(_xlfn.XLOOKUP($D235,'Modelling New'!$D:$D,'Modelling New'!W:W),"")</f>
        <v>0.19813457545270932</v>
      </c>
      <c r="AG235" s="233">
        <f>IFERROR(_xlfn.XLOOKUP($D235,'Modelling New'!$D:$D,'Modelling New'!AE:AE),"")</f>
        <v>0.995</v>
      </c>
      <c r="AH235" s="233">
        <f>IFERROR(_xlfn.XLOOKUP($D235,'Modelling New'!$D:$D,'Modelling New'!AF:AF),"")</f>
        <v>0.995</v>
      </c>
      <c r="AI235" s="9"/>
      <c r="AJ235" s="9"/>
      <c r="AK235" s="256"/>
      <c r="AL235" s="256"/>
      <c r="AM235" s="256"/>
      <c r="AN235" s="230"/>
      <c r="AO235" s="233"/>
      <c r="AP235" s="233"/>
      <c r="AQ235" s="233"/>
      <c r="AR235" s="234">
        <f>_xlfn.XLOOKUP(D235,'Modelling New'!$D:$D,'Modelling New'!$N:$N)</f>
        <v>130</v>
      </c>
      <c r="AS235" s="234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29">
        <f>Table13[[#This Row],[Date]]-DAY(Table13[[#This Row],[Date]])+1</f>
        <v>45962</v>
      </c>
      <c r="E236" s="9">
        <f t="shared" si="20"/>
        <v>30</v>
      </c>
      <c r="F236" s="199" t="str">
        <f>IFERROR(_xlfn.XLOOKUP($A236,Input_Raw!$A:$A,Input_Raw!$FC:$FC),"")</f>
        <v/>
      </c>
      <c r="G236" s="200" t="str">
        <f>IFERROR(_xlfn.XLOOKUP($A236,Input_Raw!$A:$A,Input_Raw!$CY:$CY),"")</f>
        <v/>
      </c>
      <c r="H236" s="200" t="str">
        <f>IFERROR(_xlfn.XLOOKUP($A236,Input_Raw!$A:$A,Input_Raw!$DA:$DA),"")</f>
        <v/>
      </c>
      <c r="I236" s="200" t="str">
        <f>IFERROR(_xlfn.XLOOKUP($A236,Input_Raw!$A:$A,Input_Raw!$CX:$CX),"")</f>
        <v/>
      </c>
      <c r="J236" s="200" t="str">
        <f>IFERROR(_xlfn.XLOOKUP($A236,Input_Raw!$A:$A,Input_Raw!$CZ:$CZ),"")</f>
        <v/>
      </c>
      <c r="K236" s="201" t="str">
        <f>IFERROR(_xlfn.XLOOKUP($A236,Input_Raw!$A:$A,Input_Raw!$DB:$DB),"")</f>
        <v/>
      </c>
      <c r="L236" s="201" t="str">
        <f>IFERROR(_xlfn.XLOOKUP($A236,Input_Raw!$A:$A,Input_Raw!$DC:$DC),"")</f>
        <v/>
      </c>
      <c r="M236" s="200" t="str">
        <f>IFERROR(_xlfn.XLOOKUP($A236,Input_Raw!$A:$A,Input_Raw!$DF:$DF),"")</f>
        <v/>
      </c>
      <c r="N236" s="200" t="str">
        <f>IFERROR(_xlfn.XLOOKUP($A236,Input_Raw!$A:$A,Input_Raw!$DG:$DG),"")</f>
        <v/>
      </c>
      <c r="O236" s="230" t="str">
        <f>IFERROR(1-(SUMIF(Plant_BD!$B:$B,$A236,Plant_BD!$AL:$AL)/($AA236+SUMIF(Plant_BD!$B:$B,$A236,Plant_BD!$AL:$AL))),"")</f>
        <v/>
      </c>
      <c r="P236" s="230"/>
      <c r="Q236" s="231" t="str">
        <f>IFERROR(1-(SUMIF(Grid_BD!$B:$B,$A236,Grid_BD!$V:$V)/($AA236+SUMIF(Grid_BD!$B:$B,$A236,Grid_BD!$V:$V))),"")</f>
        <v/>
      </c>
      <c r="R236" s="230" t="str">
        <f>IFERROR(1-(SUMIF(Grid_BD!$B:$B,$A236,Grid_BD!$V:$V)/($AA236+SUMIF(Grid_BD!$B:$B,$A236,Grid_BD!$V:$V))),"")</f>
        <v/>
      </c>
      <c r="S236" s="9"/>
      <c r="T236" s="231"/>
      <c r="U236" s="232" t="str">
        <f t="shared" si="21"/>
        <v/>
      </c>
      <c r="V236" s="232" t="str">
        <f>IFERROR(_xlfn.XLOOKUP($A236,Input_Raw!$A:$A,Input_Raw!$FG:$FG),"")</f>
        <v/>
      </c>
      <c r="W236" s="233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85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33">
        <f>IFERROR(_xlfn.XLOOKUP($D236,'Modelling New'!$D:$D,'Modelling New'!O:O),"")</f>
        <v>0.85168295119970561</v>
      </c>
      <c r="AF236" s="233">
        <f>IFERROR(_xlfn.XLOOKUP($D236,'Modelling New'!$D:$D,'Modelling New'!W:W),"")</f>
        <v>0.19813457545270932</v>
      </c>
      <c r="AG236" s="233">
        <f>IFERROR(_xlfn.XLOOKUP($D236,'Modelling New'!$D:$D,'Modelling New'!AE:AE),"")</f>
        <v>0.995</v>
      </c>
      <c r="AH236" s="233">
        <f>IFERROR(_xlfn.XLOOKUP($D236,'Modelling New'!$D:$D,'Modelling New'!AF:AF),"")</f>
        <v>0.995</v>
      </c>
      <c r="AI236" s="9"/>
      <c r="AJ236" s="9"/>
      <c r="AK236" s="256"/>
      <c r="AL236" s="256"/>
      <c r="AM236" s="256"/>
      <c r="AN236" s="230"/>
      <c r="AO236" s="233"/>
      <c r="AP236" s="233"/>
      <c r="AQ236" s="233"/>
      <c r="AR236" s="234">
        <f>_xlfn.XLOOKUP(D236,'Modelling New'!$D:$D,'Modelling New'!$N:$N)</f>
        <v>130</v>
      </c>
      <c r="AS236" s="234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29">
        <f>Table13[[#This Row],[Date]]-DAY(Table13[[#This Row],[Date]])+1</f>
        <v>45962</v>
      </c>
      <c r="E237" s="9">
        <f t="shared" si="20"/>
        <v>30</v>
      </c>
      <c r="F237" s="199" t="str">
        <f>IFERROR(_xlfn.XLOOKUP($A237,Input_Raw!$A:$A,Input_Raw!$FC:$FC),"")</f>
        <v/>
      </c>
      <c r="G237" s="185" t="str">
        <f>IFERROR(_xlfn.XLOOKUP($A237,Input_Raw!$A:$A,Input_Raw!$CY:$CY),"")</f>
        <v/>
      </c>
      <c r="H237" s="185" t="str">
        <f>IFERROR(_xlfn.XLOOKUP($A237,Input_Raw!$A:$A,Input_Raw!$DA:$DA),"")</f>
        <v/>
      </c>
      <c r="I237" s="185" t="str">
        <f>IFERROR(_xlfn.XLOOKUP($A237,Input_Raw!$A:$A,Input_Raw!$CX:$CX),"")</f>
        <v/>
      </c>
      <c r="J237" s="185" t="str">
        <f>IFERROR(_xlfn.XLOOKUP($A237,Input_Raw!$A:$A,Input_Raw!$CZ:$CZ),"")</f>
        <v/>
      </c>
      <c r="K237" s="201" t="str">
        <f>IFERROR(_xlfn.XLOOKUP($A237,Input_Raw!$A:$A,Input_Raw!$DB:$DB),"")</f>
        <v/>
      </c>
      <c r="L237" s="201" t="str">
        <f>IFERROR(_xlfn.XLOOKUP($A237,Input_Raw!$A:$A,Input_Raw!$DC:$DC),"")</f>
        <v/>
      </c>
      <c r="M237" s="200" t="str">
        <f>IFERROR(_xlfn.XLOOKUP($A237,Input_Raw!$A:$A,Input_Raw!$DF:$DF),"")</f>
        <v/>
      </c>
      <c r="N237" s="200" t="str">
        <f>IFERROR(_xlfn.XLOOKUP($A237,Input_Raw!$A:$A,Input_Raw!$DG:$DG),"")</f>
        <v/>
      </c>
      <c r="O237" s="230" t="str">
        <f>IFERROR(1-(SUMIF(Plant_BD!$B:$B,$A237,Plant_BD!$AL:$AL)/($AA237+SUMIF(Plant_BD!$B:$B,$A237,Plant_BD!$AL:$AL))),"")</f>
        <v/>
      </c>
      <c r="P237" s="230"/>
      <c r="Q237" s="231" t="str">
        <f>IFERROR(1-(SUMIF(Grid_BD!$B:$B,$A237,Grid_BD!$V:$V)/($AA237+SUMIF(Grid_BD!$B:$B,$A237,Grid_BD!$V:$V))),"")</f>
        <v/>
      </c>
      <c r="R237" s="230" t="str">
        <f>IFERROR(1-(SUMIF(Grid_BD!$B:$B,$A237,Grid_BD!$V:$V)/($AA237+SUMIF(Grid_BD!$B:$B,$A237,Grid_BD!$V:$V))),"")</f>
        <v/>
      </c>
      <c r="S237" s="9"/>
      <c r="T237" s="231"/>
      <c r="U237" s="232" t="str">
        <f t="shared" si="21"/>
        <v/>
      </c>
      <c r="V237" s="232" t="str">
        <f>IFERROR(_xlfn.XLOOKUP($A237,Input_Raw!$A:$A,Input_Raw!$FG:$FG),"")</f>
        <v/>
      </c>
      <c r="W237" s="233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85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33">
        <f>IFERROR(_xlfn.XLOOKUP($D237,'Modelling New'!$D:$D,'Modelling New'!O:O),"")</f>
        <v>0.85168295119970561</v>
      </c>
      <c r="AF237" s="233">
        <f>IFERROR(_xlfn.XLOOKUP($D237,'Modelling New'!$D:$D,'Modelling New'!W:W),"")</f>
        <v>0.19813457545270932</v>
      </c>
      <c r="AG237" s="233">
        <f>IFERROR(_xlfn.XLOOKUP($D237,'Modelling New'!$D:$D,'Modelling New'!AE:AE),"")</f>
        <v>0.995</v>
      </c>
      <c r="AH237" s="233">
        <f>IFERROR(_xlfn.XLOOKUP($D237,'Modelling New'!$D:$D,'Modelling New'!AF:AF),"")</f>
        <v>0.995</v>
      </c>
      <c r="AI237" s="9"/>
      <c r="AJ237" s="9"/>
      <c r="AK237" s="256"/>
      <c r="AL237" s="256"/>
      <c r="AM237" s="256"/>
      <c r="AN237" s="230"/>
      <c r="AO237" s="233"/>
      <c r="AP237" s="233"/>
      <c r="AQ237" s="233"/>
      <c r="AR237" s="234">
        <f>_xlfn.XLOOKUP(D237,'Modelling New'!$D:$D,'Modelling New'!$N:$N)</f>
        <v>130</v>
      </c>
      <c r="AS237" s="234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29">
        <f>Table13[[#This Row],[Date]]-DAY(Table13[[#This Row],[Date]])+1</f>
        <v>45962</v>
      </c>
      <c r="E238" s="9">
        <f t="shared" si="20"/>
        <v>30</v>
      </c>
      <c r="F238" s="199" t="str">
        <f>IFERROR(_xlfn.XLOOKUP($A238,Input_Raw!$A:$A,Input_Raw!$FC:$FC),"")</f>
        <v/>
      </c>
      <c r="G238" s="200" t="str">
        <f>IFERROR(_xlfn.XLOOKUP($A238,Input_Raw!$A:$A,Input_Raw!$CY:$CY),"")</f>
        <v/>
      </c>
      <c r="H238" s="200" t="str">
        <f>IFERROR(_xlfn.XLOOKUP($A238,Input_Raw!$A:$A,Input_Raw!$DA:$DA),"")</f>
        <v/>
      </c>
      <c r="I238" s="200" t="str">
        <f>IFERROR(_xlfn.XLOOKUP($A238,Input_Raw!$A:$A,Input_Raw!$CX:$CX),"")</f>
        <v/>
      </c>
      <c r="J238" s="200" t="str">
        <f>IFERROR(_xlfn.XLOOKUP($A238,Input_Raw!$A:$A,Input_Raw!$CZ:$CZ),"")</f>
        <v/>
      </c>
      <c r="K238" s="201" t="str">
        <f>IFERROR(_xlfn.XLOOKUP($A238,Input_Raw!$A:$A,Input_Raw!$DB:$DB),"")</f>
        <v/>
      </c>
      <c r="L238" s="201" t="str">
        <f>IFERROR(_xlfn.XLOOKUP($A238,Input_Raw!$A:$A,Input_Raw!$DC:$DC),"")</f>
        <v/>
      </c>
      <c r="M238" s="200" t="str">
        <f>IFERROR(_xlfn.XLOOKUP($A238,Input_Raw!$A:$A,Input_Raw!$DF:$DF),"")</f>
        <v/>
      </c>
      <c r="N238" s="200" t="str">
        <f>IFERROR(_xlfn.XLOOKUP($A238,Input_Raw!$A:$A,Input_Raw!$DG:$DG),"")</f>
        <v/>
      </c>
      <c r="O238" s="230" t="str">
        <f>IFERROR(1-(SUMIF(Plant_BD!$B:$B,$A238,Plant_BD!$AL:$AL)/($AA238+SUMIF(Plant_BD!$B:$B,$A238,Plant_BD!$AL:$AL))),"")</f>
        <v/>
      </c>
      <c r="P238" s="230"/>
      <c r="Q238" s="231" t="str">
        <f>IFERROR(1-(SUMIF(Grid_BD!$B:$B,$A238,Grid_BD!$V:$V)/($AA238+SUMIF(Grid_BD!$B:$B,$A238,Grid_BD!$V:$V))),"")</f>
        <v/>
      </c>
      <c r="R238" s="230" t="str">
        <f>IFERROR(1-(SUMIF(Grid_BD!$B:$B,$A238,Grid_BD!$V:$V)/($AA238+SUMIF(Grid_BD!$B:$B,$A238,Grid_BD!$V:$V))),"")</f>
        <v/>
      </c>
      <c r="S238" s="9"/>
      <c r="T238" s="231"/>
      <c r="U238" s="232" t="str">
        <f t="shared" si="21"/>
        <v/>
      </c>
      <c r="V238" s="232" t="str">
        <f>IFERROR(_xlfn.XLOOKUP($A238,Input_Raw!$A:$A,Input_Raw!$FG:$FG),"")</f>
        <v/>
      </c>
      <c r="W238" s="233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85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33">
        <f>IFERROR(_xlfn.XLOOKUP($D238,'Modelling New'!$D:$D,'Modelling New'!O:O),"")</f>
        <v>0.85168295119970561</v>
      </c>
      <c r="AF238" s="233">
        <f>IFERROR(_xlfn.XLOOKUP($D238,'Modelling New'!$D:$D,'Modelling New'!W:W),"")</f>
        <v>0.19813457545270932</v>
      </c>
      <c r="AG238" s="233">
        <f>IFERROR(_xlfn.XLOOKUP($D238,'Modelling New'!$D:$D,'Modelling New'!AE:AE),"")</f>
        <v>0.995</v>
      </c>
      <c r="AH238" s="233">
        <f>IFERROR(_xlfn.XLOOKUP($D238,'Modelling New'!$D:$D,'Modelling New'!AF:AF),"")</f>
        <v>0.995</v>
      </c>
      <c r="AI238" s="9"/>
      <c r="AJ238" s="9"/>
      <c r="AK238" s="256"/>
      <c r="AL238" s="256"/>
      <c r="AM238" s="256"/>
      <c r="AN238" s="230"/>
      <c r="AO238" s="233"/>
      <c r="AP238" s="233"/>
      <c r="AQ238" s="233"/>
      <c r="AR238" s="234">
        <f>_xlfn.XLOOKUP(D238,'Modelling New'!$D:$D,'Modelling New'!$N:$N)</f>
        <v>130</v>
      </c>
      <c r="AS238" s="234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29">
        <f>Table13[[#This Row],[Date]]-DAY(Table13[[#This Row],[Date]])+1</f>
        <v>45962</v>
      </c>
      <c r="E239" s="9">
        <f t="shared" si="20"/>
        <v>30</v>
      </c>
      <c r="F239" s="199" t="str">
        <f>IFERROR(_xlfn.XLOOKUP($A239,Input_Raw!$A:$A,Input_Raw!$FC:$FC),"")</f>
        <v/>
      </c>
      <c r="G239" s="185" t="str">
        <f>IFERROR(_xlfn.XLOOKUP($A239,Input_Raw!$A:$A,Input_Raw!$CY:$CY),"")</f>
        <v/>
      </c>
      <c r="H239" s="185" t="str">
        <f>IFERROR(_xlfn.XLOOKUP($A239,Input_Raw!$A:$A,Input_Raw!$DA:$DA),"")</f>
        <v/>
      </c>
      <c r="I239" s="185" t="str">
        <f>IFERROR(_xlfn.XLOOKUP($A239,Input_Raw!$A:$A,Input_Raw!$CX:$CX),"")</f>
        <v/>
      </c>
      <c r="J239" s="185" t="str">
        <f>IFERROR(_xlfn.XLOOKUP($A239,Input_Raw!$A:$A,Input_Raw!$CZ:$CZ),"")</f>
        <v/>
      </c>
      <c r="K239" s="201" t="str">
        <f>IFERROR(_xlfn.XLOOKUP($A239,Input_Raw!$A:$A,Input_Raw!$DB:$DB),"")</f>
        <v/>
      </c>
      <c r="L239" s="201" t="str">
        <f>IFERROR(_xlfn.XLOOKUP($A239,Input_Raw!$A:$A,Input_Raw!$DC:$DC),"")</f>
        <v/>
      </c>
      <c r="M239" s="200" t="str">
        <f>IFERROR(_xlfn.XLOOKUP($A239,Input_Raw!$A:$A,Input_Raw!$DF:$DF),"")</f>
        <v/>
      </c>
      <c r="N239" s="200" t="str">
        <f>IFERROR(_xlfn.XLOOKUP($A239,Input_Raw!$A:$A,Input_Raw!$DG:$DG),"")</f>
        <v/>
      </c>
      <c r="O239" s="230" t="str">
        <f>IFERROR(1-(SUMIF(Plant_BD!$B:$B,$A239,Plant_BD!$AL:$AL)/($AA239+SUMIF(Plant_BD!$B:$B,$A239,Plant_BD!$AL:$AL))),"")</f>
        <v/>
      </c>
      <c r="P239" s="230"/>
      <c r="Q239" s="231" t="str">
        <f>IFERROR(1-(SUMIF(Grid_BD!$B:$B,$A239,Grid_BD!$V:$V)/($AA239+SUMIF(Grid_BD!$B:$B,$A239,Grid_BD!$V:$V))),"")</f>
        <v/>
      </c>
      <c r="R239" s="230" t="str">
        <f>IFERROR(1-(SUMIF(Grid_BD!$B:$B,$A239,Grid_BD!$V:$V)/($AA239+SUMIF(Grid_BD!$B:$B,$A239,Grid_BD!$V:$V))),"")</f>
        <v/>
      </c>
      <c r="S239" s="9"/>
      <c r="T239" s="231"/>
      <c r="U239" s="232" t="str">
        <f t="shared" si="21"/>
        <v/>
      </c>
      <c r="V239" s="232" t="str">
        <f>IFERROR(_xlfn.XLOOKUP($A239,Input_Raw!$A:$A,Input_Raw!$FG:$FG),"")</f>
        <v/>
      </c>
      <c r="W239" s="233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85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33">
        <f>IFERROR(_xlfn.XLOOKUP($D239,'Modelling New'!$D:$D,'Modelling New'!O:O),"")</f>
        <v>0.85168295119970561</v>
      </c>
      <c r="AF239" s="233">
        <f>IFERROR(_xlfn.XLOOKUP($D239,'Modelling New'!$D:$D,'Modelling New'!W:W),"")</f>
        <v>0.19813457545270932</v>
      </c>
      <c r="AG239" s="233">
        <f>IFERROR(_xlfn.XLOOKUP($D239,'Modelling New'!$D:$D,'Modelling New'!AE:AE),"")</f>
        <v>0.995</v>
      </c>
      <c r="AH239" s="233">
        <f>IFERROR(_xlfn.XLOOKUP($D239,'Modelling New'!$D:$D,'Modelling New'!AF:AF),"")</f>
        <v>0.995</v>
      </c>
      <c r="AI239" s="9"/>
      <c r="AJ239" s="9"/>
      <c r="AK239" s="256"/>
      <c r="AL239" s="256"/>
      <c r="AM239" s="256"/>
      <c r="AN239" s="230"/>
      <c r="AO239" s="233"/>
      <c r="AP239" s="233"/>
      <c r="AQ239" s="233"/>
      <c r="AR239" s="234">
        <f>_xlfn.XLOOKUP(D239,'Modelling New'!$D:$D,'Modelling New'!$N:$N)</f>
        <v>130</v>
      </c>
      <c r="AS239" s="234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29">
        <f>Table13[[#This Row],[Date]]-DAY(Table13[[#This Row],[Date]])+1</f>
        <v>45962</v>
      </c>
      <c r="E240" s="9">
        <f t="shared" si="20"/>
        <v>30</v>
      </c>
      <c r="F240" s="199" t="str">
        <f>IFERROR(_xlfn.XLOOKUP($A240,Input_Raw!$A:$A,Input_Raw!$FC:$FC),"")</f>
        <v/>
      </c>
      <c r="G240" s="200" t="str">
        <f>IFERROR(_xlfn.XLOOKUP($A240,Input_Raw!$A:$A,Input_Raw!$CY:$CY),"")</f>
        <v/>
      </c>
      <c r="H240" s="200" t="str">
        <f>IFERROR(_xlfn.XLOOKUP($A240,Input_Raw!$A:$A,Input_Raw!$DA:$DA),"")</f>
        <v/>
      </c>
      <c r="I240" s="200" t="str">
        <f>IFERROR(_xlfn.XLOOKUP($A240,Input_Raw!$A:$A,Input_Raw!$CX:$CX),"")</f>
        <v/>
      </c>
      <c r="J240" s="200" t="str">
        <f>IFERROR(_xlfn.XLOOKUP($A240,Input_Raw!$A:$A,Input_Raw!$CZ:$CZ),"")</f>
        <v/>
      </c>
      <c r="K240" s="201" t="str">
        <f>IFERROR(_xlfn.XLOOKUP($A240,Input_Raw!$A:$A,Input_Raw!$DB:$DB),"")</f>
        <v/>
      </c>
      <c r="L240" s="201" t="str">
        <f>IFERROR(_xlfn.XLOOKUP($A240,Input_Raw!$A:$A,Input_Raw!$DC:$DC),"")</f>
        <v/>
      </c>
      <c r="M240" s="200" t="str">
        <f>IFERROR(_xlfn.XLOOKUP($A240,Input_Raw!$A:$A,Input_Raw!$DF:$DF),"")</f>
        <v/>
      </c>
      <c r="N240" s="200" t="str">
        <f>IFERROR(_xlfn.XLOOKUP($A240,Input_Raw!$A:$A,Input_Raw!$DG:$DG),"")</f>
        <v/>
      </c>
      <c r="O240" s="230" t="str">
        <f>IFERROR(1-(SUMIF(Plant_BD!$B:$B,$A240,Plant_BD!$AL:$AL)/($AA240+SUMIF(Plant_BD!$B:$B,$A240,Plant_BD!$AL:$AL))),"")</f>
        <v/>
      </c>
      <c r="P240" s="230"/>
      <c r="Q240" s="231" t="str">
        <f>IFERROR(1-(SUMIF(Grid_BD!$B:$B,$A240,Grid_BD!$V:$V)/($AA240+SUMIF(Grid_BD!$B:$B,$A240,Grid_BD!$V:$V))),"")</f>
        <v/>
      </c>
      <c r="R240" s="230" t="str">
        <f>IFERROR(1-(SUMIF(Grid_BD!$B:$B,$A240,Grid_BD!$V:$V)/($AA240+SUMIF(Grid_BD!$B:$B,$A240,Grid_BD!$V:$V))),"")</f>
        <v/>
      </c>
      <c r="S240" s="9"/>
      <c r="T240" s="231"/>
      <c r="U240" s="232" t="str">
        <f t="shared" si="21"/>
        <v/>
      </c>
      <c r="V240" s="232" t="str">
        <f>IFERROR(_xlfn.XLOOKUP($A240,Input_Raw!$A:$A,Input_Raw!$FG:$FG),"")</f>
        <v/>
      </c>
      <c r="W240" s="233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85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33">
        <f>IFERROR(_xlfn.XLOOKUP($D240,'Modelling New'!$D:$D,'Modelling New'!O:O),"")</f>
        <v>0.85168295119970561</v>
      </c>
      <c r="AF240" s="233">
        <f>IFERROR(_xlfn.XLOOKUP($D240,'Modelling New'!$D:$D,'Modelling New'!W:W),"")</f>
        <v>0.19813457545270932</v>
      </c>
      <c r="AG240" s="233">
        <f>IFERROR(_xlfn.XLOOKUP($D240,'Modelling New'!$D:$D,'Modelling New'!AE:AE),"")</f>
        <v>0.995</v>
      </c>
      <c r="AH240" s="233">
        <f>IFERROR(_xlfn.XLOOKUP($D240,'Modelling New'!$D:$D,'Modelling New'!AF:AF),"")</f>
        <v>0.995</v>
      </c>
      <c r="AI240" s="9"/>
      <c r="AJ240" s="9"/>
      <c r="AK240" s="256"/>
      <c r="AL240" s="256"/>
      <c r="AM240" s="256"/>
      <c r="AN240" s="230"/>
      <c r="AO240" s="233"/>
      <c r="AP240" s="233"/>
      <c r="AQ240" s="233"/>
      <c r="AR240" s="234">
        <f>_xlfn.XLOOKUP(D240,'Modelling New'!$D:$D,'Modelling New'!$N:$N)</f>
        <v>130</v>
      </c>
      <c r="AS240" s="234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29">
        <f>Table13[[#This Row],[Date]]-DAY(Table13[[#This Row],[Date]])+1</f>
        <v>45962</v>
      </c>
      <c r="E241" s="9">
        <f t="shared" si="20"/>
        <v>30</v>
      </c>
      <c r="F241" s="199" t="str">
        <f>IFERROR(_xlfn.XLOOKUP($A241,Input_Raw!$A:$A,Input_Raw!$FC:$FC),"")</f>
        <v/>
      </c>
      <c r="G241" s="185" t="str">
        <f>IFERROR(_xlfn.XLOOKUP($A241,Input_Raw!$A:$A,Input_Raw!$CY:$CY),"")</f>
        <v/>
      </c>
      <c r="H241" s="185" t="str">
        <f>IFERROR(_xlfn.XLOOKUP($A241,Input_Raw!$A:$A,Input_Raw!$DA:$DA),"")</f>
        <v/>
      </c>
      <c r="I241" s="185" t="str">
        <f>IFERROR(_xlfn.XLOOKUP($A241,Input_Raw!$A:$A,Input_Raw!$CX:$CX),"")</f>
        <v/>
      </c>
      <c r="J241" s="185" t="str">
        <f>IFERROR(_xlfn.XLOOKUP($A241,Input_Raw!$A:$A,Input_Raw!$CZ:$CZ),"")</f>
        <v/>
      </c>
      <c r="K241" s="201" t="str">
        <f>IFERROR(_xlfn.XLOOKUP($A241,Input_Raw!$A:$A,Input_Raw!$DB:$DB),"")</f>
        <v/>
      </c>
      <c r="L241" s="201" t="str">
        <f>IFERROR(_xlfn.XLOOKUP($A241,Input_Raw!$A:$A,Input_Raw!$DC:$DC),"")</f>
        <v/>
      </c>
      <c r="M241" s="200" t="str">
        <f>IFERROR(_xlfn.XLOOKUP($A241,Input_Raw!$A:$A,Input_Raw!$DF:$DF),"")</f>
        <v/>
      </c>
      <c r="N241" s="200" t="str">
        <f>IFERROR(_xlfn.XLOOKUP($A241,Input_Raw!$A:$A,Input_Raw!$DG:$DG),"")</f>
        <v/>
      </c>
      <c r="O241" s="230" t="str">
        <f>IFERROR(1-(SUMIF(Plant_BD!$B:$B,$A241,Plant_BD!$AL:$AL)/($AA241+SUMIF(Plant_BD!$B:$B,$A241,Plant_BD!$AL:$AL))),"")</f>
        <v/>
      </c>
      <c r="P241" s="230"/>
      <c r="Q241" s="231" t="str">
        <f>IFERROR(1-(SUMIF(Grid_BD!$B:$B,$A241,Grid_BD!$V:$V)/($AA241+SUMIF(Grid_BD!$B:$B,$A241,Grid_BD!$V:$V))),"")</f>
        <v/>
      </c>
      <c r="R241" s="230" t="str">
        <f>IFERROR(1-(SUMIF(Grid_BD!$B:$B,$A241,Grid_BD!$V:$V)/($AA241+SUMIF(Grid_BD!$B:$B,$A241,Grid_BD!$V:$V))),"")</f>
        <v/>
      </c>
      <c r="S241" s="9"/>
      <c r="T241" s="231"/>
      <c r="U241" s="232" t="str">
        <f t="shared" si="21"/>
        <v/>
      </c>
      <c r="V241" s="232" t="str">
        <f>IFERROR(_xlfn.XLOOKUP($A241,Input_Raw!$A:$A,Input_Raw!$FG:$FG),"")</f>
        <v/>
      </c>
      <c r="W241" s="233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85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33">
        <f>IFERROR(_xlfn.XLOOKUP($D241,'Modelling New'!$D:$D,'Modelling New'!O:O),"")</f>
        <v>0.85168295119970561</v>
      </c>
      <c r="AF241" s="233">
        <f>IFERROR(_xlfn.XLOOKUP($D241,'Modelling New'!$D:$D,'Modelling New'!W:W),"")</f>
        <v>0.19813457545270932</v>
      </c>
      <c r="AG241" s="233">
        <f>IFERROR(_xlfn.XLOOKUP($D241,'Modelling New'!$D:$D,'Modelling New'!AE:AE),"")</f>
        <v>0.995</v>
      </c>
      <c r="AH241" s="233">
        <f>IFERROR(_xlfn.XLOOKUP($D241,'Modelling New'!$D:$D,'Modelling New'!AF:AF),"")</f>
        <v>0.995</v>
      </c>
      <c r="AI241" s="9"/>
      <c r="AJ241" s="9"/>
      <c r="AK241" s="256"/>
      <c r="AL241" s="256"/>
      <c r="AM241" s="256"/>
      <c r="AN241" s="230"/>
      <c r="AO241" s="233"/>
      <c r="AP241" s="233"/>
      <c r="AQ241" s="233"/>
      <c r="AR241" s="234">
        <f>_xlfn.XLOOKUP(D241,'Modelling New'!$D:$D,'Modelling New'!$N:$N)</f>
        <v>130</v>
      </c>
      <c r="AS241" s="234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29">
        <f>Table13[[#This Row],[Date]]-DAY(Table13[[#This Row],[Date]])+1</f>
        <v>45962</v>
      </c>
      <c r="E242" s="9">
        <f t="shared" si="20"/>
        <v>30</v>
      </c>
      <c r="F242" s="199" t="str">
        <f>IFERROR(_xlfn.XLOOKUP($A242,Input_Raw!$A:$A,Input_Raw!$FC:$FC),"")</f>
        <v/>
      </c>
      <c r="G242" s="200" t="str">
        <f>IFERROR(_xlfn.XLOOKUP($A242,Input_Raw!$A:$A,Input_Raw!$CY:$CY),"")</f>
        <v/>
      </c>
      <c r="H242" s="200" t="str">
        <f>IFERROR(_xlfn.XLOOKUP($A242,Input_Raw!$A:$A,Input_Raw!$DA:$DA),"")</f>
        <v/>
      </c>
      <c r="I242" s="200" t="str">
        <f>IFERROR(_xlfn.XLOOKUP($A242,Input_Raw!$A:$A,Input_Raw!$CX:$CX),"")</f>
        <v/>
      </c>
      <c r="J242" s="200" t="str">
        <f>IFERROR(_xlfn.XLOOKUP($A242,Input_Raw!$A:$A,Input_Raw!$CZ:$CZ),"")</f>
        <v/>
      </c>
      <c r="K242" s="201" t="str">
        <f>IFERROR(_xlfn.XLOOKUP($A242,Input_Raw!$A:$A,Input_Raw!$DB:$DB),"")</f>
        <v/>
      </c>
      <c r="L242" s="201" t="str">
        <f>IFERROR(_xlfn.XLOOKUP($A242,Input_Raw!$A:$A,Input_Raw!$DC:$DC),"")</f>
        <v/>
      </c>
      <c r="M242" s="200" t="str">
        <f>IFERROR(_xlfn.XLOOKUP($A242,Input_Raw!$A:$A,Input_Raw!$DF:$DF),"")</f>
        <v/>
      </c>
      <c r="N242" s="200" t="str">
        <f>IFERROR(_xlfn.XLOOKUP($A242,Input_Raw!$A:$A,Input_Raw!$DG:$DG),"")</f>
        <v/>
      </c>
      <c r="O242" s="230" t="str">
        <f>IFERROR(1-(SUMIF(Plant_BD!$B:$B,$A242,Plant_BD!$AL:$AL)/($AA242+SUMIF(Plant_BD!$B:$B,$A242,Plant_BD!$AL:$AL))),"")</f>
        <v/>
      </c>
      <c r="P242" s="230"/>
      <c r="Q242" s="231" t="str">
        <f>IFERROR(1-(SUMIF(Grid_BD!$B:$B,$A242,Grid_BD!$V:$V)/($AA242+SUMIF(Grid_BD!$B:$B,$A242,Grid_BD!$V:$V))),"")</f>
        <v/>
      </c>
      <c r="R242" s="230" t="str">
        <f>IFERROR(1-(SUMIF(Grid_BD!$B:$B,$A242,Grid_BD!$V:$V)/($AA242+SUMIF(Grid_BD!$B:$B,$A242,Grid_BD!$V:$V))),"")</f>
        <v/>
      </c>
      <c r="S242" s="9"/>
      <c r="T242" s="231"/>
      <c r="U242" s="232" t="str">
        <f t="shared" si="21"/>
        <v/>
      </c>
      <c r="V242" s="232" t="str">
        <f>IFERROR(_xlfn.XLOOKUP($A242,Input_Raw!$A:$A,Input_Raw!$FG:$FG),"")</f>
        <v/>
      </c>
      <c r="W242" s="233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85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33">
        <f>IFERROR(_xlfn.XLOOKUP($D242,'Modelling New'!$D:$D,'Modelling New'!O:O),"")</f>
        <v>0.85168295119970561</v>
      </c>
      <c r="AF242" s="233">
        <f>IFERROR(_xlfn.XLOOKUP($D242,'Modelling New'!$D:$D,'Modelling New'!W:W),"")</f>
        <v>0.19813457545270932</v>
      </c>
      <c r="AG242" s="233">
        <f>IFERROR(_xlfn.XLOOKUP($D242,'Modelling New'!$D:$D,'Modelling New'!AE:AE),"")</f>
        <v>0.995</v>
      </c>
      <c r="AH242" s="233">
        <f>IFERROR(_xlfn.XLOOKUP($D242,'Modelling New'!$D:$D,'Modelling New'!AF:AF),"")</f>
        <v>0.995</v>
      </c>
      <c r="AI242" s="9"/>
      <c r="AJ242" s="9"/>
      <c r="AK242" s="256"/>
      <c r="AL242" s="256"/>
      <c r="AM242" s="256"/>
      <c r="AN242" s="230"/>
      <c r="AO242" s="233"/>
      <c r="AP242" s="233"/>
      <c r="AQ242" s="233"/>
      <c r="AR242" s="234">
        <f>_xlfn.XLOOKUP(D242,'Modelling New'!$D:$D,'Modelling New'!$N:$N)</f>
        <v>130</v>
      </c>
      <c r="AS242" s="234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29">
        <f>Table13[[#This Row],[Date]]-DAY(Table13[[#This Row],[Date]])+1</f>
        <v>45962</v>
      </c>
      <c r="E243" s="9">
        <f t="shared" si="20"/>
        <v>30</v>
      </c>
      <c r="F243" s="199" t="str">
        <f>IFERROR(_xlfn.XLOOKUP($A243,Input_Raw!$A:$A,Input_Raw!$FC:$FC),"")</f>
        <v/>
      </c>
      <c r="G243" s="185" t="str">
        <f>IFERROR(_xlfn.XLOOKUP($A243,Input_Raw!$A:$A,Input_Raw!$CY:$CY),"")</f>
        <v/>
      </c>
      <c r="H243" s="185" t="str">
        <f>IFERROR(_xlfn.XLOOKUP($A243,Input_Raw!$A:$A,Input_Raw!$DA:$DA),"")</f>
        <v/>
      </c>
      <c r="I243" s="185" t="str">
        <f>IFERROR(_xlfn.XLOOKUP($A243,Input_Raw!$A:$A,Input_Raw!$CX:$CX),"")</f>
        <v/>
      </c>
      <c r="J243" s="185" t="str">
        <f>IFERROR(_xlfn.XLOOKUP($A243,Input_Raw!$A:$A,Input_Raw!$CZ:$CZ),"")</f>
        <v/>
      </c>
      <c r="K243" s="201" t="str">
        <f>IFERROR(_xlfn.XLOOKUP($A243,Input_Raw!$A:$A,Input_Raw!$DB:$DB),"")</f>
        <v/>
      </c>
      <c r="L243" s="201" t="str">
        <f>IFERROR(_xlfn.XLOOKUP($A243,Input_Raw!$A:$A,Input_Raw!$DC:$DC),"")</f>
        <v/>
      </c>
      <c r="M243" s="200" t="str">
        <f>IFERROR(_xlfn.XLOOKUP($A243,Input_Raw!$A:$A,Input_Raw!$DF:$DF),"")</f>
        <v/>
      </c>
      <c r="N243" s="200" t="str">
        <f>IFERROR(_xlfn.XLOOKUP($A243,Input_Raw!$A:$A,Input_Raw!$DG:$DG),"")</f>
        <v/>
      </c>
      <c r="O243" s="230" t="str">
        <f>IFERROR(1-(SUMIF(Plant_BD!$B:$B,$A243,Plant_BD!$AL:$AL)/($AA243+SUMIF(Plant_BD!$B:$B,$A243,Plant_BD!$AL:$AL))),"")</f>
        <v/>
      </c>
      <c r="P243" s="230"/>
      <c r="Q243" s="231" t="str">
        <f>IFERROR(1-(SUMIF(Grid_BD!$B:$B,$A243,Grid_BD!$V:$V)/($AA243+SUMIF(Grid_BD!$B:$B,$A243,Grid_BD!$V:$V))),"")</f>
        <v/>
      </c>
      <c r="R243" s="230" t="str">
        <f>IFERROR(1-(SUMIF(Grid_BD!$B:$B,$A243,Grid_BD!$V:$V)/($AA243+SUMIF(Grid_BD!$B:$B,$A243,Grid_BD!$V:$V))),"")</f>
        <v/>
      </c>
      <c r="S243" s="9"/>
      <c r="T243" s="231"/>
      <c r="U243" s="232" t="str">
        <f t="shared" si="21"/>
        <v/>
      </c>
      <c r="V243" s="232" t="str">
        <f>IFERROR(_xlfn.XLOOKUP($A243,Input_Raw!$A:$A,Input_Raw!$FG:$FG),"")</f>
        <v/>
      </c>
      <c r="W243" s="233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85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33">
        <f>IFERROR(_xlfn.XLOOKUP($D243,'Modelling New'!$D:$D,'Modelling New'!O:O),"")</f>
        <v>0.85168295119970561</v>
      </c>
      <c r="AF243" s="233">
        <f>IFERROR(_xlfn.XLOOKUP($D243,'Modelling New'!$D:$D,'Modelling New'!W:W),"")</f>
        <v>0.19813457545270932</v>
      </c>
      <c r="AG243" s="233">
        <f>IFERROR(_xlfn.XLOOKUP($D243,'Modelling New'!$D:$D,'Modelling New'!AE:AE),"")</f>
        <v>0.995</v>
      </c>
      <c r="AH243" s="233">
        <f>IFERROR(_xlfn.XLOOKUP($D243,'Modelling New'!$D:$D,'Modelling New'!AF:AF),"")</f>
        <v>0.995</v>
      </c>
      <c r="AI243" s="9"/>
      <c r="AJ243" s="9"/>
      <c r="AK243" s="256"/>
      <c r="AL243" s="256"/>
      <c r="AM243" s="256"/>
      <c r="AN243" s="230"/>
      <c r="AO243" s="233"/>
      <c r="AP243" s="233"/>
      <c r="AQ243" s="233"/>
      <c r="AR243" s="234">
        <f>_xlfn.XLOOKUP(D243,'Modelling New'!$D:$D,'Modelling New'!$N:$N)</f>
        <v>130</v>
      </c>
      <c r="AS243" s="234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29">
        <f>Table13[[#This Row],[Date]]-DAY(Table13[[#This Row],[Date]])+1</f>
        <v>45962</v>
      </c>
      <c r="E244" s="9">
        <f t="shared" si="20"/>
        <v>30</v>
      </c>
      <c r="F244" s="199" t="str">
        <f>IFERROR(_xlfn.XLOOKUP($A244,Input_Raw!$A:$A,Input_Raw!$FC:$FC),"")</f>
        <v/>
      </c>
      <c r="G244" s="200" t="str">
        <f>IFERROR(_xlfn.XLOOKUP($A244,Input_Raw!$A:$A,Input_Raw!$CY:$CY),"")</f>
        <v/>
      </c>
      <c r="H244" s="200" t="str">
        <f>IFERROR(_xlfn.XLOOKUP($A244,Input_Raw!$A:$A,Input_Raw!$DA:$DA),"")</f>
        <v/>
      </c>
      <c r="I244" s="200" t="str">
        <f>IFERROR(_xlfn.XLOOKUP($A244,Input_Raw!$A:$A,Input_Raw!$CX:$CX),"")</f>
        <v/>
      </c>
      <c r="J244" s="200" t="str">
        <f>IFERROR(_xlfn.XLOOKUP($A244,Input_Raw!$A:$A,Input_Raw!$CZ:$CZ),"")</f>
        <v/>
      </c>
      <c r="K244" s="201" t="str">
        <f>IFERROR(_xlfn.XLOOKUP($A244,Input_Raw!$A:$A,Input_Raw!$DB:$DB),"")</f>
        <v/>
      </c>
      <c r="L244" s="201" t="str">
        <f>IFERROR(_xlfn.XLOOKUP($A244,Input_Raw!$A:$A,Input_Raw!$DC:$DC),"")</f>
        <v/>
      </c>
      <c r="M244" s="200" t="str">
        <f>IFERROR(_xlfn.XLOOKUP($A244,Input_Raw!$A:$A,Input_Raw!$DF:$DF),"")</f>
        <v/>
      </c>
      <c r="N244" s="200" t="str">
        <f>IFERROR(_xlfn.XLOOKUP($A244,Input_Raw!$A:$A,Input_Raw!$DG:$DG),"")</f>
        <v/>
      </c>
      <c r="O244" s="230" t="str">
        <f>IFERROR(1-(SUMIF(Plant_BD!$B:$B,$A244,Plant_BD!$AL:$AL)/($AA244+SUMIF(Plant_BD!$B:$B,$A244,Plant_BD!$AL:$AL))),"")</f>
        <v/>
      </c>
      <c r="P244" s="230"/>
      <c r="Q244" s="231" t="str">
        <f>IFERROR(1-(SUMIF(Grid_BD!$B:$B,$A244,Grid_BD!$V:$V)/($AA244+SUMIF(Grid_BD!$B:$B,$A244,Grid_BD!$V:$V))),"")</f>
        <v/>
      </c>
      <c r="R244" s="230" t="str">
        <f>IFERROR(1-(SUMIF(Grid_BD!$B:$B,$A244,Grid_BD!$V:$V)/($AA244+SUMIF(Grid_BD!$B:$B,$A244,Grid_BD!$V:$V))),"")</f>
        <v/>
      </c>
      <c r="S244" s="9"/>
      <c r="T244" s="231"/>
      <c r="U244" s="232" t="str">
        <f t="shared" si="21"/>
        <v/>
      </c>
      <c r="V244" s="232" t="str">
        <f>IFERROR(_xlfn.XLOOKUP($A244,Input_Raw!$A:$A,Input_Raw!$FG:$FG),"")</f>
        <v/>
      </c>
      <c r="W244" s="233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85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33">
        <f>IFERROR(_xlfn.XLOOKUP($D244,'Modelling New'!$D:$D,'Modelling New'!O:O),"")</f>
        <v>0.85168295119970561</v>
      </c>
      <c r="AF244" s="233">
        <f>IFERROR(_xlfn.XLOOKUP($D244,'Modelling New'!$D:$D,'Modelling New'!W:W),"")</f>
        <v>0.19813457545270932</v>
      </c>
      <c r="AG244" s="233">
        <f>IFERROR(_xlfn.XLOOKUP($D244,'Modelling New'!$D:$D,'Modelling New'!AE:AE),"")</f>
        <v>0.995</v>
      </c>
      <c r="AH244" s="233">
        <f>IFERROR(_xlfn.XLOOKUP($D244,'Modelling New'!$D:$D,'Modelling New'!AF:AF),"")</f>
        <v>0.995</v>
      </c>
      <c r="AI244" s="9"/>
      <c r="AJ244" s="9"/>
      <c r="AK244" s="256"/>
      <c r="AL244" s="256"/>
      <c r="AM244" s="256"/>
      <c r="AN244" s="230"/>
      <c r="AO244" s="233"/>
      <c r="AP244" s="233"/>
      <c r="AQ244" s="233"/>
      <c r="AR244" s="234">
        <f>_xlfn.XLOOKUP(D244,'Modelling New'!$D:$D,'Modelling New'!$N:$N)</f>
        <v>130</v>
      </c>
      <c r="AS244" s="234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29">
        <f>Table13[[#This Row],[Date]]-DAY(Table13[[#This Row],[Date]])+1</f>
        <v>45962</v>
      </c>
      <c r="E245" s="9">
        <f t="shared" si="20"/>
        <v>30</v>
      </c>
      <c r="F245" s="199" t="str">
        <f>IFERROR(_xlfn.XLOOKUP($A245,Input_Raw!$A:$A,Input_Raw!$FC:$FC),"")</f>
        <v/>
      </c>
      <c r="G245" s="185" t="str">
        <f>IFERROR(_xlfn.XLOOKUP($A245,Input_Raw!$A:$A,Input_Raw!$CY:$CY),"")</f>
        <v/>
      </c>
      <c r="H245" s="185" t="str">
        <f>IFERROR(_xlfn.XLOOKUP($A245,Input_Raw!$A:$A,Input_Raw!$DA:$DA),"")</f>
        <v/>
      </c>
      <c r="I245" s="185" t="str">
        <f>IFERROR(_xlfn.XLOOKUP($A245,Input_Raw!$A:$A,Input_Raw!$CX:$CX),"")</f>
        <v/>
      </c>
      <c r="J245" s="185" t="str">
        <f>IFERROR(_xlfn.XLOOKUP($A245,Input_Raw!$A:$A,Input_Raw!$CZ:$CZ),"")</f>
        <v/>
      </c>
      <c r="K245" s="201" t="str">
        <f>IFERROR(_xlfn.XLOOKUP($A245,Input_Raw!$A:$A,Input_Raw!$DB:$DB),"")</f>
        <v/>
      </c>
      <c r="L245" s="201" t="str">
        <f>IFERROR(_xlfn.XLOOKUP($A245,Input_Raw!$A:$A,Input_Raw!$DC:$DC),"")</f>
        <v/>
      </c>
      <c r="M245" s="200" t="str">
        <f>IFERROR(_xlfn.XLOOKUP($A245,Input_Raw!$A:$A,Input_Raw!$DF:$DF),"")</f>
        <v/>
      </c>
      <c r="N245" s="200" t="str">
        <f>IFERROR(_xlfn.XLOOKUP($A245,Input_Raw!$A:$A,Input_Raw!$DG:$DG),"")</f>
        <v/>
      </c>
      <c r="O245" s="230" t="str">
        <f>IFERROR(1-(SUMIF(Plant_BD!$B:$B,$A245,Plant_BD!$AL:$AL)/($AA245+SUMIF(Plant_BD!$B:$B,$A245,Plant_BD!$AL:$AL))),"")</f>
        <v/>
      </c>
      <c r="P245" s="230"/>
      <c r="Q245" s="231" t="str">
        <f>IFERROR(1-(SUMIF(Grid_BD!$B:$B,$A245,Grid_BD!$V:$V)/($AA245+SUMIF(Grid_BD!$B:$B,$A245,Grid_BD!$V:$V))),"")</f>
        <v/>
      </c>
      <c r="R245" s="230" t="str">
        <f>IFERROR(1-(SUMIF(Grid_BD!$B:$B,$A245,Grid_BD!$V:$V)/($AA245+SUMIF(Grid_BD!$B:$B,$A245,Grid_BD!$V:$V))),"")</f>
        <v/>
      </c>
      <c r="S245" s="9"/>
      <c r="T245" s="231"/>
      <c r="U245" s="232" t="str">
        <f t="shared" si="21"/>
        <v/>
      </c>
      <c r="V245" s="232" t="str">
        <f>IFERROR(_xlfn.XLOOKUP($A245,Input_Raw!$A:$A,Input_Raw!$FG:$FG),"")</f>
        <v/>
      </c>
      <c r="W245" s="233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85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33">
        <f>IFERROR(_xlfn.XLOOKUP($D245,'Modelling New'!$D:$D,'Modelling New'!O:O),"")</f>
        <v>0.85168295119970561</v>
      </c>
      <c r="AF245" s="233">
        <f>IFERROR(_xlfn.XLOOKUP($D245,'Modelling New'!$D:$D,'Modelling New'!W:W),"")</f>
        <v>0.19813457545270932</v>
      </c>
      <c r="AG245" s="233">
        <f>IFERROR(_xlfn.XLOOKUP($D245,'Modelling New'!$D:$D,'Modelling New'!AE:AE),"")</f>
        <v>0.995</v>
      </c>
      <c r="AH245" s="233">
        <f>IFERROR(_xlfn.XLOOKUP($D245,'Modelling New'!$D:$D,'Modelling New'!AF:AF),"")</f>
        <v>0.995</v>
      </c>
      <c r="AI245" s="9"/>
      <c r="AJ245" s="9"/>
      <c r="AK245" s="256"/>
      <c r="AL245" s="256"/>
      <c r="AM245" s="256"/>
      <c r="AN245" s="230"/>
      <c r="AO245" s="233"/>
      <c r="AP245" s="233"/>
      <c r="AQ245" s="233"/>
      <c r="AR245" s="234">
        <f>_xlfn.XLOOKUP(D245,'Modelling New'!$D:$D,'Modelling New'!$N:$N)</f>
        <v>130</v>
      </c>
      <c r="AS245" s="234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29">
        <f>Table13[[#This Row],[Date]]-DAY(Table13[[#This Row],[Date]])+1</f>
        <v>45962</v>
      </c>
      <c r="E246" s="9">
        <f t="shared" si="20"/>
        <v>30</v>
      </c>
      <c r="F246" s="199" t="str">
        <f>IFERROR(_xlfn.XLOOKUP($A246,Input_Raw!$A:$A,Input_Raw!$FC:$FC),"")</f>
        <v/>
      </c>
      <c r="G246" s="200" t="str">
        <f>IFERROR(_xlfn.XLOOKUP($A246,Input_Raw!$A:$A,Input_Raw!$CY:$CY),"")</f>
        <v/>
      </c>
      <c r="H246" s="200" t="str">
        <f>IFERROR(_xlfn.XLOOKUP($A246,Input_Raw!$A:$A,Input_Raw!$DA:$DA),"")</f>
        <v/>
      </c>
      <c r="I246" s="200" t="str">
        <f>IFERROR(_xlfn.XLOOKUP($A246,Input_Raw!$A:$A,Input_Raw!$CX:$CX),"")</f>
        <v/>
      </c>
      <c r="J246" s="200" t="str">
        <f>IFERROR(_xlfn.XLOOKUP($A246,Input_Raw!$A:$A,Input_Raw!$CZ:$CZ),"")</f>
        <v/>
      </c>
      <c r="K246" s="201" t="str">
        <f>IFERROR(_xlfn.XLOOKUP($A246,Input_Raw!$A:$A,Input_Raw!$DB:$DB),"")</f>
        <v/>
      </c>
      <c r="L246" s="201" t="str">
        <f>IFERROR(_xlfn.XLOOKUP($A246,Input_Raw!$A:$A,Input_Raw!$DC:$DC),"")</f>
        <v/>
      </c>
      <c r="M246" s="200" t="str">
        <f>IFERROR(_xlfn.XLOOKUP($A246,Input_Raw!$A:$A,Input_Raw!$DF:$DF),"")</f>
        <v/>
      </c>
      <c r="N246" s="200" t="str">
        <f>IFERROR(_xlfn.XLOOKUP($A246,Input_Raw!$A:$A,Input_Raw!$DG:$DG),"")</f>
        <v/>
      </c>
      <c r="O246" s="230" t="str">
        <f>IFERROR(1-(SUMIF(Plant_BD!$B:$B,$A246,Plant_BD!$AL:$AL)/($AA246+SUMIF(Plant_BD!$B:$B,$A246,Plant_BD!$AL:$AL))),"")</f>
        <v/>
      </c>
      <c r="P246" s="230"/>
      <c r="Q246" s="231" t="str">
        <f>IFERROR(1-(SUMIF(Grid_BD!$B:$B,$A246,Grid_BD!$V:$V)/($AA246+SUMIF(Grid_BD!$B:$B,$A246,Grid_BD!$V:$V))),"")</f>
        <v/>
      </c>
      <c r="R246" s="230" t="str">
        <f>IFERROR(1-(SUMIF(Grid_BD!$B:$B,$A246,Grid_BD!$V:$V)/($AA246+SUMIF(Grid_BD!$B:$B,$A246,Grid_BD!$V:$V))),"")</f>
        <v/>
      </c>
      <c r="S246" s="9"/>
      <c r="T246" s="231"/>
      <c r="U246" s="232" t="str">
        <f t="shared" si="21"/>
        <v/>
      </c>
      <c r="V246" s="232" t="str">
        <f>IFERROR(_xlfn.XLOOKUP($A246,Input_Raw!$A:$A,Input_Raw!$FG:$FG),"")</f>
        <v/>
      </c>
      <c r="W246" s="233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85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33">
        <f>IFERROR(_xlfn.XLOOKUP($D246,'Modelling New'!$D:$D,'Modelling New'!O:O),"")</f>
        <v>0.85168295119970561</v>
      </c>
      <c r="AF246" s="233">
        <f>IFERROR(_xlfn.XLOOKUP($D246,'Modelling New'!$D:$D,'Modelling New'!W:W),"")</f>
        <v>0.19813457545270932</v>
      </c>
      <c r="AG246" s="233">
        <f>IFERROR(_xlfn.XLOOKUP($D246,'Modelling New'!$D:$D,'Modelling New'!AE:AE),"")</f>
        <v>0.995</v>
      </c>
      <c r="AH246" s="233">
        <f>IFERROR(_xlfn.XLOOKUP($D246,'Modelling New'!$D:$D,'Modelling New'!AF:AF),"")</f>
        <v>0.995</v>
      </c>
      <c r="AI246" s="9"/>
      <c r="AJ246" s="9"/>
      <c r="AK246" s="256"/>
      <c r="AL246" s="256"/>
      <c r="AM246" s="256"/>
      <c r="AN246" s="230"/>
      <c r="AO246" s="233"/>
      <c r="AP246" s="233"/>
      <c r="AQ246" s="233"/>
      <c r="AR246" s="234">
        <f>_xlfn.XLOOKUP(D246,'Modelling New'!$D:$D,'Modelling New'!$N:$N)</f>
        <v>130</v>
      </c>
      <c r="AS246" s="234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29">
        <f>Table13[[#This Row],[Date]]-DAY(Table13[[#This Row],[Date]])+1</f>
        <v>45962</v>
      </c>
      <c r="E247" s="9">
        <f t="shared" si="20"/>
        <v>30</v>
      </c>
      <c r="F247" s="199" t="str">
        <f>IFERROR(_xlfn.XLOOKUP($A247,Input_Raw!$A:$A,Input_Raw!$FC:$FC),"")</f>
        <v/>
      </c>
      <c r="G247" s="185" t="str">
        <f>IFERROR(_xlfn.XLOOKUP($A247,Input_Raw!$A:$A,Input_Raw!$CY:$CY),"")</f>
        <v/>
      </c>
      <c r="H247" s="185" t="str">
        <f>IFERROR(_xlfn.XLOOKUP($A247,Input_Raw!$A:$A,Input_Raw!$DA:$DA),"")</f>
        <v/>
      </c>
      <c r="I247" s="185" t="str">
        <f>IFERROR(_xlfn.XLOOKUP($A247,Input_Raw!$A:$A,Input_Raw!$CX:$CX),"")</f>
        <v/>
      </c>
      <c r="J247" s="185" t="str">
        <f>IFERROR(_xlfn.XLOOKUP($A247,Input_Raw!$A:$A,Input_Raw!$CZ:$CZ),"")</f>
        <v/>
      </c>
      <c r="K247" s="201" t="str">
        <f>IFERROR(_xlfn.XLOOKUP($A247,Input_Raw!$A:$A,Input_Raw!$DB:$DB),"")</f>
        <v/>
      </c>
      <c r="L247" s="201" t="str">
        <f>IFERROR(_xlfn.XLOOKUP($A247,Input_Raw!$A:$A,Input_Raw!$DC:$DC),"")</f>
        <v/>
      </c>
      <c r="M247" s="200" t="str">
        <f>IFERROR(_xlfn.XLOOKUP($A247,Input_Raw!$A:$A,Input_Raw!$DF:$DF),"")</f>
        <v/>
      </c>
      <c r="N247" s="200" t="str">
        <f>IFERROR(_xlfn.XLOOKUP($A247,Input_Raw!$A:$A,Input_Raw!$DG:$DG),"")</f>
        <v/>
      </c>
      <c r="O247" s="230" t="str">
        <f>IFERROR(1-(SUMIF(Plant_BD!$B:$B,$A247,Plant_BD!$AL:$AL)/($AA247+SUMIF(Plant_BD!$B:$B,$A247,Plant_BD!$AL:$AL))),"")</f>
        <v/>
      </c>
      <c r="P247" s="230"/>
      <c r="Q247" s="231" t="str">
        <f>IFERROR(1-(SUMIF(Grid_BD!$B:$B,$A247,Grid_BD!$V:$V)/($AA247+SUMIF(Grid_BD!$B:$B,$A247,Grid_BD!$V:$V))),"")</f>
        <v/>
      </c>
      <c r="R247" s="230" t="str">
        <f>IFERROR(1-(SUMIF(Grid_BD!$B:$B,$A247,Grid_BD!$V:$V)/($AA247+SUMIF(Grid_BD!$B:$B,$A247,Grid_BD!$V:$V))),"")</f>
        <v/>
      </c>
      <c r="S247" s="9"/>
      <c r="T247" s="231"/>
      <c r="U247" s="232" t="str">
        <f t="shared" si="21"/>
        <v/>
      </c>
      <c r="V247" s="232" t="str">
        <f>IFERROR(_xlfn.XLOOKUP($A247,Input_Raw!$A:$A,Input_Raw!$FG:$FG),"")</f>
        <v/>
      </c>
      <c r="W247" s="233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85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33">
        <f>IFERROR(_xlfn.XLOOKUP($D247,'Modelling New'!$D:$D,'Modelling New'!O:O),"")</f>
        <v>0.85168295119970561</v>
      </c>
      <c r="AF247" s="233">
        <f>IFERROR(_xlfn.XLOOKUP($D247,'Modelling New'!$D:$D,'Modelling New'!W:W),"")</f>
        <v>0.19813457545270932</v>
      </c>
      <c r="AG247" s="233">
        <f>IFERROR(_xlfn.XLOOKUP($D247,'Modelling New'!$D:$D,'Modelling New'!AE:AE),"")</f>
        <v>0.995</v>
      </c>
      <c r="AH247" s="233">
        <f>IFERROR(_xlfn.XLOOKUP($D247,'Modelling New'!$D:$D,'Modelling New'!AF:AF),"")</f>
        <v>0.995</v>
      </c>
      <c r="AI247" s="9"/>
      <c r="AJ247" s="9"/>
      <c r="AK247" s="256"/>
      <c r="AL247" s="256"/>
      <c r="AM247" s="256"/>
      <c r="AN247" s="230"/>
      <c r="AO247" s="233"/>
      <c r="AP247" s="233"/>
      <c r="AQ247" s="233"/>
      <c r="AR247" s="234">
        <f>_xlfn.XLOOKUP(D247,'Modelling New'!$D:$D,'Modelling New'!$N:$N)</f>
        <v>130</v>
      </c>
      <c r="AS247" s="234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29">
        <f>Table13[[#This Row],[Date]]-DAY(Table13[[#This Row],[Date]])+1</f>
        <v>45962</v>
      </c>
      <c r="E248" s="9">
        <f t="shared" si="20"/>
        <v>30</v>
      </c>
      <c r="F248" s="199" t="str">
        <f>IFERROR(_xlfn.XLOOKUP($A248,Input_Raw!$A:$A,Input_Raw!$FC:$FC),"")</f>
        <v/>
      </c>
      <c r="G248" s="200" t="str">
        <f>IFERROR(_xlfn.XLOOKUP($A248,Input_Raw!$A:$A,Input_Raw!$CY:$CY),"")</f>
        <v/>
      </c>
      <c r="H248" s="200" t="str">
        <f>IFERROR(_xlfn.XLOOKUP($A248,Input_Raw!$A:$A,Input_Raw!$DA:$DA),"")</f>
        <v/>
      </c>
      <c r="I248" s="200" t="str">
        <f>IFERROR(_xlfn.XLOOKUP($A248,Input_Raw!$A:$A,Input_Raw!$CX:$CX),"")</f>
        <v/>
      </c>
      <c r="J248" s="200" t="str">
        <f>IFERROR(_xlfn.XLOOKUP($A248,Input_Raw!$A:$A,Input_Raw!$CZ:$CZ),"")</f>
        <v/>
      </c>
      <c r="K248" s="201" t="str">
        <f>IFERROR(_xlfn.XLOOKUP($A248,Input_Raw!$A:$A,Input_Raw!$DB:$DB),"")</f>
        <v/>
      </c>
      <c r="L248" s="201" t="str">
        <f>IFERROR(_xlfn.XLOOKUP($A248,Input_Raw!$A:$A,Input_Raw!$DC:$DC),"")</f>
        <v/>
      </c>
      <c r="M248" s="200" t="str">
        <f>IFERROR(_xlfn.XLOOKUP($A248,Input_Raw!$A:$A,Input_Raw!$DF:$DF),"")</f>
        <v/>
      </c>
      <c r="N248" s="200" t="str">
        <f>IFERROR(_xlfn.XLOOKUP($A248,Input_Raw!$A:$A,Input_Raw!$DG:$DG),"")</f>
        <v/>
      </c>
      <c r="O248" s="230" t="str">
        <f>IFERROR(1-(SUMIF(Plant_BD!$B:$B,$A248,Plant_BD!$AL:$AL)/($AA248+SUMIF(Plant_BD!$B:$B,$A248,Plant_BD!$AL:$AL))),"")</f>
        <v/>
      </c>
      <c r="P248" s="230"/>
      <c r="Q248" s="231" t="str">
        <f>IFERROR(1-(SUMIF(Grid_BD!$B:$B,$A248,Grid_BD!$V:$V)/($AA248+SUMIF(Grid_BD!$B:$B,$A248,Grid_BD!$V:$V))),"")</f>
        <v/>
      </c>
      <c r="R248" s="230" t="str">
        <f>IFERROR(1-(SUMIF(Grid_BD!$B:$B,$A248,Grid_BD!$V:$V)/($AA248+SUMIF(Grid_BD!$B:$B,$A248,Grid_BD!$V:$V))),"")</f>
        <v/>
      </c>
      <c r="S248" s="9"/>
      <c r="T248" s="231"/>
      <c r="U248" s="232" t="str">
        <f t="shared" si="21"/>
        <v/>
      </c>
      <c r="V248" s="232" t="str">
        <f>IFERROR(_xlfn.XLOOKUP($A248,Input_Raw!$A:$A,Input_Raw!$FG:$FG),"")</f>
        <v/>
      </c>
      <c r="W248" s="233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85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33">
        <f>IFERROR(_xlfn.XLOOKUP($D248,'Modelling New'!$D:$D,'Modelling New'!O:O),"")</f>
        <v>0.85168295119970561</v>
      </c>
      <c r="AF248" s="233">
        <f>IFERROR(_xlfn.XLOOKUP($D248,'Modelling New'!$D:$D,'Modelling New'!W:W),"")</f>
        <v>0.19813457545270932</v>
      </c>
      <c r="AG248" s="233">
        <f>IFERROR(_xlfn.XLOOKUP($D248,'Modelling New'!$D:$D,'Modelling New'!AE:AE),"")</f>
        <v>0.995</v>
      </c>
      <c r="AH248" s="233">
        <f>IFERROR(_xlfn.XLOOKUP($D248,'Modelling New'!$D:$D,'Modelling New'!AF:AF),"")</f>
        <v>0.995</v>
      </c>
      <c r="AI248" s="9"/>
      <c r="AJ248" s="9"/>
      <c r="AK248" s="256"/>
      <c r="AL248" s="256"/>
      <c r="AM248" s="256"/>
      <c r="AN248" s="230"/>
      <c r="AO248" s="233"/>
      <c r="AP248" s="233"/>
      <c r="AQ248" s="233"/>
      <c r="AR248" s="234">
        <f>_xlfn.XLOOKUP(D248,'Modelling New'!$D:$D,'Modelling New'!$N:$N)</f>
        <v>130</v>
      </c>
      <c r="AS248" s="234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29">
        <f>Table13[[#This Row],[Date]]-DAY(Table13[[#This Row],[Date]])+1</f>
        <v>45992</v>
      </c>
      <c r="E249" s="9">
        <f t="shared" si="20"/>
        <v>31</v>
      </c>
      <c r="F249" s="199" t="str">
        <f>IFERROR(_xlfn.XLOOKUP($A249,Input_Raw!$A:$A,Input_Raw!$FC:$FC),"")</f>
        <v/>
      </c>
      <c r="G249" s="185" t="str">
        <f>IFERROR(_xlfn.XLOOKUP($A249,Input_Raw!$A:$A,Input_Raw!$CY:$CY),"")</f>
        <v/>
      </c>
      <c r="H249" s="185" t="str">
        <f>IFERROR(_xlfn.XLOOKUP($A249,Input_Raw!$A:$A,Input_Raw!$DA:$DA),"")</f>
        <v/>
      </c>
      <c r="I249" s="185" t="str">
        <f>IFERROR(_xlfn.XLOOKUP($A249,Input_Raw!$A:$A,Input_Raw!$CX:$CX),"")</f>
        <v/>
      </c>
      <c r="J249" s="185" t="str">
        <f>IFERROR(_xlfn.XLOOKUP($A249,Input_Raw!$A:$A,Input_Raw!$CZ:$CZ),"")</f>
        <v/>
      </c>
      <c r="K249" s="201" t="str">
        <f>IFERROR(_xlfn.XLOOKUP($A249,Input_Raw!$A:$A,Input_Raw!$DB:$DB),"")</f>
        <v/>
      </c>
      <c r="L249" s="201" t="str">
        <f>IFERROR(_xlfn.XLOOKUP($A249,Input_Raw!$A:$A,Input_Raw!$DC:$DC),"")</f>
        <v/>
      </c>
      <c r="M249" s="200" t="str">
        <f>IFERROR(_xlfn.XLOOKUP($A249,Input_Raw!$A:$A,Input_Raw!$DF:$DF),"")</f>
        <v/>
      </c>
      <c r="N249" s="200" t="str">
        <f>IFERROR(_xlfn.XLOOKUP($A249,Input_Raw!$A:$A,Input_Raw!$DG:$DG),"")</f>
        <v/>
      </c>
      <c r="O249" s="230" t="str">
        <f>IFERROR(1-(SUMIF(Plant_BD!$B:$B,$A249,Plant_BD!$AL:$AL)/($AA249+SUMIF(Plant_BD!$B:$B,$A249,Plant_BD!$AL:$AL))),"")</f>
        <v/>
      </c>
      <c r="P249" s="230"/>
      <c r="Q249" s="231" t="str">
        <f>IFERROR(1-(SUMIF(Grid_BD!$B:$B,$A249,Grid_BD!$V:$V)/($AA249+SUMIF(Grid_BD!$B:$B,$A249,Grid_BD!$V:$V))),"")</f>
        <v/>
      </c>
      <c r="R249" s="230" t="str">
        <f>IFERROR(1-(SUMIF(Grid_BD!$B:$B,$A249,Grid_BD!$V:$V)/($AA249+SUMIF(Grid_BD!$B:$B,$A249,Grid_BD!$V:$V))),"")</f>
        <v/>
      </c>
      <c r="S249" s="9"/>
      <c r="T249" s="231"/>
      <c r="U249" s="232" t="str">
        <f t="shared" si="21"/>
        <v/>
      </c>
      <c r="V249" s="232" t="str">
        <f>IFERROR(_xlfn.XLOOKUP($A249,Input_Raw!$A:$A,Input_Raw!$FG:$FG),"")</f>
        <v/>
      </c>
      <c r="W249" s="233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85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33">
        <f>IFERROR(_xlfn.XLOOKUP($D249,'Modelling New'!$D:$D,'Modelling New'!O:O),"")</f>
        <v>0.85944279883329133</v>
      </c>
      <c r="AF249" s="233">
        <f>IFERROR(_xlfn.XLOOKUP($D249,'Modelling New'!$D:$D,'Modelling New'!W:W),"")</f>
        <v>0.19083326662266092</v>
      </c>
      <c r="AG249" s="233">
        <f>IFERROR(_xlfn.XLOOKUP($D249,'Modelling New'!$D:$D,'Modelling New'!AE:AE),"")</f>
        <v>0.995</v>
      </c>
      <c r="AH249" s="233">
        <f>IFERROR(_xlfn.XLOOKUP($D249,'Modelling New'!$D:$D,'Modelling New'!AF:AF),"")</f>
        <v>0.995</v>
      </c>
      <c r="AI249" s="9"/>
      <c r="AJ249" s="9"/>
      <c r="AK249" s="256"/>
      <c r="AL249" s="256"/>
      <c r="AM249" s="256"/>
      <c r="AN249" s="230"/>
      <c r="AO249" s="233"/>
      <c r="AP249" s="233"/>
      <c r="AQ249" s="233"/>
      <c r="AR249" s="234">
        <f>_xlfn.XLOOKUP(D249,'Modelling New'!$D:$D,'Modelling New'!$N:$N)</f>
        <v>130</v>
      </c>
      <c r="AS249" s="234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29">
        <f>Table13[[#This Row],[Date]]-DAY(Table13[[#This Row],[Date]])+1</f>
        <v>45992</v>
      </c>
      <c r="E250" s="9">
        <f t="shared" si="20"/>
        <v>31</v>
      </c>
      <c r="F250" s="199" t="str">
        <f>IFERROR(_xlfn.XLOOKUP($A250,Input_Raw!$A:$A,Input_Raw!$FC:$FC),"")</f>
        <v/>
      </c>
      <c r="G250" s="200" t="str">
        <f>IFERROR(_xlfn.XLOOKUP($A250,Input_Raw!$A:$A,Input_Raw!$CY:$CY),"")</f>
        <v/>
      </c>
      <c r="H250" s="200" t="str">
        <f>IFERROR(_xlfn.XLOOKUP($A250,Input_Raw!$A:$A,Input_Raw!$DA:$DA),"")</f>
        <v/>
      </c>
      <c r="I250" s="200" t="str">
        <f>IFERROR(_xlfn.XLOOKUP($A250,Input_Raw!$A:$A,Input_Raw!$CX:$CX),"")</f>
        <v/>
      </c>
      <c r="J250" s="200" t="str">
        <f>IFERROR(_xlfn.XLOOKUP($A250,Input_Raw!$A:$A,Input_Raw!$CZ:$CZ),"")</f>
        <v/>
      </c>
      <c r="K250" s="201" t="str">
        <f>IFERROR(_xlfn.XLOOKUP($A250,Input_Raw!$A:$A,Input_Raw!$DB:$DB),"")</f>
        <v/>
      </c>
      <c r="L250" s="201" t="str">
        <f>IFERROR(_xlfn.XLOOKUP($A250,Input_Raw!$A:$A,Input_Raw!$DC:$DC),"")</f>
        <v/>
      </c>
      <c r="M250" s="200" t="str">
        <f>IFERROR(_xlfn.XLOOKUP($A250,Input_Raw!$A:$A,Input_Raw!$DF:$DF),"")</f>
        <v/>
      </c>
      <c r="N250" s="200" t="str">
        <f>IFERROR(_xlfn.XLOOKUP($A250,Input_Raw!$A:$A,Input_Raw!$DG:$DG),"")</f>
        <v/>
      </c>
      <c r="O250" s="230" t="str">
        <f>IFERROR(1-(SUMIF(Plant_BD!$B:$B,$A250,Plant_BD!$AL:$AL)/($AA250+SUMIF(Plant_BD!$B:$B,$A250,Plant_BD!$AL:$AL))),"")</f>
        <v/>
      </c>
      <c r="P250" s="230"/>
      <c r="Q250" s="231" t="str">
        <f>IFERROR(1-(SUMIF(Grid_BD!$B:$B,$A250,Grid_BD!$V:$V)/($AA250+SUMIF(Grid_BD!$B:$B,$A250,Grid_BD!$V:$V))),"")</f>
        <v/>
      </c>
      <c r="R250" s="230" t="str">
        <f>IFERROR(1-(SUMIF(Grid_BD!$B:$B,$A250,Grid_BD!$V:$V)/($AA250+SUMIF(Grid_BD!$B:$B,$A250,Grid_BD!$V:$V))),"")</f>
        <v/>
      </c>
      <c r="S250" s="9"/>
      <c r="T250" s="231"/>
      <c r="U250" s="232" t="str">
        <f t="shared" si="21"/>
        <v/>
      </c>
      <c r="V250" s="232" t="str">
        <f>IFERROR(_xlfn.XLOOKUP($A250,Input_Raw!$A:$A,Input_Raw!$FG:$FG),"")</f>
        <v/>
      </c>
      <c r="W250" s="233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85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33">
        <f>IFERROR(_xlfn.XLOOKUP($D250,'Modelling New'!$D:$D,'Modelling New'!O:O),"")</f>
        <v>0.85944279883329133</v>
      </c>
      <c r="AF250" s="233">
        <f>IFERROR(_xlfn.XLOOKUP($D250,'Modelling New'!$D:$D,'Modelling New'!W:W),"")</f>
        <v>0.19083326662266092</v>
      </c>
      <c r="AG250" s="233">
        <f>IFERROR(_xlfn.XLOOKUP($D250,'Modelling New'!$D:$D,'Modelling New'!AE:AE),"")</f>
        <v>0.995</v>
      </c>
      <c r="AH250" s="233">
        <f>IFERROR(_xlfn.XLOOKUP($D250,'Modelling New'!$D:$D,'Modelling New'!AF:AF),"")</f>
        <v>0.995</v>
      </c>
      <c r="AI250" s="9"/>
      <c r="AJ250" s="9"/>
      <c r="AK250" s="256"/>
      <c r="AL250" s="256"/>
      <c r="AM250" s="256"/>
      <c r="AN250" s="230"/>
      <c r="AO250" s="233"/>
      <c r="AP250" s="233"/>
      <c r="AQ250" s="233"/>
      <c r="AR250" s="234">
        <f>_xlfn.XLOOKUP(D250,'Modelling New'!$D:$D,'Modelling New'!$N:$N)</f>
        <v>130</v>
      </c>
      <c r="AS250" s="234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29">
        <f>Table13[[#This Row],[Date]]-DAY(Table13[[#This Row],[Date]])+1</f>
        <v>45992</v>
      </c>
      <c r="E251" s="9">
        <f t="shared" si="20"/>
        <v>31</v>
      </c>
      <c r="F251" s="199" t="str">
        <f>IFERROR(_xlfn.XLOOKUP($A251,Input_Raw!$A:$A,Input_Raw!$FC:$FC),"")</f>
        <v/>
      </c>
      <c r="G251" s="185" t="str">
        <f>IFERROR(_xlfn.XLOOKUP($A251,Input_Raw!$A:$A,Input_Raw!$CY:$CY),"")</f>
        <v/>
      </c>
      <c r="H251" s="185" t="str">
        <f>IFERROR(_xlfn.XLOOKUP($A251,Input_Raw!$A:$A,Input_Raw!$DA:$DA),"")</f>
        <v/>
      </c>
      <c r="I251" s="185" t="str">
        <f>IFERROR(_xlfn.XLOOKUP($A251,Input_Raw!$A:$A,Input_Raw!$CX:$CX),"")</f>
        <v/>
      </c>
      <c r="J251" s="185" t="str">
        <f>IFERROR(_xlfn.XLOOKUP($A251,Input_Raw!$A:$A,Input_Raw!$CZ:$CZ),"")</f>
        <v/>
      </c>
      <c r="K251" s="201" t="str">
        <f>IFERROR(_xlfn.XLOOKUP($A251,Input_Raw!$A:$A,Input_Raw!$DB:$DB),"")</f>
        <v/>
      </c>
      <c r="L251" s="201" t="str">
        <f>IFERROR(_xlfn.XLOOKUP($A251,Input_Raw!$A:$A,Input_Raw!$DC:$DC),"")</f>
        <v/>
      </c>
      <c r="M251" s="200" t="str">
        <f>IFERROR(_xlfn.XLOOKUP($A251,Input_Raw!$A:$A,Input_Raw!$DF:$DF),"")</f>
        <v/>
      </c>
      <c r="N251" s="200" t="str">
        <f>IFERROR(_xlfn.XLOOKUP($A251,Input_Raw!$A:$A,Input_Raw!$DG:$DG),"")</f>
        <v/>
      </c>
      <c r="O251" s="230" t="str">
        <f>IFERROR(1-(SUMIF(Plant_BD!$B:$B,$A251,Plant_BD!$AL:$AL)/($AA251+SUMIF(Plant_BD!$B:$B,$A251,Plant_BD!$AL:$AL))),"")</f>
        <v/>
      </c>
      <c r="P251" s="230"/>
      <c r="Q251" s="231" t="str">
        <f>IFERROR(1-(SUMIF(Grid_BD!$B:$B,$A251,Grid_BD!$V:$V)/($AA251+SUMIF(Grid_BD!$B:$B,$A251,Grid_BD!$V:$V))),"")</f>
        <v/>
      </c>
      <c r="R251" s="230" t="str">
        <f>IFERROR(1-(SUMIF(Grid_BD!$B:$B,$A251,Grid_BD!$V:$V)/($AA251+SUMIF(Grid_BD!$B:$B,$A251,Grid_BD!$V:$V))),"")</f>
        <v/>
      </c>
      <c r="S251" s="9"/>
      <c r="T251" s="231"/>
      <c r="U251" s="232" t="str">
        <f t="shared" si="21"/>
        <v/>
      </c>
      <c r="V251" s="232" t="str">
        <f>IFERROR(_xlfn.XLOOKUP($A251,Input_Raw!$A:$A,Input_Raw!$FG:$FG),"")</f>
        <v/>
      </c>
      <c r="W251" s="233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85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33">
        <f>IFERROR(_xlfn.XLOOKUP($D251,'Modelling New'!$D:$D,'Modelling New'!O:O),"")</f>
        <v>0.85944279883329133</v>
      </c>
      <c r="AF251" s="233">
        <f>IFERROR(_xlfn.XLOOKUP($D251,'Modelling New'!$D:$D,'Modelling New'!W:W),"")</f>
        <v>0.19083326662266092</v>
      </c>
      <c r="AG251" s="233">
        <f>IFERROR(_xlfn.XLOOKUP($D251,'Modelling New'!$D:$D,'Modelling New'!AE:AE),"")</f>
        <v>0.995</v>
      </c>
      <c r="AH251" s="233">
        <f>IFERROR(_xlfn.XLOOKUP($D251,'Modelling New'!$D:$D,'Modelling New'!AF:AF),"")</f>
        <v>0.995</v>
      </c>
      <c r="AI251" s="9"/>
      <c r="AJ251" s="9"/>
      <c r="AK251" s="256"/>
      <c r="AL251" s="256"/>
      <c r="AM251" s="256"/>
      <c r="AN251" s="230"/>
      <c r="AO251" s="233"/>
      <c r="AP251" s="233"/>
      <c r="AQ251" s="233"/>
      <c r="AR251" s="234">
        <f>_xlfn.XLOOKUP(D251,'Modelling New'!$D:$D,'Modelling New'!$N:$N)</f>
        <v>130</v>
      </c>
      <c r="AS251" s="234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29">
        <f>Table13[[#This Row],[Date]]-DAY(Table13[[#This Row],[Date]])+1</f>
        <v>45992</v>
      </c>
      <c r="E252" s="9">
        <f t="shared" si="20"/>
        <v>31</v>
      </c>
      <c r="F252" s="199" t="str">
        <f>IFERROR(_xlfn.XLOOKUP($A252,Input_Raw!$A:$A,Input_Raw!$FC:$FC),"")</f>
        <v/>
      </c>
      <c r="G252" s="200" t="str">
        <f>IFERROR(_xlfn.XLOOKUP($A252,Input_Raw!$A:$A,Input_Raw!$CY:$CY),"")</f>
        <v/>
      </c>
      <c r="H252" s="200" t="str">
        <f>IFERROR(_xlfn.XLOOKUP($A252,Input_Raw!$A:$A,Input_Raw!$DA:$DA),"")</f>
        <v/>
      </c>
      <c r="I252" s="200" t="str">
        <f>IFERROR(_xlfn.XLOOKUP($A252,Input_Raw!$A:$A,Input_Raw!$CX:$CX),"")</f>
        <v/>
      </c>
      <c r="J252" s="200" t="str">
        <f>IFERROR(_xlfn.XLOOKUP($A252,Input_Raw!$A:$A,Input_Raw!$CZ:$CZ),"")</f>
        <v/>
      </c>
      <c r="K252" s="201" t="str">
        <f>IFERROR(_xlfn.XLOOKUP($A252,Input_Raw!$A:$A,Input_Raw!$DB:$DB),"")</f>
        <v/>
      </c>
      <c r="L252" s="201" t="str">
        <f>IFERROR(_xlfn.XLOOKUP($A252,Input_Raw!$A:$A,Input_Raw!$DC:$DC),"")</f>
        <v/>
      </c>
      <c r="M252" s="200" t="str">
        <f>IFERROR(_xlfn.XLOOKUP($A252,Input_Raw!$A:$A,Input_Raw!$DF:$DF),"")</f>
        <v/>
      </c>
      <c r="N252" s="200" t="str">
        <f>IFERROR(_xlfn.XLOOKUP($A252,Input_Raw!$A:$A,Input_Raw!$DG:$DG),"")</f>
        <v/>
      </c>
      <c r="O252" s="230" t="str">
        <f>IFERROR(1-(SUMIF(Plant_BD!$B:$B,$A252,Plant_BD!$AL:$AL)/($AA252+SUMIF(Plant_BD!$B:$B,$A252,Plant_BD!$AL:$AL))),"")</f>
        <v/>
      </c>
      <c r="P252" s="230"/>
      <c r="Q252" s="231" t="str">
        <f>IFERROR(1-(SUMIF(Grid_BD!$B:$B,$A252,Grid_BD!$V:$V)/($AA252+SUMIF(Grid_BD!$B:$B,$A252,Grid_BD!$V:$V))),"")</f>
        <v/>
      </c>
      <c r="R252" s="230" t="str">
        <f>IFERROR(1-(SUMIF(Grid_BD!$B:$B,$A252,Grid_BD!$V:$V)/($AA252+SUMIF(Grid_BD!$B:$B,$A252,Grid_BD!$V:$V))),"")</f>
        <v/>
      </c>
      <c r="S252" s="9"/>
      <c r="T252" s="231"/>
      <c r="U252" s="232" t="str">
        <f t="shared" si="21"/>
        <v/>
      </c>
      <c r="V252" s="232" t="str">
        <f>IFERROR(_xlfn.XLOOKUP($A252,Input_Raw!$A:$A,Input_Raw!$FG:$FG),"")</f>
        <v/>
      </c>
      <c r="W252" s="233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85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33">
        <f>IFERROR(_xlfn.XLOOKUP($D252,'Modelling New'!$D:$D,'Modelling New'!O:O),"")</f>
        <v>0.85944279883329133</v>
      </c>
      <c r="AF252" s="233">
        <f>IFERROR(_xlfn.XLOOKUP($D252,'Modelling New'!$D:$D,'Modelling New'!W:W),"")</f>
        <v>0.19083326662266092</v>
      </c>
      <c r="AG252" s="233">
        <f>IFERROR(_xlfn.XLOOKUP($D252,'Modelling New'!$D:$D,'Modelling New'!AE:AE),"")</f>
        <v>0.995</v>
      </c>
      <c r="AH252" s="233">
        <f>IFERROR(_xlfn.XLOOKUP($D252,'Modelling New'!$D:$D,'Modelling New'!AF:AF),"")</f>
        <v>0.995</v>
      </c>
      <c r="AI252" s="9"/>
      <c r="AJ252" s="9"/>
      <c r="AK252" s="256"/>
      <c r="AL252" s="256"/>
      <c r="AM252" s="256"/>
      <c r="AN252" s="230"/>
      <c r="AO252" s="233"/>
      <c r="AP252" s="233"/>
      <c r="AQ252" s="233"/>
      <c r="AR252" s="234">
        <f>_xlfn.XLOOKUP(D252,'Modelling New'!$D:$D,'Modelling New'!$N:$N)</f>
        <v>130</v>
      </c>
      <c r="AS252" s="234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29">
        <f>Table13[[#This Row],[Date]]-DAY(Table13[[#This Row],[Date]])+1</f>
        <v>45992</v>
      </c>
      <c r="E253" s="9">
        <f t="shared" si="20"/>
        <v>31</v>
      </c>
      <c r="F253" s="199" t="str">
        <f>IFERROR(_xlfn.XLOOKUP($A253,Input_Raw!$A:$A,Input_Raw!$FC:$FC),"")</f>
        <v/>
      </c>
      <c r="G253" s="185" t="str">
        <f>IFERROR(_xlfn.XLOOKUP($A253,Input_Raw!$A:$A,Input_Raw!$CY:$CY),"")</f>
        <v/>
      </c>
      <c r="H253" s="185" t="str">
        <f>IFERROR(_xlfn.XLOOKUP($A253,Input_Raw!$A:$A,Input_Raw!$DA:$DA),"")</f>
        <v/>
      </c>
      <c r="I253" s="185" t="str">
        <f>IFERROR(_xlfn.XLOOKUP($A253,Input_Raw!$A:$A,Input_Raw!$CX:$CX),"")</f>
        <v/>
      </c>
      <c r="J253" s="185" t="str">
        <f>IFERROR(_xlfn.XLOOKUP($A253,Input_Raw!$A:$A,Input_Raw!$CZ:$CZ),"")</f>
        <v/>
      </c>
      <c r="K253" s="201" t="str">
        <f>IFERROR(_xlfn.XLOOKUP($A253,Input_Raw!$A:$A,Input_Raw!$DB:$DB),"")</f>
        <v/>
      </c>
      <c r="L253" s="201" t="str">
        <f>IFERROR(_xlfn.XLOOKUP($A253,Input_Raw!$A:$A,Input_Raw!$DC:$DC),"")</f>
        <v/>
      </c>
      <c r="M253" s="200" t="str">
        <f>IFERROR(_xlfn.XLOOKUP($A253,Input_Raw!$A:$A,Input_Raw!$DF:$DF),"")</f>
        <v/>
      </c>
      <c r="N253" s="200" t="str">
        <f>IFERROR(_xlfn.XLOOKUP($A253,Input_Raw!$A:$A,Input_Raw!$DG:$DG),"")</f>
        <v/>
      </c>
      <c r="O253" s="230" t="str">
        <f>IFERROR(1-(SUMIF(Plant_BD!$B:$B,$A253,Plant_BD!$AL:$AL)/($AA253+SUMIF(Plant_BD!$B:$B,$A253,Plant_BD!$AL:$AL))),"")</f>
        <v/>
      </c>
      <c r="P253" s="230"/>
      <c r="Q253" s="231" t="str">
        <f>IFERROR(1-(SUMIF(Grid_BD!$B:$B,$A253,Grid_BD!$V:$V)/($AA253+SUMIF(Grid_BD!$B:$B,$A253,Grid_BD!$V:$V))),"")</f>
        <v/>
      </c>
      <c r="R253" s="230" t="str">
        <f>IFERROR(1-(SUMIF(Grid_BD!$B:$B,$A253,Grid_BD!$V:$V)/($AA253+SUMIF(Grid_BD!$B:$B,$A253,Grid_BD!$V:$V))),"")</f>
        <v/>
      </c>
      <c r="S253" s="9"/>
      <c r="T253" s="231"/>
      <c r="U253" s="232" t="str">
        <f t="shared" si="21"/>
        <v/>
      </c>
      <c r="V253" s="232" t="str">
        <f>IFERROR(_xlfn.XLOOKUP($A253,Input_Raw!$A:$A,Input_Raw!$FG:$FG),"")</f>
        <v/>
      </c>
      <c r="W253" s="233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85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33">
        <f>IFERROR(_xlfn.XLOOKUP($D253,'Modelling New'!$D:$D,'Modelling New'!O:O),"")</f>
        <v>0.85944279883329133</v>
      </c>
      <c r="AF253" s="233">
        <f>IFERROR(_xlfn.XLOOKUP($D253,'Modelling New'!$D:$D,'Modelling New'!W:W),"")</f>
        <v>0.19083326662266092</v>
      </c>
      <c r="AG253" s="233">
        <f>IFERROR(_xlfn.XLOOKUP($D253,'Modelling New'!$D:$D,'Modelling New'!AE:AE),"")</f>
        <v>0.995</v>
      </c>
      <c r="AH253" s="233">
        <f>IFERROR(_xlfn.XLOOKUP($D253,'Modelling New'!$D:$D,'Modelling New'!AF:AF),"")</f>
        <v>0.995</v>
      </c>
      <c r="AI253" s="9"/>
      <c r="AJ253" s="9"/>
      <c r="AK253" s="256"/>
      <c r="AL253" s="256"/>
      <c r="AM253" s="256"/>
      <c r="AN253" s="230"/>
      <c r="AO253" s="233"/>
      <c r="AP253" s="233"/>
      <c r="AQ253" s="233"/>
      <c r="AR253" s="234">
        <f>_xlfn.XLOOKUP(D253,'Modelling New'!$D:$D,'Modelling New'!$N:$N)</f>
        <v>130</v>
      </c>
      <c r="AS253" s="234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29">
        <f>Table13[[#This Row],[Date]]-DAY(Table13[[#This Row],[Date]])+1</f>
        <v>45992</v>
      </c>
      <c r="E254" s="9">
        <f t="shared" si="20"/>
        <v>31</v>
      </c>
      <c r="F254" s="199" t="str">
        <f>IFERROR(_xlfn.XLOOKUP($A254,Input_Raw!$A:$A,Input_Raw!$FC:$FC),"")</f>
        <v/>
      </c>
      <c r="G254" s="200" t="str">
        <f>IFERROR(_xlfn.XLOOKUP($A254,Input_Raw!$A:$A,Input_Raw!$CY:$CY),"")</f>
        <v/>
      </c>
      <c r="H254" s="200" t="str">
        <f>IFERROR(_xlfn.XLOOKUP($A254,Input_Raw!$A:$A,Input_Raw!$DA:$DA),"")</f>
        <v/>
      </c>
      <c r="I254" s="200" t="str">
        <f>IFERROR(_xlfn.XLOOKUP($A254,Input_Raw!$A:$A,Input_Raw!$CX:$CX),"")</f>
        <v/>
      </c>
      <c r="J254" s="200" t="str">
        <f>IFERROR(_xlfn.XLOOKUP($A254,Input_Raw!$A:$A,Input_Raw!$CZ:$CZ),"")</f>
        <v/>
      </c>
      <c r="K254" s="201" t="str">
        <f>IFERROR(_xlfn.XLOOKUP($A254,Input_Raw!$A:$A,Input_Raw!$DB:$DB),"")</f>
        <v/>
      </c>
      <c r="L254" s="201" t="str">
        <f>IFERROR(_xlfn.XLOOKUP($A254,Input_Raw!$A:$A,Input_Raw!$DC:$DC),"")</f>
        <v/>
      </c>
      <c r="M254" s="200" t="str">
        <f>IFERROR(_xlfn.XLOOKUP($A254,Input_Raw!$A:$A,Input_Raw!$DF:$DF),"")</f>
        <v/>
      </c>
      <c r="N254" s="200" t="str">
        <f>IFERROR(_xlfn.XLOOKUP($A254,Input_Raw!$A:$A,Input_Raw!$DG:$DG),"")</f>
        <v/>
      </c>
      <c r="O254" s="230" t="str">
        <f>IFERROR(1-(SUMIF(Plant_BD!$B:$B,$A254,Plant_BD!$AL:$AL)/($AA254+SUMIF(Plant_BD!$B:$B,$A254,Plant_BD!$AL:$AL))),"")</f>
        <v/>
      </c>
      <c r="P254" s="230"/>
      <c r="Q254" s="231" t="str">
        <f>IFERROR(1-(SUMIF(Grid_BD!$B:$B,$A254,Grid_BD!$V:$V)/($AA254+SUMIF(Grid_BD!$B:$B,$A254,Grid_BD!$V:$V))),"")</f>
        <v/>
      </c>
      <c r="R254" s="230" t="str">
        <f>IFERROR(1-(SUMIF(Grid_BD!$B:$B,$A254,Grid_BD!$V:$V)/($AA254+SUMIF(Grid_BD!$B:$B,$A254,Grid_BD!$V:$V))),"")</f>
        <v/>
      </c>
      <c r="S254" s="9"/>
      <c r="T254" s="231"/>
      <c r="U254" s="232" t="str">
        <f t="shared" si="21"/>
        <v/>
      </c>
      <c r="V254" s="232" t="str">
        <f>IFERROR(_xlfn.XLOOKUP($A254,Input_Raw!$A:$A,Input_Raw!$FG:$FG),"")</f>
        <v/>
      </c>
      <c r="W254" s="233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85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33">
        <f>IFERROR(_xlfn.XLOOKUP($D254,'Modelling New'!$D:$D,'Modelling New'!O:O),"")</f>
        <v>0.85944279883329133</v>
      </c>
      <c r="AF254" s="233">
        <f>IFERROR(_xlfn.XLOOKUP($D254,'Modelling New'!$D:$D,'Modelling New'!W:W),"")</f>
        <v>0.19083326662266092</v>
      </c>
      <c r="AG254" s="233">
        <f>IFERROR(_xlfn.XLOOKUP($D254,'Modelling New'!$D:$D,'Modelling New'!AE:AE),"")</f>
        <v>0.995</v>
      </c>
      <c r="AH254" s="233">
        <f>IFERROR(_xlfn.XLOOKUP($D254,'Modelling New'!$D:$D,'Modelling New'!AF:AF),"")</f>
        <v>0.995</v>
      </c>
      <c r="AI254" s="9"/>
      <c r="AJ254" s="9"/>
      <c r="AK254" s="256"/>
      <c r="AL254" s="256"/>
      <c r="AM254" s="256"/>
      <c r="AN254" s="230"/>
      <c r="AO254" s="233"/>
      <c r="AP254" s="233"/>
      <c r="AQ254" s="233"/>
      <c r="AR254" s="234">
        <f>_xlfn.XLOOKUP(D254,'Modelling New'!$D:$D,'Modelling New'!$N:$N)</f>
        <v>130</v>
      </c>
      <c r="AS254" s="234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29">
        <f>Table13[[#This Row],[Date]]-DAY(Table13[[#This Row],[Date]])+1</f>
        <v>45992</v>
      </c>
      <c r="E255" s="9">
        <f t="shared" si="20"/>
        <v>31</v>
      </c>
      <c r="F255" s="199" t="str">
        <f>IFERROR(_xlfn.XLOOKUP($A255,Input_Raw!$A:$A,Input_Raw!$FC:$FC),"")</f>
        <v/>
      </c>
      <c r="G255" s="185" t="str">
        <f>IFERROR(_xlfn.XLOOKUP($A255,Input_Raw!$A:$A,Input_Raw!$CY:$CY),"")</f>
        <v/>
      </c>
      <c r="H255" s="185" t="str">
        <f>IFERROR(_xlfn.XLOOKUP($A255,Input_Raw!$A:$A,Input_Raw!$DA:$DA),"")</f>
        <v/>
      </c>
      <c r="I255" s="185" t="str">
        <f>IFERROR(_xlfn.XLOOKUP($A255,Input_Raw!$A:$A,Input_Raw!$CX:$CX),"")</f>
        <v/>
      </c>
      <c r="J255" s="185" t="str">
        <f>IFERROR(_xlfn.XLOOKUP($A255,Input_Raw!$A:$A,Input_Raw!$CZ:$CZ),"")</f>
        <v/>
      </c>
      <c r="K255" s="201" t="str">
        <f>IFERROR(_xlfn.XLOOKUP($A255,Input_Raw!$A:$A,Input_Raw!$DB:$DB),"")</f>
        <v/>
      </c>
      <c r="L255" s="201" t="str">
        <f>IFERROR(_xlfn.XLOOKUP($A255,Input_Raw!$A:$A,Input_Raw!$DC:$DC),"")</f>
        <v/>
      </c>
      <c r="M255" s="200" t="str">
        <f>IFERROR(_xlfn.XLOOKUP($A255,Input_Raw!$A:$A,Input_Raw!$DF:$DF),"")</f>
        <v/>
      </c>
      <c r="N255" s="200" t="str">
        <f>IFERROR(_xlfn.XLOOKUP($A255,Input_Raw!$A:$A,Input_Raw!$DG:$DG),"")</f>
        <v/>
      </c>
      <c r="O255" s="230" t="str">
        <f>IFERROR(1-(SUMIF(Plant_BD!$B:$B,$A255,Plant_BD!$AL:$AL)/($AA255+SUMIF(Plant_BD!$B:$B,$A255,Plant_BD!$AL:$AL))),"")</f>
        <v/>
      </c>
      <c r="P255" s="230"/>
      <c r="Q255" s="231" t="str">
        <f>IFERROR(1-(SUMIF(Grid_BD!$B:$B,$A255,Grid_BD!$V:$V)/($AA255+SUMIF(Grid_BD!$B:$B,$A255,Grid_BD!$V:$V))),"")</f>
        <v/>
      </c>
      <c r="R255" s="230" t="str">
        <f>IFERROR(1-(SUMIF(Grid_BD!$B:$B,$A255,Grid_BD!$V:$V)/($AA255+SUMIF(Grid_BD!$B:$B,$A255,Grid_BD!$V:$V))),"")</f>
        <v/>
      </c>
      <c r="S255" s="9"/>
      <c r="T255" s="231"/>
      <c r="U255" s="232" t="str">
        <f t="shared" si="21"/>
        <v/>
      </c>
      <c r="V255" s="232" t="str">
        <f>IFERROR(_xlfn.XLOOKUP($A255,Input_Raw!$A:$A,Input_Raw!$FG:$FG),"")</f>
        <v/>
      </c>
      <c r="W255" s="233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85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33">
        <f>IFERROR(_xlfn.XLOOKUP($D255,'Modelling New'!$D:$D,'Modelling New'!O:O),"")</f>
        <v>0.85944279883329133</v>
      </c>
      <c r="AF255" s="233">
        <f>IFERROR(_xlfn.XLOOKUP($D255,'Modelling New'!$D:$D,'Modelling New'!W:W),"")</f>
        <v>0.19083326662266092</v>
      </c>
      <c r="AG255" s="233">
        <f>IFERROR(_xlfn.XLOOKUP($D255,'Modelling New'!$D:$D,'Modelling New'!AE:AE),"")</f>
        <v>0.995</v>
      </c>
      <c r="AH255" s="233">
        <f>IFERROR(_xlfn.XLOOKUP($D255,'Modelling New'!$D:$D,'Modelling New'!AF:AF),"")</f>
        <v>0.995</v>
      </c>
      <c r="AI255" s="9"/>
      <c r="AJ255" s="9"/>
      <c r="AK255" s="256"/>
      <c r="AL255" s="256"/>
      <c r="AM255" s="256"/>
      <c r="AN255" s="230"/>
      <c r="AO255" s="233"/>
      <c r="AP255" s="233"/>
      <c r="AQ255" s="233"/>
      <c r="AR255" s="234">
        <f>_xlfn.XLOOKUP(D255,'Modelling New'!$D:$D,'Modelling New'!$N:$N)</f>
        <v>130</v>
      </c>
      <c r="AS255" s="234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29">
        <f>Table13[[#This Row],[Date]]-DAY(Table13[[#This Row],[Date]])+1</f>
        <v>45992</v>
      </c>
      <c r="E256" s="9">
        <f t="shared" si="20"/>
        <v>31</v>
      </c>
      <c r="F256" s="199" t="str">
        <f>IFERROR(_xlfn.XLOOKUP($A256,Input_Raw!$A:$A,Input_Raw!$FC:$FC),"")</f>
        <v/>
      </c>
      <c r="G256" s="200" t="str">
        <f>IFERROR(_xlfn.XLOOKUP($A256,Input_Raw!$A:$A,Input_Raw!$CY:$CY),"")</f>
        <v/>
      </c>
      <c r="H256" s="200" t="str">
        <f>IFERROR(_xlfn.XLOOKUP($A256,Input_Raw!$A:$A,Input_Raw!$DA:$DA),"")</f>
        <v/>
      </c>
      <c r="I256" s="200" t="str">
        <f>IFERROR(_xlfn.XLOOKUP($A256,Input_Raw!$A:$A,Input_Raw!$CX:$CX),"")</f>
        <v/>
      </c>
      <c r="J256" s="200" t="str">
        <f>IFERROR(_xlfn.XLOOKUP($A256,Input_Raw!$A:$A,Input_Raw!$CZ:$CZ),"")</f>
        <v/>
      </c>
      <c r="K256" s="201" t="str">
        <f>IFERROR(_xlfn.XLOOKUP($A256,Input_Raw!$A:$A,Input_Raw!$DB:$DB),"")</f>
        <v/>
      </c>
      <c r="L256" s="201" t="str">
        <f>IFERROR(_xlfn.XLOOKUP($A256,Input_Raw!$A:$A,Input_Raw!$DC:$DC),"")</f>
        <v/>
      </c>
      <c r="M256" s="200" t="str">
        <f>IFERROR(_xlfn.XLOOKUP($A256,Input_Raw!$A:$A,Input_Raw!$DF:$DF),"")</f>
        <v/>
      </c>
      <c r="N256" s="200" t="str">
        <f>IFERROR(_xlfn.XLOOKUP($A256,Input_Raw!$A:$A,Input_Raw!$DG:$DG),"")</f>
        <v/>
      </c>
      <c r="O256" s="230" t="str">
        <f>IFERROR(1-(SUMIF(Plant_BD!$B:$B,$A256,Plant_BD!$AL:$AL)/($AA256+SUMIF(Plant_BD!$B:$B,$A256,Plant_BD!$AL:$AL))),"")</f>
        <v/>
      </c>
      <c r="P256" s="230"/>
      <c r="Q256" s="231" t="str">
        <f>IFERROR(1-(SUMIF(Grid_BD!$B:$B,$A256,Grid_BD!$V:$V)/($AA256+SUMIF(Grid_BD!$B:$B,$A256,Grid_BD!$V:$V))),"")</f>
        <v/>
      </c>
      <c r="R256" s="230" t="str">
        <f>IFERROR(1-(SUMIF(Grid_BD!$B:$B,$A256,Grid_BD!$V:$V)/($AA256+SUMIF(Grid_BD!$B:$B,$A256,Grid_BD!$V:$V))),"")</f>
        <v/>
      </c>
      <c r="S256" s="9"/>
      <c r="T256" s="231"/>
      <c r="U256" s="232" t="str">
        <f t="shared" si="21"/>
        <v/>
      </c>
      <c r="V256" s="232" t="str">
        <f>IFERROR(_xlfn.XLOOKUP($A256,Input_Raw!$A:$A,Input_Raw!$FG:$FG),"")</f>
        <v/>
      </c>
      <c r="W256" s="233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85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33">
        <f>IFERROR(_xlfn.XLOOKUP($D256,'Modelling New'!$D:$D,'Modelling New'!O:O),"")</f>
        <v>0.85944279883329133</v>
      </c>
      <c r="AF256" s="233">
        <f>IFERROR(_xlfn.XLOOKUP($D256,'Modelling New'!$D:$D,'Modelling New'!W:W),"")</f>
        <v>0.19083326662266092</v>
      </c>
      <c r="AG256" s="233">
        <f>IFERROR(_xlfn.XLOOKUP($D256,'Modelling New'!$D:$D,'Modelling New'!AE:AE),"")</f>
        <v>0.995</v>
      </c>
      <c r="AH256" s="233">
        <f>IFERROR(_xlfn.XLOOKUP($D256,'Modelling New'!$D:$D,'Modelling New'!AF:AF),"")</f>
        <v>0.995</v>
      </c>
      <c r="AI256" s="9"/>
      <c r="AJ256" s="9"/>
      <c r="AK256" s="256"/>
      <c r="AL256" s="256"/>
      <c r="AM256" s="256"/>
      <c r="AN256" s="230"/>
      <c r="AO256" s="233"/>
      <c r="AP256" s="233"/>
      <c r="AQ256" s="233"/>
      <c r="AR256" s="234">
        <f>_xlfn.XLOOKUP(D256,'Modelling New'!$D:$D,'Modelling New'!$N:$N)</f>
        <v>130</v>
      </c>
      <c r="AS256" s="234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29">
        <f>Table13[[#This Row],[Date]]-DAY(Table13[[#This Row],[Date]])+1</f>
        <v>45992</v>
      </c>
      <c r="E257" s="9">
        <f t="shared" si="20"/>
        <v>31</v>
      </c>
      <c r="F257" s="199" t="str">
        <f>IFERROR(_xlfn.XLOOKUP($A257,Input_Raw!$A:$A,Input_Raw!$FC:$FC),"")</f>
        <v/>
      </c>
      <c r="G257" s="185" t="str">
        <f>IFERROR(_xlfn.XLOOKUP($A257,Input_Raw!$A:$A,Input_Raw!$CY:$CY),"")</f>
        <v/>
      </c>
      <c r="H257" s="185" t="str">
        <f>IFERROR(_xlfn.XLOOKUP($A257,Input_Raw!$A:$A,Input_Raw!$DA:$DA),"")</f>
        <v/>
      </c>
      <c r="I257" s="185" t="str">
        <f>IFERROR(_xlfn.XLOOKUP($A257,Input_Raw!$A:$A,Input_Raw!$CX:$CX),"")</f>
        <v/>
      </c>
      <c r="J257" s="185" t="str">
        <f>IFERROR(_xlfn.XLOOKUP($A257,Input_Raw!$A:$A,Input_Raw!$CZ:$CZ),"")</f>
        <v/>
      </c>
      <c r="K257" s="201" t="str">
        <f>IFERROR(_xlfn.XLOOKUP($A257,Input_Raw!$A:$A,Input_Raw!$DB:$DB),"")</f>
        <v/>
      </c>
      <c r="L257" s="201" t="str">
        <f>IFERROR(_xlfn.XLOOKUP($A257,Input_Raw!$A:$A,Input_Raw!$DC:$DC),"")</f>
        <v/>
      </c>
      <c r="M257" s="200" t="str">
        <f>IFERROR(_xlfn.XLOOKUP($A257,Input_Raw!$A:$A,Input_Raw!$DF:$DF),"")</f>
        <v/>
      </c>
      <c r="N257" s="200" t="str">
        <f>IFERROR(_xlfn.XLOOKUP($A257,Input_Raw!$A:$A,Input_Raw!$DG:$DG),"")</f>
        <v/>
      </c>
      <c r="O257" s="230" t="str">
        <f>IFERROR(1-(SUMIF(Plant_BD!$B:$B,$A257,Plant_BD!$AL:$AL)/($AA257+SUMIF(Plant_BD!$B:$B,$A257,Plant_BD!$AL:$AL))),"")</f>
        <v/>
      </c>
      <c r="P257" s="230"/>
      <c r="Q257" s="231" t="str">
        <f>IFERROR(1-(SUMIF(Grid_BD!$B:$B,$A257,Grid_BD!$V:$V)/($AA257+SUMIF(Grid_BD!$B:$B,$A257,Grid_BD!$V:$V))),"")</f>
        <v/>
      </c>
      <c r="R257" s="230" t="str">
        <f>IFERROR(1-(SUMIF(Grid_BD!$B:$B,$A257,Grid_BD!$V:$V)/($AA257+SUMIF(Grid_BD!$B:$B,$A257,Grid_BD!$V:$V))),"")</f>
        <v/>
      </c>
      <c r="S257" s="9"/>
      <c r="T257" s="231"/>
      <c r="U257" s="232" t="str">
        <f t="shared" si="21"/>
        <v/>
      </c>
      <c r="V257" s="232" t="str">
        <f>IFERROR(_xlfn.XLOOKUP($A257,Input_Raw!$A:$A,Input_Raw!$FG:$FG),"")</f>
        <v/>
      </c>
      <c r="W257" s="233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85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33">
        <f>IFERROR(_xlfn.XLOOKUP($D257,'Modelling New'!$D:$D,'Modelling New'!O:O),"")</f>
        <v>0.85944279883329133</v>
      </c>
      <c r="AF257" s="233">
        <f>IFERROR(_xlfn.XLOOKUP($D257,'Modelling New'!$D:$D,'Modelling New'!W:W),"")</f>
        <v>0.19083326662266092</v>
      </c>
      <c r="AG257" s="233">
        <f>IFERROR(_xlfn.XLOOKUP($D257,'Modelling New'!$D:$D,'Modelling New'!AE:AE),"")</f>
        <v>0.995</v>
      </c>
      <c r="AH257" s="233">
        <f>IFERROR(_xlfn.XLOOKUP($D257,'Modelling New'!$D:$D,'Modelling New'!AF:AF),"")</f>
        <v>0.995</v>
      </c>
      <c r="AI257" s="9"/>
      <c r="AJ257" s="9"/>
      <c r="AK257" s="256"/>
      <c r="AL257" s="256"/>
      <c r="AM257" s="256"/>
      <c r="AN257" s="230"/>
      <c r="AO257" s="233"/>
      <c r="AP257" s="233"/>
      <c r="AQ257" s="233"/>
      <c r="AR257" s="234">
        <f>_xlfn.XLOOKUP(D257,'Modelling New'!$D:$D,'Modelling New'!$N:$N)</f>
        <v>130</v>
      </c>
      <c r="AS257" s="234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29">
        <f>Table13[[#This Row],[Date]]-DAY(Table13[[#This Row],[Date]])+1</f>
        <v>45992</v>
      </c>
      <c r="E258" s="9">
        <f t="shared" si="20"/>
        <v>31</v>
      </c>
      <c r="F258" s="199" t="str">
        <f>IFERROR(_xlfn.XLOOKUP($A258,Input_Raw!$A:$A,Input_Raw!$FC:$FC),"")</f>
        <v/>
      </c>
      <c r="G258" s="200" t="str">
        <f>IFERROR(_xlfn.XLOOKUP($A258,Input_Raw!$A:$A,Input_Raw!$CY:$CY),"")</f>
        <v/>
      </c>
      <c r="H258" s="200" t="str">
        <f>IFERROR(_xlfn.XLOOKUP($A258,Input_Raw!$A:$A,Input_Raw!$DA:$DA),"")</f>
        <v/>
      </c>
      <c r="I258" s="200" t="str">
        <f>IFERROR(_xlfn.XLOOKUP($A258,Input_Raw!$A:$A,Input_Raw!$CX:$CX),"")</f>
        <v/>
      </c>
      <c r="J258" s="200" t="str">
        <f>IFERROR(_xlfn.XLOOKUP($A258,Input_Raw!$A:$A,Input_Raw!$CZ:$CZ),"")</f>
        <v/>
      </c>
      <c r="K258" s="201" t="str">
        <f>IFERROR(_xlfn.XLOOKUP($A258,Input_Raw!$A:$A,Input_Raw!$DB:$DB),"")</f>
        <v/>
      </c>
      <c r="L258" s="201" t="str">
        <f>IFERROR(_xlfn.XLOOKUP($A258,Input_Raw!$A:$A,Input_Raw!$DC:$DC),"")</f>
        <v/>
      </c>
      <c r="M258" s="200" t="str">
        <f>IFERROR(_xlfn.XLOOKUP($A258,Input_Raw!$A:$A,Input_Raw!$DF:$DF),"")</f>
        <v/>
      </c>
      <c r="N258" s="200" t="str">
        <f>IFERROR(_xlfn.XLOOKUP($A258,Input_Raw!$A:$A,Input_Raw!$DG:$DG),"")</f>
        <v/>
      </c>
      <c r="O258" s="230" t="str">
        <f>IFERROR(1-(SUMIF(Plant_BD!$B:$B,$A258,Plant_BD!$AL:$AL)/($AA258+SUMIF(Plant_BD!$B:$B,$A258,Plant_BD!$AL:$AL))),"")</f>
        <v/>
      </c>
      <c r="P258" s="230"/>
      <c r="Q258" s="231" t="str">
        <f>IFERROR(1-(SUMIF(Grid_BD!$B:$B,$A258,Grid_BD!$V:$V)/($AA258+SUMIF(Grid_BD!$B:$B,$A258,Grid_BD!$V:$V))),"")</f>
        <v/>
      </c>
      <c r="R258" s="230" t="str">
        <f>IFERROR(1-(SUMIF(Grid_BD!$B:$B,$A258,Grid_BD!$V:$V)/($AA258+SUMIF(Grid_BD!$B:$B,$A258,Grid_BD!$V:$V))),"")</f>
        <v/>
      </c>
      <c r="S258" s="9"/>
      <c r="T258" s="231"/>
      <c r="U258" s="232" t="str">
        <f t="shared" si="21"/>
        <v/>
      </c>
      <c r="V258" s="232" t="str">
        <f>IFERROR(_xlfn.XLOOKUP($A258,Input_Raw!$A:$A,Input_Raw!$FG:$FG),"")</f>
        <v/>
      </c>
      <c r="W258" s="233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85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33">
        <f>IFERROR(_xlfn.XLOOKUP($D258,'Modelling New'!$D:$D,'Modelling New'!O:O),"")</f>
        <v>0.85944279883329133</v>
      </c>
      <c r="AF258" s="233">
        <f>IFERROR(_xlfn.XLOOKUP($D258,'Modelling New'!$D:$D,'Modelling New'!W:W),"")</f>
        <v>0.19083326662266092</v>
      </c>
      <c r="AG258" s="233">
        <f>IFERROR(_xlfn.XLOOKUP($D258,'Modelling New'!$D:$D,'Modelling New'!AE:AE),"")</f>
        <v>0.995</v>
      </c>
      <c r="AH258" s="233">
        <f>IFERROR(_xlfn.XLOOKUP($D258,'Modelling New'!$D:$D,'Modelling New'!AF:AF),"")</f>
        <v>0.995</v>
      </c>
      <c r="AI258" s="9"/>
      <c r="AJ258" s="9"/>
      <c r="AK258" s="256"/>
      <c r="AL258" s="256"/>
      <c r="AM258" s="256"/>
      <c r="AN258" s="230"/>
      <c r="AO258" s="233"/>
      <c r="AP258" s="233"/>
      <c r="AQ258" s="233"/>
      <c r="AR258" s="234">
        <f>_xlfn.XLOOKUP(D258,'Modelling New'!$D:$D,'Modelling New'!$N:$N)</f>
        <v>130</v>
      </c>
      <c r="AS258" s="234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29">
        <f>Table13[[#This Row],[Date]]-DAY(Table13[[#This Row],[Date]])+1</f>
        <v>45992</v>
      </c>
      <c r="E259" s="9">
        <f t="shared" si="20"/>
        <v>31</v>
      </c>
      <c r="F259" s="199" t="str">
        <f>IFERROR(_xlfn.XLOOKUP($A259,Input_Raw!$A:$A,Input_Raw!$FC:$FC),"")</f>
        <v/>
      </c>
      <c r="G259" s="185" t="str">
        <f>IFERROR(_xlfn.XLOOKUP($A259,Input_Raw!$A:$A,Input_Raw!$CY:$CY),"")</f>
        <v/>
      </c>
      <c r="H259" s="185" t="str">
        <f>IFERROR(_xlfn.XLOOKUP($A259,Input_Raw!$A:$A,Input_Raw!$DA:$DA),"")</f>
        <v/>
      </c>
      <c r="I259" s="185" t="str">
        <f>IFERROR(_xlfn.XLOOKUP($A259,Input_Raw!$A:$A,Input_Raw!$CX:$CX),"")</f>
        <v/>
      </c>
      <c r="J259" s="185" t="str">
        <f>IFERROR(_xlfn.XLOOKUP($A259,Input_Raw!$A:$A,Input_Raw!$CZ:$CZ),"")</f>
        <v/>
      </c>
      <c r="K259" s="201" t="str">
        <f>IFERROR(_xlfn.XLOOKUP($A259,Input_Raw!$A:$A,Input_Raw!$DB:$DB),"")</f>
        <v/>
      </c>
      <c r="L259" s="201" t="str">
        <f>IFERROR(_xlfn.XLOOKUP($A259,Input_Raw!$A:$A,Input_Raw!$DC:$DC),"")</f>
        <v/>
      </c>
      <c r="M259" s="200" t="str">
        <f>IFERROR(_xlfn.XLOOKUP($A259,Input_Raw!$A:$A,Input_Raw!$DF:$DF),"")</f>
        <v/>
      </c>
      <c r="N259" s="200" t="str">
        <f>IFERROR(_xlfn.XLOOKUP($A259,Input_Raw!$A:$A,Input_Raw!$DG:$DG),"")</f>
        <v/>
      </c>
      <c r="O259" s="230" t="str">
        <f>IFERROR(1-(SUMIF(Plant_BD!$B:$B,$A259,Plant_BD!$AL:$AL)/($AA259+SUMIF(Plant_BD!$B:$B,$A259,Plant_BD!$AL:$AL))),"")</f>
        <v/>
      </c>
      <c r="P259" s="230"/>
      <c r="Q259" s="231" t="str">
        <f>IFERROR(1-(SUMIF(Grid_BD!$B:$B,$A259,Grid_BD!$V:$V)/($AA259+SUMIF(Grid_BD!$B:$B,$A259,Grid_BD!$V:$V))),"")</f>
        <v/>
      </c>
      <c r="R259" s="230" t="str">
        <f>IFERROR(1-(SUMIF(Grid_BD!$B:$B,$A259,Grid_BD!$V:$V)/($AA259+SUMIF(Grid_BD!$B:$B,$A259,Grid_BD!$V:$V))),"")</f>
        <v/>
      </c>
      <c r="S259" s="9"/>
      <c r="T259" s="231"/>
      <c r="U259" s="232" t="str">
        <f t="shared" si="21"/>
        <v/>
      </c>
      <c r="V259" s="232" t="str">
        <f>IFERROR(_xlfn.XLOOKUP($A259,Input_Raw!$A:$A,Input_Raw!$FG:$FG),"")</f>
        <v/>
      </c>
      <c r="W259" s="233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85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33">
        <f>IFERROR(_xlfn.XLOOKUP($D259,'Modelling New'!$D:$D,'Modelling New'!O:O),"")</f>
        <v>0.85944279883329133</v>
      </c>
      <c r="AF259" s="233">
        <f>IFERROR(_xlfn.XLOOKUP($D259,'Modelling New'!$D:$D,'Modelling New'!W:W),"")</f>
        <v>0.19083326662266092</v>
      </c>
      <c r="AG259" s="233">
        <f>IFERROR(_xlfn.XLOOKUP($D259,'Modelling New'!$D:$D,'Modelling New'!AE:AE),"")</f>
        <v>0.995</v>
      </c>
      <c r="AH259" s="233">
        <f>IFERROR(_xlfn.XLOOKUP($D259,'Modelling New'!$D:$D,'Modelling New'!AF:AF),"")</f>
        <v>0.995</v>
      </c>
      <c r="AI259" s="9"/>
      <c r="AJ259" s="9"/>
      <c r="AK259" s="256"/>
      <c r="AL259" s="256"/>
      <c r="AM259" s="256"/>
      <c r="AN259" s="230"/>
      <c r="AO259" s="233"/>
      <c r="AP259" s="233"/>
      <c r="AQ259" s="233"/>
      <c r="AR259" s="234">
        <f>_xlfn.XLOOKUP(D259,'Modelling New'!$D:$D,'Modelling New'!$N:$N)</f>
        <v>130</v>
      </c>
      <c r="AS259" s="234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29">
        <f>Table13[[#This Row],[Date]]-DAY(Table13[[#This Row],[Date]])+1</f>
        <v>45992</v>
      </c>
      <c r="E260" s="9">
        <f t="shared" si="20"/>
        <v>31</v>
      </c>
      <c r="F260" s="199" t="str">
        <f>IFERROR(_xlfn.XLOOKUP($A260,Input_Raw!$A:$A,Input_Raw!$FC:$FC),"")</f>
        <v/>
      </c>
      <c r="G260" s="200" t="str">
        <f>IFERROR(_xlfn.XLOOKUP($A260,Input_Raw!$A:$A,Input_Raw!$CY:$CY),"")</f>
        <v/>
      </c>
      <c r="H260" s="200" t="str">
        <f>IFERROR(_xlfn.XLOOKUP($A260,Input_Raw!$A:$A,Input_Raw!$DA:$DA),"")</f>
        <v/>
      </c>
      <c r="I260" s="200" t="str">
        <f>IFERROR(_xlfn.XLOOKUP($A260,Input_Raw!$A:$A,Input_Raw!$CX:$CX),"")</f>
        <v/>
      </c>
      <c r="J260" s="200" t="str">
        <f>IFERROR(_xlfn.XLOOKUP($A260,Input_Raw!$A:$A,Input_Raw!$CZ:$CZ),"")</f>
        <v/>
      </c>
      <c r="K260" s="201" t="str">
        <f>IFERROR(_xlfn.XLOOKUP($A260,Input_Raw!$A:$A,Input_Raw!$DB:$DB),"")</f>
        <v/>
      </c>
      <c r="L260" s="201" t="str">
        <f>IFERROR(_xlfn.XLOOKUP($A260,Input_Raw!$A:$A,Input_Raw!$DC:$DC),"")</f>
        <v/>
      </c>
      <c r="M260" s="200" t="str">
        <f>IFERROR(_xlfn.XLOOKUP($A260,Input_Raw!$A:$A,Input_Raw!$DF:$DF),"")</f>
        <v/>
      </c>
      <c r="N260" s="200" t="str">
        <f>IFERROR(_xlfn.XLOOKUP($A260,Input_Raw!$A:$A,Input_Raw!$DG:$DG),"")</f>
        <v/>
      </c>
      <c r="O260" s="230" t="str">
        <f>IFERROR(1-(SUMIF(Plant_BD!$B:$B,$A260,Plant_BD!$AL:$AL)/($AA260+SUMIF(Plant_BD!$B:$B,$A260,Plant_BD!$AL:$AL))),"")</f>
        <v/>
      </c>
      <c r="P260" s="230"/>
      <c r="Q260" s="231" t="str">
        <f>IFERROR(1-(SUMIF(Grid_BD!$B:$B,$A260,Grid_BD!$V:$V)/($AA260+SUMIF(Grid_BD!$B:$B,$A260,Grid_BD!$V:$V))),"")</f>
        <v/>
      </c>
      <c r="R260" s="230" t="str">
        <f>IFERROR(1-(SUMIF(Grid_BD!$B:$B,$A260,Grid_BD!$V:$V)/($AA260+SUMIF(Grid_BD!$B:$B,$A260,Grid_BD!$V:$V))),"")</f>
        <v/>
      </c>
      <c r="S260" s="9"/>
      <c r="T260" s="231"/>
      <c r="U260" s="232" t="str">
        <f t="shared" si="21"/>
        <v/>
      </c>
      <c r="V260" s="232" t="str">
        <f>IFERROR(_xlfn.XLOOKUP($A260,Input_Raw!$A:$A,Input_Raw!$FG:$FG),"")</f>
        <v/>
      </c>
      <c r="W260" s="233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85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33">
        <f>IFERROR(_xlfn.XLOOKUP($D260,'Modelling New'!$D:$D,'Modelling New'!O:O),"")</f>
        <v>0.85944279883329133</v>
      </c>
      <c r="AF260" s="233">
        <f>IFERROR(_xlfn.XLOOKUP($D260,'Modelling New'!$D:$D,'Modelling New'!W:W),"")</f>
        <v>0.19083326662266092</v>
      </c>
      <c r="AG260" s="233">
        <f>IFERROR(_xlfn.XLOOKUP($D260,'Modelling New'!$D:$D,'Modelling New'!AE:AE),"")</f>
        <v>0.995</v>
      </c>
      <c r="AH260" s="233">
        <f>IFERROR(_xlfn.XLOOKUP($D260,'Modelling New'!$D:$D,'Modelling New'!AF:AF),"")</f>
        <v>0.995</v>
      </c>
      <c r="AI260" s="9"/>
      <c r="AJ260" s="9"/>
      <c r="AK260" s="256"/>
      <c r="AL260" s="256"/>
      <c r="AM260" s="256"/>
      <c r="AN260" s="230"/>
      <c r="AO260" s="233"/>
      <c r="AP260" s="233"/>
      <c r="AQ260" s="233"/>
      <c r="AR260" s="234">
        <f>_xlfn.XLOOKUP(D260,'Modelling New'!$D:$D,'Modelling New'!$N:$N)</f>
        <v>130</v>
      </c>
      <c r="AS260" s="234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29">
        <f>Table13[[#This Row],[Date]]-DAY(Table13[[#This Row],[Date]])+1</f>
        <v>45992</v>
      </c>
      <c r="E261" s="9">
        <f t="shared" si="20"/>
        <v>31</v>
      </c>
      <c r="F261" s="199" t="str">
        <f>IFERROR(_xlfn.XLOOKUP($A261,Input_Raw!$A:$A,Input_Raw!$FC:$FC),"")</f>
        <v/>
      </c>
      <c r="G261" s="185" t="str">
        <f>IFERROR(_xlfn.XLOOKUP($A261,Input_Raw!$A:$A,Input_Raw!$CY:$CY),"")</f>
        <v/>
      </c>
      <c r="H261" s="185" t="str">
        <f>IFERROR(_xlfn.XLOOKUP($A261,Input_Raw!$A:$A,Input_Raw!$DA:$DA),"")</f>
        <v/>
      </c>
      <c r="I261" s="185" t="str">
        <f>IFERROR(_xlfn.XLOOKUP($A261,Input_Raw!$A:$A,Input_Raw!$CX:$CX),"")</f>
        <v/>
      </c>
      <c r="J261" s="185" t="str">
        <f>IFERROR(_xlfn.XLOOKUP($A261,Input_Raw!$A:$A,Input_Raw!$CZ:$CZ),"")</f>
        <v/>
      </c>
      <c r="K261" s="201" t="str">
        <f>IFERROR(_xlfn.XLOOKUP($A261,Input_Raw!$A:$A,Input_Raw!$DB:$DB),"")</f>
        <v/>
      </c>
      <c r="L261" s="201" t="str">
        <f>IFERROR(_xlfn.XLOOKUP($A261,Input_Raw!$A:$A,Input_Raw!$DC:$DC),"")</f>
        <v/>
      </c>
      <c r="M261" s="200" t="str">
        <f>IFERROR(_xlfn.XLOOKUP($A261,Input_Raw!$A:$A,Input_Raw!$DF:$DF),"")</f>
        <v/>
      </c>
      <c r="N261" s="200" t="str">
        <f>IFERROR(_xlfn.XLOOKUP($A261,Input_Raw!$A:$A,Input_Raw!$DG:$DG),"")</f>
        <v/>
      </c>
      <c r="O261" s="230" t="str">
        <f>IFERROR(1-(SUMIF(Plant_BD!$B:$B,$A261,Plant_BD!$AL:$AL)/($AA261+SUMIF(Plant_BD!$B:$B,$A261,Plant_BD!$AL:$AL))),"")</f>
        <v/>
      </c>
      <c r="P261" s="230"/>
      <c r="Q261" s="231" t="str">
        <f>IFERROR(1-(SUMIF(Grid_BD!$B:$B,$A261,Grid_BD!$V:$V)/($AA261+SUMIF(Grid_BD!$B:$B,$A261,Grid_BD!$V:$V))),"")</f>
        <v/>
      </c>
      <c r="R261" s="230" t="str">
        <f>IFERROR(1-(SUMIF(Grid_BD!$B:$B,$A261,Grid_BD!$V:$V)/($AA261+SUMIF(Grid_BD!$B:$B,$A261,Grid_BD!$V:$V))),"")</f>
        <v/>
      </c>
      <c r="S261" s="9"/>
      <c r="T261" s="231"/>
      <c r="U261" s="232" t="str">
        <f t="shared" si="21"/>
        <v/>
      </c>
      <c r="V261" s="232" t="str">
        <f>IFERROR(_xlfn.XLOOKUP($A261,Input_Raw!$A:$A,Input_Raw!$FG:$FG),"")</f>
        <v/>
      </c>
      <c r="W261" s="233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85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33">
        <f>IFERROR(_xlfn.XLOOKUP($D261,'Modelling New'!$D:$D,'Modelling New'!O:O),"")</f>
        <v>0.85944279883329133</v>
      </c>
      <c r="AF261" s="233">
        <f>IFERROR(_xlfn.XLOOKUP($D261,'Modelling New'!$D:$D,'Modelling New'!W:W),"")</f>
        <v>0.19083326662266092</v>
      </c>
      <c r="AG261" s="233">
        <f>IFERROR(_xlfn.XLOOKUP($D261,'Modelling New'!$D:$D,'Modelling New'!AE:AE),"")</f>
        <v>0.995</v>
      </c>
      <c r="AH261" s="233">
        <f>IFERROR(_xlfn.XLOOKUP($D261,'Modelling New'!$D:$D,'Modelling New'!AF:AF),"")</f>
        <v>0.995</v>
      </c>
      <c r="AI261" s="9"/>
      <c r="AJ261" s="9"/>
      <c r="AK261" s="256"/>
      <c r="AL261" s="256"/>
      <c r="AM261" s="256"/>
      <c r="AN261" s="230"/>
      <c r="AO261" s="233"/>
      <c r="AP261" s="233"/>
      <c r="AQ261" s="233"/>
      <c r="AR261" s="234">
        <f>_xlfn.XLOOKUP(D261,'Modelling New'!$D:$D,'Modelling New'!$N:$N)</f>
        <v>130</v>
      </c>
      <c r="AS261" s="234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29">
        <f>Table13[[#This Row],[Date]]-DAY(Table13[[#This Row],[Date]])+1</f>
        <v>45992</v>
      </c>
      <c r="E262" s="9">
        <f t="shared" si="20"/>
        <v>31</v>
      </c>
      <c r="F262" s="199" t="str">
        <f>IFERROR(_xlfn.XLOOKUP($A262,Input_Raw!$A:$A,Input_Raw!$FC:$FC),"")</f>
        <v/>
      </c>
      <c r="G262" s="200" t="str">
        <f>IFERROR(_xlfn.XLOOKUP($A262,Input_Raw!$A:$A,Input_Raw!$CY:$CY),"")</f>
        <v/>
      </c>
      <c r="H262" s="200" t="str">
        <f>IFERROR(_xlfn.XLOOKUP($A262,Input_Raw!$A:$A,Input_Raw!$DA:$DA),"")</f>
        <v/>
      </c>
      <c r="I262" s="200" t="str">
        <f>IFERROR(_xlfn.XLOOKUP($A262,Input_Raw!$A:$A,Input_Raw!$CX:$CX),"")</f>
        <v/>
      </c>
      <c r="J262" s="200" t="str">
        <f>IFERROR(_xlfn.XLOOKUP($A262,Input_Raw!$A:$A,Input_Raw!$CZ:$CZ),"")</f>
        <v/>
      </c>
      <c r="K262" s="201" t="str">
        <f>IFERROR(_xlfn.XLOOKUP($A262,Input_Raw!$A:$A,Input_Raw!$DB:$DB),"")</f>
        <v/>
      </c>
      <c r="L262" s="201" t="str">
        <f>IFERROR(_xlfn.XLOOKUP($A262,Input_Raw!$A:$A,Input_Raw!$DC:$DC),"")</f>
        <v/>
      </c>
      <c r="M262" s="200" t="str">
        <f>IFERROR(_xlfn.XLOOKUP($A262,Input_Raw!$A:$A,Input_Raw!$DF:$DF),"")</f>
        <v/>
      </c>
      <c r="N262" s="200" t="str">
        <f>IFERROR(_xlfn.XLOOKUP($A262,Input_Raw!$A:$A,Input_Raw!$DG:$DG),"")</f>
        <v/>
      </c>
      <c r="O262" s="230" t="str">
        <f>IFERROR(1-(SUMIF(Plant_BD!$B:$B,$A262,Plant_BD!$AL:$AL)/($AA262+SUMIF(Plant_BD!$B:$B,$A262,Plant_BD!$AL:$AL))),"")</f>
        <v/>
      </c>
      <c r="P262" s="230"/>
      <c r="Q262" s="231" t="str">
        <f>IFERROR(1-(SUMIF(Grid_BD!$B:$B,$A262,Grid_BD!$V:$V)/($AA262+SUMIF(Grid_BD!$B:$B,$A262,Grid_BD!$V:$V))),"")</f>
        <v/>
      </c>
      <c r="R262" s="230" t="str">
        <f>IFERROR(1-(SUMIF(Grid_BD!$B:$B,$A262,Grid_BD!$V:$V)/($AA262+SUMIF(Grid_BD!$B:$B,$A262,Grid_BD!$V:$V))),"")</f>
        <v/>
      </c>
      <c r="S262" s="9"/>
      <c r="T262" s="231"/>
      <c r="U262" s="232" t="str">
        <f t="shared" si="21"/>
        <v/>
      </c>
      <c r="V262" s="232" t="str">
        <f>IFERROR(_xlfn.XLOOKUP($A262,Input_Raw!$A:$A,Input_Raw!$FG:$FG),"")</f>
        <v/>
      </c>
      <c r="W262" s="233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85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33">
        <f>IFERROR(_xlfn.XLOOKUP($D262,'Modelling New'!$D:$D,'Modelling New'!O:O),"")</f>
        <v>0.85944279883329133</v>
      </c>
      <c r="AF262" s="233">
        <f>IFERROR(_xlfn.XLOOKUP($D262,'Modelling New'!$D:$D,'Modelling New'!W:W),"")</f>
        <v>0.19083326662266092</v>
      </c>
      <c r="AG262" s="233">
        <f>IFERROR(_xlfn.XLOOKUP($D262,'Modelling New'!$D:$D,'Modelling New'!AE:AE),"")</f>
        <v>0.995</v>
      </c>
      <c r="AH262" s="233">
        <f>IFERROR(_xlfn.XLOOKUP($D262,'Modelling New'!$D:$D,'Modelling New'!AF:AF),"")</f>
        <v>0.995</v>
      </c>
      <c r="AI262" s="9"/>
      <c r="AJ262" s="9"/>
      <c r="AK262" s="256"/>
      <c r="AL262" s="256"/>
      <c r="AM262" s="256"/>
      <c r="AN262" s="230"/>
      <c r="AO262" s="233"/>
      <c r="AP262" s="233"/>
      <c r="AQ262" s="233"/>
      <c r="AR262" s="234">
        <f>_xlfn.XLOOKUP(D262,'Modelling New'!$D:$D,'Modelling New'!$N:$N)</f>
        <v>130</v>
      </c>
      <c r="AS262" s="234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29">
        <f>Table13[[#This Row],[Date]]-DAY(Table13[[#This Row],[Date]])+1</f>
        <v>45992</v>
      </c>
      <c r="E263" s="9">
        <f t="shared" si="20"/>
        <v>31</v>
      </c>
      <c r="F263" s="199" t="str">
        <f>IFERROR(_xlfn.XLOOKUP($A263,Input_Raw!$A:$A,Input_Raw!$FC:$FC),"")</f>
        <v/>
      </c>
      <c r="G263" s="185" t="str">
        <f>IFERROR(_xlfn.XLOOKUP($A263,Input_Raw!$A:$A,Input_Raw!$CY:$CY),"")</f>
        <v/>
      </c>
      <c r="H263" s="185" t="str">
        <f>IFERROR(_xlfn.XLOOKUP($A263,Input_Raw!$A:$A,Input_Raw!$DA:$DA),"")</f>
        <v/>
      </c>
      <c r="I263" s="185" t="str">
        <f>IFERROR(_xlfn.XLOOKUP($A263,Input_Raw!$A:$A,Input_Raw!$CX:$CX),"")</f>
        <v/>
      </c>
      <c r="J263" s="185" t="str">
        <f>IFERROR(_xlfn.XLOOKUP($A263,Input_Raw!$A:$A,Input_Raw!$CZ:$CZ),"")</f>
        <v/>
      </c>
      <c r="K263" s="201" t="str">
        <f>IFERROR(_xlfn.XLOOKUP($A263,Input_Raw!$A:$A,Input_Raw!$DB:$DB),"")</f>
        <v/>
      </c>
      <c r="L263" s="201" t="str">
        <f>IFERROR(_xlfn.XLOOKUP($A263,Input_Raw!$A:$A,Input_Raw!$DC:$DC),"")</f>
        <v/>
      </c>
      <c r="M263" s="200" t="str">
        <f>IFERROR(_xlfn.XLOOKUP($A263,Input_Raw!$A:$A,Input_Raw!$DF:$DF),"")</f>
        <v/>
      </c>
      <c r="N263" s="200" t="str">
        <f>IFERROR(_xlfn.XLOOKUP($A263,Input_Raw!$A:$A,Input_Raw!$DG:$DG),"")</f>
        <v/>
      </c>
      <c r="O263" s="230" t="str">
        <f>IFERROR(1-(SUMIF(Plant_BD!$B:$B,$A263,Plant_BD!$AL:$AL)/($AA263+SUMIF(Plant_BD!$B:$B,$A263,Plant_BD!$AL:$AL))),"")</f>
        <v/>
      </c>
      <c r="P263" s="230"/>
      <c r="Q263" s="231" t="str">
        <f>IFERROR(1-(SUMIF(Grid_BD!$B:$B,$A263,Grid_BD!$V:$V)/($AA263+SUMIF(Grid_BD!$B:$B,$A263,Grid_BD!$V:$V))),"")</f>
        <v/>
      </c>
      <c r="R263" s="230" t="str">
        <f>IFERROR(1-(SUMIF(Grid_BD!$B:$B,$A263,Grid_BD!$V:$V)/($AA263+SUMIF(Grid_BD!$B:$B,$A263,Grid_BD!$V:$V))),"")</f>
        <v/>
      </c>
      <c r="S263" s="9"/>
      <c r="T263" s="231"/>
      <c r="U263" s="232" t="str">
        <f t="shared" si="21"/>
        <v/>
      </c>
      <c r="V263" s="232" t="str">
        <f>IFERROR(_xlfn.XLOOKUP($A263,Input_Raw!$A:$A,Input_Raw!$FG:$FG),"")</f>
        <v/>
      </c>
      <c r="W263" s="233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85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33">
        <f>IFERROR(_xlfn.XLOOKUP($D263,'Modelling New'!$D:$D,'Modelling New'!O:O),"")</f>
        <v>0.85944279883329133</v>
      </c>
      <c r="AF263" s="233">
        <f>IFERROR(_xlfn.XLOOKUP($D263,'Modelling New'!$D:$D,'Modelling New'!W:W),"")</f>
        <v>0.19083326662266092</v>
      </c>
      <c r="AG263" s="233">
        <f>IFERROR(_xlfn.XLOOKUP($D263,'Modelling New'!$D:$D,'Modelling New'!AE:AE),"")</f>
        <v>0.995</v>
      </c>
      <c r="AH263" s="233">
        <f>IFERROR(_xlfn.XLOOKUP($D263,'Modelling New'!$D:$D,'Modelling New'!AF:AF),"")</f>
        <v>0.995</v>
      </c>
      <c r="AI263" s="9"/>
      <c r="AJ263" s="9"/>
      <c r="AK263" s="256"/>
      <c r="AL263" s="256"/>
      <c r="AM263" s="256"/>
      <c r="AN263" s="230"/>
      <c r="AO263" s="233"/>
      <c r="AP263" s="233"/>
      <c r="AQ263" s="233"/>
      <c r="AR263" s="234">
        <f>_xlfn.XLOOKUP(D263,'Modelling New'!$D:$D,'Modelling New'!$N:$N)</f>
        <v>130</v>
      </c>
      <c r="AS263" s="234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29">
        <f>Table13[[#This Row],[Date]]-DAY(Table13[[#This Row],[Date]])+1</f>
        <v>45992</v>
      </c>
      <c r="E264" s="9">
        <f t="shared" si="20"/>
        <v>31</v>
      </c>
      <c r="F264" s="199" t="str">
        <f>IFERROR(_xlfn.XLOOKUP($A264,Input_Raw!$A:$A,Input_Raw!$FC:$FC),"")</f>
        <v/>
      </c>
      <c r="G264" s="200" t="str">
        <f>IFERROR(_xlfn.XLOOKUP($A264,Input_Raw!$A:$A,Input_Raw!$CY:$CY),"")</f>
        <v/>
      </c>
      <c r="H264" s="200" t="str">
        <f>IFERROR(_xlfn.XLOOKUP($A264,Input_Raw!$A:$A,Input_Raw!$DA:$DA),"")</f>
        <v/>
      </c>
      <c r="I264" s="200" t="str">
        <f>IFERROR(_xlfn.XLOOKUP($A264,Input_Raw!$A:$A,Input_Raw!$CX:$CX),"")</f>
        <v/>
      </c>
      <c r="J264" s="200" t="str">
        <f>IFERROR(_xlfn.XLOOKUP($A264,Input_Raw!$A:$A,Input_Raw!$CZ:$CZ),"")</f>
        <v/>
      </c>
      <c r="K264" s="201" t="str">
        <f>IFERROR(_xlfn.XLOOKUP($A264,Input_Raw!$A:$A,Input_Raw!$DB:$DB),"")</f>
        <v/>
      </c>
      <c r="L264" s="201" t="str">
        <f>IFERROR(_xlfn.XLOOKUP($A264,Input_Raw!$A:$A,Input_Raw!$DC:$DC),"")</f>
        <v/>
      </c>
      <c r="M264" s="200" t="str">
        <f>IFERROR(_xlfn.XLOOKUP($A264,Input_Raw!$A:$A,Input_Raw!$DF:$DF),"")</f>
        <v/>
      </c>
      <c r="N264" s="200" t="str">
        <f>IFERROR(_xlfn.XLOOKUP($A264,Input_Raw!$A:$A,Input_Raw!$DG:$DG),"")</f>
        <v/>
      </c>
      <c r="O264" s="230" t="str">
        <f>IFERROR(1-(SUMIF(Plant_BD!$B:$B,$A264,Plant_BD!$AL:$AL)/($AA264+SUMIF(Plant_BD!$B:$B,$A264,Plant_BD!$AL:$AL))),"")</f>
        <v/>
      </c>
      <c r="P264" s="230"/>
      <c r="Q264" s="231" t="str">
        <f>IFERROR(1-(SUMIF(Grid_BD!$B:$B,$A264,Grid_BD!$V:$V)/($AA264+SUMIF(Grid_BD!$B:$B,$A264,Grid_BD!$V:$V))),"")</f>
        <v/>
      </c>
      <c r="R264" s="230" t="str">
        <f>IFERROR(1-(SUMIF(Grid_BD!$B:$B,$A264,Grid_BD!$V:$V)/($AA264+SUMIF(Grid_BD!$B:$B,$A264,Grid_BD!$V:$V))),"")</f>
        <v/>
      </c>
      <c r="S264" s="9"/>
      <c r="T264" s="231"/>
      <c r="U264" s="232" t="str">
        <f t="shared" si="21"/>
        <v/>
      </c>
      <c r="V264" s="232" t="str">
        <f>IFERROR(_xlfn.XLOOKUP($A264,Input_Raw!$A:$A,Input_Raw!$FG:$FG),"")</f>
        <v/>
      </c>
      <c r="W264" s="233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85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33">
        <f>IFERROR(_xlfn.XLOOKUP($D264,'Modelling New'!$D:$D,'Modelling New'!O:O),"")</f>
        <v>0.85944279883329133</v>
      </c>
      <c r="AF264" s="233">
        <f>IFERROR(_xlfn.XLOOKUP($D264,'Modelling New'!$D:$D,'Modelling New'!W:W),"")</f>
        <v>0.19083326662266092</v>
      </c>
      <c r="AG264" s="233">
        <f>IFERROR(_xlfn.XLOOKUP($D264,'Modelling New'!$D:$D,'Modelling New'!AE:AE),"")</f>
        <v>0.995</v>
      </c>
      <c r="AH264" s="233">
        <f>IFERROR(_xlfn.XLOOKUP($D264,'Modelling New'!$D:$D,'Modelling New'!AF:AF),"")</f>
        <v>0.995</v>
      </c>
      <c r="AI264" s="9"/>
      <c r="AJ264" s="9"/>
      <c r="AK264" s="256"/>
      <c r="AL264" s="256"/>
      <c r="AM264" s="256"/>
      <c r="AN264" s="230"/>
      <c r="AO264" s="233"/>
      <c r="AP264" s="233"/>
      <c r="AQ264" s="233"/>
      <c r="AR264" s="234">
        <f>_xlfn.XLOOKUP(D264,'Modelling New'!$D:$D,'Modelling New'!$N:$N)</f>
        <v>130</v>
      </c>
      <c r="AS264" s="234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29">
        <f>Table13[[#This Row],[Date]]-DAY(Table13[[#This Row],[Date]])+1</f>
        <v>45992</v>
      </c>
      <c r="E265" s="9">
        <f t="shared" si="20"/>
        <v>31</v>
      </c>
      <c r="F265" s="199" t="str">
        <f>IFERROR(_xlfn.XLOOKUP($A265,Input_Raw!$A:$A,Input_Raw!$FC:$FC),"")</f>
        <v/>
      </c>
      <c r="G265" s="185" t="str">
        <f>IFERROR(_xlfn.XLOOKUP($A265,Input_Raw!$A:$A,Input_Raw!$CY:$CY),"")</f>
        <v/>
      </c>
      <c r="H265" s="185" t="str">
        <f>IFERROR(_xlfn.XLOOKUP($A265,Input_Raw!$A:$A,Input_Raw!$DA:$DA),"")</f>
        <v/>
      </c>
      <c r="I265" s="185" t="str">
        <f>IFERROR(_xlfn.XLOOKUP($A265,Input_Raw!$A:$A,Input_Raw!$CX:$CX),"")</f>
        <v/>
      </c>
      <c r="J265" s="185" t="str">
        <f>IFERROR(_xlfn.XLOOKUP($A265,Input_Raw!$A:$A,Input_Raw!$CZ:$CZ),"")</f>
        <v/>
      </c>
      <c r="K265" s="201" t="str">
        <f>IFERROR(_xlfn.XLOOKUP($A265,Input_Raw!$A:$A,Input_Raw!$DB:$DB),"")</f>
        <v/>
      </c>
      <c r="L265" s="201" t="str">
        <f>IFERROR(_xlfn.XLOOKUP($A265,Input_Raw!$A:$A,Input_Raw!$DC:$DC),"")</f>
        <v/>
      </c>
      <c r="M265" s="200" t="str">
        <f>IFERROR(_xlfn.XLOOKUP($A265,Input_Raw!$A:$A,Input_Raw!$DF:$DF),"")</f>
        <v/>
      </c>
      <c r="N265" s="200" t="str">
        <f>IFERROR(_xlfn.XLOOKUP($A265,Input_Raw!$A:$A,Input_Raw!$DG:$DG),"")</f>
        <v/>
      </c>
      <c r="O265" s="230" t="str">
        <f>IFERROR(1-(SUMIF(Plant_BD!$B:$B,$A265,Plant_BD!$AL:$AL)/($AA265+SUMIF(Plant_BD!$B:$B,$A265,Plant_BD!$AL:$AL))),"")</f>
        <v/>
      </c>
      <c r="P265" s="230"/>
      <c r="Q265" s="231" t="str">
        <f>IFERROR(1-(SUMIF(Grid_BD!$B:$B,$A265,Grid_BD!$V:$V)/($AA265+SUMIF(Grid_BD!$B:$B,$A265,Grid_BD!$V:$V))),"")</f>
        <v/>
      </c>
      <c r="R265" s="230" t="str">
        <f>IFERROR(1-(SUMIF(Grid_BD!$B:$B,$A265,Grid_BD!$V:$V)/($AA265+SUMIF(Grid_BD!$B:$B,$A265,Grid_BD!$V:$V))),"")</f>
        <v/>
      </c>
      <c r="S265" s="9"/>
      <c r="T265" s="231"/>
      <c r="U265" s="232" t="str">
        <f t="shared" si="21"/>
        <v/>
      </c>
      <c r="V265" s="232" t="str">
        <f>IFERROR(_xlfn.XLOOKUP($A265,Input_Raw!$A:$A,Input_Raw!$FG:$FG),"")</f>
        <v/>
      </c>
      <c r="W265" s="233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85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33">
        <f>IFERROR(_xlfn.XLOOKUP($D265,'Modelling New'!$D:$D,'Modelling New'!O:O),"")</f>
        <v>0.85944279883329133</v>
      </c>
      <c r="AF265" s="233">
        <f>IFERROR(_xlfn.XLOOKUP($D265,'Modelling New'!$D:$D,'Modelling New'!W:W),"")</f>
        <v>0.19083326662266092</v>
      </c>
      <c r="AG265" s="233">
        <f>IFERROR(_xlfn.XLOOKUP($D265,'Modelling New'!$D:$D,'Modelling New'!AE:AE),"")</f>
        <v>0.995</v>
      </c>
      <c r="AH265" s="233">
        <f>IFERROR(_xlfn.XLOOKUP($D265,'Modelling New'!$D:$D,'Modelling New'!AF:AF),"")</f>
        <v>0.995</v>
      </c>
      <c r="AI265" s="9"/>
      <c r="AJ265" s="9"/>
      <c r="AK265" s="256"/>
      <c r="AL265" s="256"/>
      <c r="AM265" s="256"/>
      <c r="AN265" s="230"/>
      <c r="AO265" s="233"/>
      <c r="AP265" s="233"/>
      <c r="AQ265" s="233"/>
      <c r="AR265" s="234">
        <f>_xlfn.XLOOKUP(D265,'Modelling New'!$D:$D,'Modelling New'!$N:$N)</f>
        <v>130</v>
      </c>
      <c r="AS265" s="234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29">
        <f>Table13[[#This Row],[Date]]-DAY(Table13[[#This Row],[Date]])+1</f>
        <v>45992</v>
      </c>
      <c r="E266" s="9">
        <f t="shared" si="20"/>
        <v>31</v>
      </c>
      <c r="F266" s="199" t="str">
        <f>IFERROR(_xlfn.XLOOKUP($A266,Input_Raw!$A:$A,Input_Raw!$FC:$FC),"")</f>
        <v/>
      </c>
      <c r="G266" s="200" t="str">
        <f>IFERROR(_xlfn.XLOOKUP($A266,Input_Raw!$A:$A,Input_Raw!$CY:$CY),"")</f>
        <v/>
      </c>
      <c r="H266" s="200" t="str">
        <f>IFERROR(_xlfn.XLOOKUP($A266,Input_Raw!$A:$A,Input_Raw!$DA:$DA),"")</f>
        <v/>
      </c>
      <c r="I266" s="200" t="str">
        <f>IFERROR(_xlfn.XLOOKUP($A266,Input_Raw!$A:$A,Input_Raw!$CX:$CX),"")</f>
        <v/>
      </c>
      <c r="J266" s="200" t="str">
        <f>IFERROR(_xlfn.XLOOKUP($A266,Input_Raw!$A:$A,Input_Raw!$CZ:$CZ),"")</f>
        <v/>
      </c>
      <c r="K266" s="201" t="str">
        <f>IFERROR(_xlfn.XLOOKUP($A266,Input_Raw!$A:$A,Input_Raw!$DB:$DB),"")</f>
        <v/>
      </c>
      <c r="L266" s="201" t="str">
        <f>IFERROR(_xlfn.XLOOKUP($A266,Input_Raw!$A:$A,Input_Raw!$DC:$DC),"")</f>
        <v/>
      </c>
      <c r="M266" s="200" t="str">
        <f>IFERROR(_xlfn.XLOOKUP($A266,Input_Raw!$A:$A,Input_Raw!$DF:$DF),"")</f>
        <v/>
      </c>
      <c r="N266" s="200" t="str">
        <f>IFERROR(_xlfn.XLOOKUP($A266,Input_Raw!$A:$A,Input_Raw!$DG:$DG),"")</f>
        <v/>
      </c>
      <c r="O266" s="230" t="str">
        <f>IFERROR(1-(SUMIF(Plant_BD!$B:$B,$A266,Plant_BD!$AL:$AL)/($AA266+SUMIF(Plant_BD!$B:$B,$A266,Plant_BD!$AL:$AL))),"")</f>
        <v/>
      </c>
      <c r="P266" s="230"/>
      <c r="Q266" s="231" t="str">
        <f>IFERROR(1-(SUMIF(Grid_BD!$B:$B,$A266,Grid_BD!$V:$V)/($AA266+SUMIF(Grid_BD!$B:$B,$A266,Grid_BD!$V:$V))),"")</f>
        <v/>
      </c>
      <c r="R266" s="230" t="str">
        <f>IFERROR(1-(SUMIF(Grid_BD!$B:$B,$A266,Grid_BD!$V:$V)/($AA266+SUMIF(Grid_BD!$B:$B,$A266,Grid_BD!$V:$V))),"")</f>
        <v/>
      </c>
      <c r="S266" s="9"/>
      <c r="T266" s="231"/>
      <c r="U266" s="232" t="str">
        <f t="shared" si="21"/>
        <v/>
      </c>
      <c r="V266" s="232" t="str">
        <f>IFERROR(_xlfn.XLOOKUP($A266,Input_Raw!$A:$A,Input_Raw!$FG:$FG),"")</f>
        <v/>
      </c>
      <c r="W266" s="233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85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33">
        <f>IFERROR(_xlfn.XLOOKUP($D266,'Modelling New'!$D:$D,'Modelling New'!O:O),"")</f>
        <v>0.85944279883329133</v>
      </c>
      <c r="AF266" s="233">
        <f>IFERROR(_xlfn.XLOOKUP($D266,'Modelling New'!$D:$D,'Modelling New'!W:W),"")</f>
        <v>0.19083326662266092</v>
      </c>
      <c r="AG266" s="233">
        <f>IFERROR(_xlfn.XLOOKUP($D266,'Modelling New'!$D:$D,'Modelling New'!AE:AE),"")</f>
        <v>0.995</v>
      </c>
      <c r="AH266" s="233">
        <f>IFERROR(_xlfn.XLOOKUP($D266,'Modelling New'!$D:$D,'Modelling New'!AF:AF),"")</f>
        <v>0.995</v>
      </c>
      <c r="AI266" s="9"/>
      <c r="AJ266" s="9"/>
      <c r="AK266" s="256"/>
      <c r="AL266" s="256"/>
      <c r="AM266" s="256"/>
      <c r="AN266" s="230"/>
      <c r="AO266" s="233"/>
      <c r="AP266" s="233"/>
      <c r="AQ266" s="233"/>
      <c r="AR266" s="234">
        <f>_xlfn.XLOOKUP(D266,'Modelling New'!$D:$D,'Modelling New'!$N:$N)</f>
        <v>130</v>
      </c>
      <c r="AS266" s="234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29">
        <f>Table13[[#This Row],[Date]]-DAY(Table13[[#This Row],[Date]])+1</f>
        <v>45992</v>
      </c>
      <c r="E267" s="9">
        <f t="shared" si="20"/>
        <v>31</v>
      </c>
      <c r="F267" s="199" t="str">
        <f>IFERROR(_xlfn.XLOOKUP($A267,Input_Raw!$A:$A,Input_Raw!$FC:$FC),"")</f>
        <v/>
      </c>
      <c r="G267" s="185" t="str">
        <f>IFERROR(_xlfn.XLOOKUP($A267,Input_Raw!$A:$A,Input_Raw!$CY:$CY),"")</f>
        <v/>
      </c>
      <c r="H267" s="185" t="str">
        <f>IFERROR(_xlfn.XLOOKUP($A267,Input_Raw!$A:$A,Input_Raw!$DA:$DA),"")</f>
        <v/>
      </c>
      <c r="I267" s="185" t="str">
        <f>IFERROR(_xlfn.XLOOKUP($A267,Input_Raw!$A:$A,Input_Raw!$CX:$CX),"")</f>
        <v/>
      </c>
      <c r="J267" s="185" t="str">
        <f>IFERROR(_xlfn.XLOOKUP($A267,Input_Raw!$A:$A,Input_Raw!$CZ:$CZ),"")</f>
        <v/>
      </c>
      <c r="K267" s="201" t="str">
        <f>IFERROR(_xlfn.XLOOKUP($A267,Input_Raw!$A:$A,Input_Raw!$DB:$DB),"")</f>
        <v/>
      </c>
      <c r="L267" s="201" t="str">
        <f>IFERROR(_xlfn.XLOOKUP($A267,Input_Raw!$A:$A,Input_Raw!$DC:$DC),"")</f>
        <v/>
      </c>
      <c r="M267" s="200" t="str">
        <f>IFERROR(_xlfn.XLOOKUP($A267,Input_Raw!$A:$A,Input_Raw!$DF:$DF),"")</f>
        <v/>
      </c>
      <c r="N267" s="200" t="str">
        <f>IFERROR(_xlfn.XLOOKUP($A267,Input_Raw!$A:$A,Input_Raw!$DG:$DG),"")</f>
        <v/>
      </c>
      <c r="O267" s="230" t="str">
        <f>IFERROR(1-(SUMIF(Plant_BD!$B:$B,$A267,Plant_BD!$AL:$AL)/($AA267+SUMIF(Plant_BD!$B:$B,$A267,Plant_BD!$AL:$AL))),"")</f>
        <v/>
      </c>
      <c r="P267" s="230"/>
      <c r="Q267" s="231" t="str">
        <f>IFERROR(1-(SUMIF(Grid_BD!$B:$B,$A267,Grid_BD!$V:$V)/($AA267+SUMIF(Grid_BD!$B:$B,$A267,Grid_BD!$V:$V))),"")</f>
        <v/>
      </c>
      <c r="R267" s="230" t="str">
        <f>IFERROR(1-(SUMIF(Grid_BD!$B:$B,$A267,Grid_BD!$V:$V)/($AA267+SUMIF(Grid_BD!$B:$B,$A267,Grid_BD!$V:$V))),"")</f>
        <v/>
      </c>
      <c r="S267" s="9"/>
      <c r="T267" s="231"/>
      <c r="U267" s="232" t="str">
        <f t="shared" si="21"/>
        <v/>
      </c>
      <c r="V267" s="232" t="str">
        <f>IFERROR(_xlfn.XLOOKUP($A267,Input_Raw!$A:$A,Input_Raw!$FG:$FG),"")</f>
        <v/>
      </c>
      <c r="W267" s="233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85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33">
        <f>IFERROR(_xlfn.XLOOKUP($D267,'Modelling New'!$D:$D,'Modelling New'!O:O),"")</f>
        <v>0.85944279883329133</v>
      </c>
      <c r="AF267" s="233">
        <f>IFERROR(_xlfn.XLOOKUP($D267,'Modelling New'!$D:$D,'Modelling New'!W:W),"")</f>
        <v>0.19083326662266092</v>
      </c>
      <c r="AG267" s="233">
        <f>IFERROR(_xlfn.XLOOKUP($D267,'Modelling New'!$D:$D,'Modelling New'!AE:AE),"")</f>
        <v>0.995</v>
      </c>
      <c r="AH267" s="233">
        <f>IFERROR(_xlfn.XLOOKUP($D267,'Modelling New'!$D:$D,'Modelling New'!AF:AF),"")</f>
        <v>0.995</v>
      </c>
      <c r="AI267" s="9"/>
      <c r="AJ267" s="9"/>
      <c r="AK267" s="256"/>
      <c r="AL267" s="256"/>
      <c r="AM267" s="256"/>
      <c r="AN267" s="230"/>
      <c r="AO267" s="233"/>
      <c r="AP267" s="233"/>
      <c r="AQ267" s="233"/>
      <c r="AR267" s="234">
        <f>_xlfn.XLOOKUP(D267,'Modelling New'!$D:$D,'Modelling New'!$N:$N)</f>
        <v>130</v>
      </c>
      <c r="AS267" s="234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29">
        <f>Table13[[#This Row],[Date]]-DAY(Table13[[#This Row],[Date]])+1</f>
        <v>45992</v>
      </c>
      <c r="E268" s="9">
        <f t="shared" si="20"/>
        <v>31</v>
      </c>
      <c r="F268" s="199" t="str">
        <f>IFERROR(_xlfn.XLOOKUP($A268,Input_Raw!$A:$A,Input_Raw!$FC:$FC),"")</f>
        <v/>
      </c>
      <c r="G268" s="200" t="str">
        <f>IFERROR(_xlfn.XLOOKUP($A268,Input_Raw!$A:$A,Input_Raw!$CY:$CY),"")</f>
        <v/>
      </c>
      <c r="H268" s="200" t="str">
        <f>IFERROR(_xlfn.XLOOKUP($A268,Input_Raw!$A:$A,Input_Raw!$DA:$DA),"")</f>
        <v/>
      </c>
      <c r="I268" s="200" t="str">
        <f>IFERROR(_xlfn.XLOOKUP($A268,Input_Raw!$A:$A,Input_Raw!$CX:$CX),"")</f>
        <v/>
      </c>
      <c r="J268" s="200" t="str">
        <f>IFERROR(_xlfn.XLOOKUP($A268,Input_Raw!$A:$A,Input_Raw!$CZ:$CZ),"")</f>
        <v/>
      </c>
      <c r="K268" s="201" t="str">
        <f>IFERROR(_xlfn.XLOOKUP($A268,Input_Raw!$A:$A,Input_Raw!$DB:$DB),"")</f>
        <v/>
      </c>
      <c r="L268" s="201" t="str">
        <f>IFERROR(_xlfn.XLOOKUP($A268,Input_Raw!$A:$A,Input_Raw!$DC:$DC),"")</f>
        <v/>
      </c>
      <c r="M268" s="200" t="str">
        <f>IFERROR(_xlfn.XLOOKUP($A268,Input_Raw!$A:$A,Input_Raw!$DF:$DF),"")</f>
        <v/>
      </c>
      <c r="N268" s="200" t="str">
        <f>IFERROR(_xlfn.XLOOKUP($A268,Input_Raw!$A:$A,Input_Raw!$DG:$DG),"")</f>
        <v/>
      </c>
      <c r="O268" s="230" t="str">
        <f>IFERROR(1-(SUMIF(Plant_BD!$B:$B,$A268,Plant_BD!$AL:$AL)/($AA268+SUMIF(Plant_BD!$B:$B,$A268,Plant_BD!$AL:$AL))),"")</f>
        <v/>
      </c>
      <c r="P268" s="230"/>
      <c r="Q268" s="231" t="str">
        <f>IFERROR(1-(SUMIF(Grid_BD!$B:$B,$A268,Grid_BD!$V:$V)/($AA268+SUMIF(Grid_BD!$B:$B,$A268,Grid_BD!$V:$V))),"")</f>
        <v/>
      </c>
      <c r="R268" s="230" t="str">
        <f>IFERROR(1-(SUMIF(Grid_BD!$B:$B,$A268,Grid_BD!$V:$V)/($AA268+SUMIF(Grid_BD!$B:$B,$A268,Grid_BD!$V:$V))),"")</f>
        <v/>
      </c>
      <c r="S268" s="9"/>
      <c r="T268" s="231"/>
      <c r="U268" s="232" t="str">
        <f t="shared" si="21"/>
        <v/>
      </c>
      <c r="V268" s="232" t="str">
        <f>IFERROR(_xlfn.XLOOKUP($A268,Input_Raw!$A:$A,Input_Raw!$FG:$FG),"")</f>
        <v/>
      </c>
      <c r="W268" s="233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85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33">
        <f>IFERROR(_xlfn.XLOOKUP($D268,'Modelling New'!$D:$D,'Modelling New'!O:O),"")</f>
        <v>0.85944279883329133</v>
      </c>
      <c r="AF268" s="233">
        <f>IFERROR(_xlfn.XLOOKUP($D268,'Modelling New'!$D:$D,'Modelling New'!W:W),"")</f>
        <v>0.19083326662266092</v>
      </c>
      <c r="AG268" s="233">
        <f>IFERROR(_xlfn.XLOOKUP($D268,'Modelling New'!$D:$D,'Modelling New'!AE:AE),"")</f>
        <v>0.995</v>
      </c>
      <c r="AH268" s="233">
        <f>IFERROR(_xlfn.XLOOKUP($D268,'Modelling New'!$D:$D,'Modelling New'!AF:AF),"")</f>
        <v>0.995</v>
      </c>
      <c r="AI268" s="9"/>
      <c r="AJ268" s="9"/>
      <c r="AK268" s="256"/>
      <c r="AL268" s="256"/>
      <c r="AM268" s="256"/>
      <c r="AN268" s="230"/>
      <c r="AO268" s="233"/>
      <c r="AP268" s="233"/>
      <c r="AQ268" s="233"/>
      <c r="AR268" s="234">
        <f>_xlfn.XLOOKUP(D268,'Modelling New'!$D:$D,'Modelling New'!$N:$N)</f>
        <v>130</v>
      </c>
      <c r="AS268" s="234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29">
        <f>Table13[[#This Row],[Date]]-DAY(Table13[[#This Row],[Date]])+1</f>
        <v>45992</v>
      </c>
      <c r="E269" s="9">
        <f t="shared" si="20"/>
        <v>31</v>
      </c>
      <c r="F269" s="199" t="str">
        <f>IFERROR(_xlfn.XLOOKUP($A269,Input_Raw!$A:$A,Input_Raw!$FC:$FC),"")</f>
        <v/>
      </c>
      <c r="G269" s="185" t="str">
        <f>IFERROR(_xlfn.XLOOKUP($A269,Input_Raw!$A:$A,Input_Raw!$CY:$CY),"")</f>
        <v/>
      </c>
      <c r="H269" s="185" t="str">
        <f>IFERROR(_xlfn.XLOOKUP($A269,Input_Raw!$A:$A,Input_Raw!$DA:$DA),"")</f>
        <v/>
      </c>
      <c r="I269" s="185" t="str">
        <f>IFERROR(_xlfn.XLOOKUP($A269,Input_Raw!$A:$A,Input_Raw!$CX:$CX),"")</f>
        <v/>
      </c>
      <c r="J269" s="185" t="str">
        <f>IFERROR(_xlfn.XLOOKUP($A269,Input_Raw!$A:$A,Input_Raw!$CZ:$CZ),"")</f>
        <v/>
      </c>
      <c r="K269" s="201" t="str">
        <f>IFERROR(_xlfn.XLOOKUP($A269,Input_Raw!$A:$A,Input_Raw!$DB:$DB),"")</f>
        <v/>
      </c>
      <c r="L269" s="201" t="str">
        <f>IFERROR(_xlfn.XLOOKUP($A269,Input_Raw!$A:$A,Input_Raw!$DC:$DC),"")</f>
        <v/>
      </c>
      <c r="M269" s="200" t="str">
        <f>IFERROR(_xlfn.XLOOKUP($A269,Input_Raw!$A:$A,Input_Raw!$DF:$DF),"")</f>
        <v/>
      </c>
      <c r="N269" s="200" t="str">
        <f>IFERROR(_xlfn.XLOOKUP($A269,Input_Raw!$A:$A,Input_Raw!$DG:$DG),"")</f>
        <v/>
      </c>
      <c r="O269" s="230" t="str">
        <f>IFERROR(1-(SUMIF(Plant_BD!$B:$B,$A269,Plant_BD!$AL:$AL)/($AA269+SUMIF(Plant_BD!$B:$B,$A269,Plant_BD!$AL:$AL))),"")</f>
        <v/>
      </c>
      <c r="P269" s="230"/>
      <c r="Q269" s="231" t="str">
        <f>IFERROR(1-(SUMIF(Grid_BD!$B:$B,$A269,Grid_BD!$V:$V)/($AA269+SUMIF(Grid_BD!$B:$B,$A269,Grid_BD!$V:$V))),"")</f>
        <v/>
      </c>
      <c r="R269" s="230" t="str">
        <f>IFERROR(1-(SUMIF(Grid_BD!$B:$B,$A269,Grid_BD!$V:$V)/($AA269+SUMIF(Grid_BD!$B:$B,$A269,Grid_BD!$V:$V))),"")</f>
        <v/>
      </c>
      <c r="S269" s="9"/>
      <c r="T269" s="231"/>
      <c r="U269" s="232" t="str">
        <f t="shared" si="21"/>
        <v/>
      </c>
      <c r="V269" s="232" t="str">
        <f>IFERROR(_xlfn.XLOOKUP($A269,Input_Raw!$A:$A,Input_Raw!$FG:$FG),"")</f>
        <v/>
      </c>
      <c r="W269" s="233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85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33">
        <f>IFERROR(_xlfn.XLOOKUP($D269,'Modelling New'!$D:$D,'Modelling New'!O:O),"")</f>
        <v>0.85944279883329133</v>
      </c>
      <c r="AF269" s="233">
        <f>IFERROR(_xlfn.XLOOKUP($D269,'Modelling New'!$D:$D,'Modelling New'!W:W),"")</f>
        <v>0.19083326662266092</v>
      </c>
      <c r="AG269" s="233">
        <f>IFERROR(_xlfn.XLOOKUP($D269,'Modelling New'!$D:$D,'Modelling New'!AE:AE),"")</f>
        <v>0.995</v>
      </c>
      <c r="AH269" s="233">
        <f>IFERROR(_xlfn.XLOOKUP($D269,'Modelling New'!$D:$D,'Modelling New'!AF:AF),"")</f>
        <v>0.995</v>
      </c>
      <c r="AI269" s="9"/>
      <c r="AJ269" s="9"/>
      <c r="AK269" s="256"/>
      <c r="AL269" s="256"/>
      <c r="AM269" s="256"/>
      <c r="AN269" s="230"/>
      <c r="AO269" s="233"/>
      <c r="AP269" s="233"/>
      <c r="AQ269" s="233"/>
      <c r="AR269" s="234">
        <f>_xlfn.XLOOKUP(D269,'Modelling New'!$D:$D,'Modelling New'!$N:$N)</f>
        <v>130</v>
      </c>
      <c r="AS269" s="234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29">
        <f>Table13[[#This Row],[Date]]-DAY(Table13[[#This Row],[Date]])+1</f>
        <v>45992</v>
      </c>
      <c r="E270" s="9">
        <f t="shared" si="20"/>
        <v>31</v>
      </c>
      <c r="F270" s="199" t="str">
        <f>IFERROR(_xlfn.XLOOKUP($A270,Input_Raw!$A:$A,Input_Raw!$FC:$FC),"")</f>
        <v/>
      </c>
      <c r="G270" s="200" t="str">
        <f>IFERROR(_xlfn.XLOOKUP($A270,Input_Raw!$A:$A,Input_Raw!$CY:$CY),"")</f>
        <v/>
      </c>
      <c r="H270" s="200" t="str">
        <f>IFERROR(_xlfn.XLOOKUP($A270,Input_Raw!$A:$A,Input_Raw!$DA:$DA),"")</f>
        <v/>
      </c>
      <c r="I270" s="200" t="str">
        <f>IFERROR(_xlfn.XLOOKUP($A270,Input_Raw!$A:$A,Input_Raw!$CX:$CX),"")</f>
        <v/>
      </c>
      <c r="J270" s="200" t="str">
        <f>IFERROR(_xlfn.XLOOKUP($A270,Input_Raw!$A:$A,Input_Raw!$CZ:$CZ),"")</f>
        <v/>
      </c>
      <c r="K270" s="201" t="str">
        <f>IFERROR(_xlfn.XLOOKUP($A270,Input_Raw!$A:$A,Input_Raw!$DB:$DB),"")</f>
        <v/>
      </c>
      <c r="L270" s="201" t="str">
        <f>IFERROR(_xlfn.XLOOKUP($A270,Input_Raw!$A:$A,Input_Raw!$DC:$DC),"")</f>
        <v/>
      </c>
      <c r="M270" s="200" t="str">
        <f>IFERROR(_xlfn.XLOOKUP($A270,Input_Raw!$A:$A,Input_Raw!$DF:$DF),"")</f>
        <v/>
      </c>
      <c r="N270" s="200" t="str">
        <f>IFERROR(_xlfn.XLOOKUP($A270,Input_Raw!$A:$A,Input_Raw!$DG:$DG),"")</f>
        <v/>
      </c>
      <c r="O270" s="230" t="str">
        <f>IFERROR(1-(SUMIF(Plant_BD!$B:$B,$A270,Plant_BD!$AL:$AL)/($AA270+SUMIF(Plant_BD!$B:$B,$A270,Plant_BD!$AL:$AL))),"")</f>
        <v/>
      </c>
      <c r="P270" s="230"/>
      <c r="Q270" s="231" t="str">
        <f>IFERROR(1-(SUMIF(Grid_BD!$B:$B,$A270,Grid_BD!$V:$V)/($AA270+SUMIF(Grid_BD!$B:$B,$A270,Grid_BD!$V:$V))),"")</f>
        <v/>
      </c>
      <c r="R270" s="230" t="str">
        <f>IFERROR(1-(SUMIF(Grid_BD!$B:$B,$A270,Grid_BD!$V:$V)/($AA270+SUMIF(Grid_BD!$B:$B,$A270,Grid_BD!$V:$V))),"")</f>
        <v/>
      </c>
      <c r="S270" s="9"/>
      <c r="T270" s="231"/>
      <c r="U270" s="232" t="str">
        <f t="shared" si="21"/>
        <v/>
      </c>
      <c r="V270" s="232" t="str">
        <f>IFERROR(_xlfn.XLOOKUP($A270,Input_Raw!$A:$A,Input_Raw!$FG:$FG),"")</f>
        <v/>
      </c>
      <c r="W270" s="233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85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33">
        <f>IFERROR(_xlfn.XLOOKUP($D270,'Modelling New'!$D:$D,'Modelling New'!O:O),"")</f>
        <v>0.85944279883329133</v>
      </c>
      <c r="AF270" s="233">
        <f>IFERROR(_xlfn.XLOOKUP($D270,'Modelling New'!$D:$D,'Modelling New'!W:W),"")</f>
        <v>0.19083326662266092</v>
      </c>
      <c r="AG270" s="233">
        <f>IFERROR(_xlfn.XLOOKUP($D270,'Modelling New'!$D:$D,'Modelling New'!AE:AE),"")</f>
        <v>0.995</v>
      </c>
      <c r="AH270" s="233">
        <f>IFERROR(_xlfn.XLOOKUP($D270,'Modelling New'!$D:$D,'Modelling New'!AF:AF),"")</f>
        <v>0.995</v>
      </c>
      <c r="AI270" s="9"/>
      <c r="AJ270" s="9"/>
      <c r="AK270" s="256"/>
      <c r="AL270" s="256"/>
      <c r="AM270" s="256"/>
      <c r="AN270" s="230"/>
      <c r="AO270" s="233"/>
      <c r="AP270" s="233"/>
      <c r="AQ270" s="233"/>
      <c r="AR270" s="234">
        <f>_xlfn.XLOOKUP(D270,'Modelling New'!$D:$D,'Modelling New'!$N:$N)</f>
        <v>130</v>
      </c>
      <c r="AS270" s="234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29">
        <f>Table13[[#This Row],[Date]]-DAY(Table13[[#This Row],[Date]])+1</f>
        <v>45992</v>
      </c>
      <c r="E271" s="9">
        <f t="shared" si="20"/>
        <v>31</v>
      </c>
      <c r="F271" s="199" t="str">
        <f>IFERROR(_xlfn.XLOOKUP($A271,Input_Raw!$A:$A,Input_Raw!$FC:$FC),"")</f>
        <v/>
      </c>
      <c r="G271" s="185" t="str">
        <f>IFERROR(_xlfn.XLOOKUP($A271,Input_Raw!$A:$A,Input_Raw!$CY:$CY),"")</f>
        <v/>
      </c>
      <c r="H271" s="185" t="str">
        <f>IFERROR(_xlfn.XLOOKUP($A271,Input_Raw!$A:$A,Input_Raw!$DA:$DA),"")</f>
        <v/>
      </c>
      <c r="I271" s="185" t="str">
        <f>IFERROR(_xlfn.XLOOKUP($A271,Input_Raw!$A:$A,Input_Raw!$CX:$CX),"")</f>
        <v/>
      </c>
      <c r="J271" s="185" t="str">
        <f>IFERROR(_xlfn.XLOOKUP($A271,Input_Raw!$A:$A,Input_Raw!$CZ:$CZ),"")</f>
        <v/>
      </c>
      <c r="K271" s="201" t="str">
        <f>IFERROR(_xlfn.XLOOKUP($A271,Input_Raw!$A:$A,Input_Raw!$DB:$DB),"")</f>
        <v/>
      </c>
      <c r="L271" s="201" t="str">
        <f>IFERROR(_xlfn.XLOOKUP($A271,Input_Raw!$A:$A,Input_Raw!$DC:$DC),"")</f>
        <v/>
      </c>
      <c r="M271" s="200" t="str">
        <f>IFERROR(_xlfn.XLOOKUP($A271,Input_Raw!$A:$A,Input_Raw!$DF:$DF),"")</f>
        <v/>
      </c>
      <c r="N271" s="200" t="str">
        <f>IFERROR(_xlfn.XLOOKUP($A271,Input_Raw!$A:$A,Input_Raw!$DG:$DG),"")</f>
        <v/>
      </c>
      <c r="O271" s="230" t="str">
        <f>IFERROR(1-(SUMIF(Plant_BD!$B:$B,$A271,Plant_BD!$AL:$AL)/($AA271+SUMIF(Plant_BD!$B:$B,$A271,Plant_BD!$AL:$AL))),"")</f>
        <v/>
      </c>
      <c r="P271" s="230"/>
      <c r="Q271" s="231" t="str">
        <f>IFERROR(1-(SUMIF(Grid_BD!$B:$B,$A271,Grid_BD!$V:$V)/($AA271+SUMIF(Grid_BD!$B:$B,$A271,Grid_BD!$V:$V))),"")</f>
        <v/>
      </c>
      <c r="R271" s="230" t="str">
        <f>IFERROR(1-(SUMIF(Grid_BD!$B:$B,$A271,Grid_BD!$V:$V)/($AA271+SUMIF(Grid_BD!$B:$B,$A271,Grid_BD!$V:$V))),"")</f>
        <v/>
      </c>
      <c r="S271" s="9"/>
      <c r="T271" s="231"/>
      <c r="U271" s="232" t="str">
        <f t="shared" si="21"/>
        <v/>
      </c>
      <c r="V271" s="232" t="str">
        <f>IFERROR(_xlfn.XLOOKUP($A271,Input_Raw!$A:$A,Input_Raw!$FG:$FG),"")</f>
        <v/>
      </c>
      <c r="W271" s="233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85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33">
        <f>IFERROR(_xlfn.XLOOKUP($D271,'Modelling New'!$D:$D,'Modelling New'!O:O),"")</f>
        <v>0.85944279883329133</v>
      </c>
      <c r="AF271" s="233">
        <f>IFERROR(_xlfn.XLOOKUP($D271,'Modelling New'!$D:$D,'Modelling New'!W:W),"")</f>
        <v>0.19083326662266092</v>
      </c>
      <c r="AG271" s="233">
        <f>IFERROR(_xlfn.XLOOKUP($D271,'Modelling New'!$D:$D,'Modelling New'!AE:AE),"")</f>
        <v>0.995</v>
      </c>
      <c r="AH271" s="233">
        <f>IFERROR(_xlfn.XLOOKUP($D271,'Modelling New'!$D:$D,'Modelling New'!AF:AF),"")</f>
        <v>0.995</v>
      </c>
      <c r="AI271" s="9"/>
      <c r="AJ271" s="9"/>
      <c r="AK271" s="256"/>
      <c r="AL271" s="256"/>
      <c r="AM271" s="256"/>
      <c r="AN271" s="230"/>
      <c r="AO271" s="233"/>
      <c r="AP271" s="233"/>
      <c r="AQ271" s="233"/>
      <c r="AR271" s="234">
        <f>_xlfn.XLOOKUP(D271,'Modelling New'!$D:$D,'Modelling New'!$N:$N)</f>
        <v>130</v>
      </c>
      <c r="AS271" s="234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29">
        <f>Table13[[#This Row],[Date]]-DAY(Table13[[#This Row],[Date]])+1</f>
        <v>45992</v>
      </c>
      <c r="E272" s="9">
        <f t="shared" si="20"/>
        <v>31</v>
      </c>
      <c r="F272" s="199" t="str">
        <f>IFERROR(_xlfn.XLOOKUP($A272,Input_Raw!$A:$A,Input_Raw!$FC:$FC),"")</f>
        <v/>
      </c>
      <c r="G272" s="200" t="str">
        <f>IFERROR(_xlfn.XLOOKUP($A272,Input_Raw!$A:$A,Input_Raw!$CY:$CY),"")</f>
        <v/>
      </c>
      <c r="H272" s="200" t="str">
        <f>IFERROR(_xlfn.XLOOKUP($A272,Input_Raw!$A:$A,Input_Raw!$DA:$DA),"")</f>
        <v/>
      </c>
      <c r="I272" s="200" t="str">
        <f>IFERROR(_xlfn.XLOOKUP($A272,Input_Raw!$A:$A,Input_Raw!$CX:$CX),"")</f>
        <v/>
      </c>
      <c r="J272" s="200" t="str">
        <f>IFERROR(_xlfn.XLOOKUP($A272,Input_Raw!$A:$A,Input_Raw!$CZ:$CZ),"")</f>
        <v/>
      </c>
      <c r="K272" s="201" t="str">
        <f>IFERROR(_xlfn.XLOOKUP($A272,Input_Raw!$A:$A,Input_Raw!$DB:$DB),"")</f>
        <v/>
      </c>
      <c r="L272" s="201" t="str">
        <f>IFERROR(_xlfn.XLOOKUP($A272,Input_Raw!$A:$A,Input_Raw!$DC:$DC),"")</f>
        <v/>
      </c>
      <c r="M272" s="200" t="str">
        <f>IFERROR(_xlfn.XLOOKUP($A272,Input_Raw!$A:$A,Input_Raw!$DF:$DF),"")</f>
        <v/>
      </c>
      <c r="N272" s="200" t="str">
        <f>IFERROR(_xlfn.XLOOKUP($A272,Input_Raw!$A:$A,Input_Raw!$DG:$DG),"")</f>
        <v/>
      </c>
      <c r="O272" s="230" t="str">
        <f>IFERROR(1-(SUMIF(Plant_BD!$B:$B,$A272,Plant_BD!$AL:$AL)/($AA272+SUMIF(Plant_BD!$B:$B,$A272,Plant_BD!$AL:$AL))),"")</f>
        <v/>
      </c>
      <c r="P272" s="230"/>
      <c r="Q272" s="231" t="str">
        <f>IFERROR(1-(SUMIF(Grid_BD!$B:$B,$A272,Grid_BD!$V:$V)/($AA272+SUMIF(Grid_BD!$B:$B,$A272,Grid_BD!$V:$V))),"")</f>
        <v/>
      </c>
      <c r="R272" s="230" t="str">
        <f>IFERROR(1-(SUMIF(Grid_BD!$B:$B,$A272,Grid_BD!$V:$V)/($AA272+SUMIF(Grid_BD!$B:$B,$A272,Grid_BD!$V:$V))),"")</f>
        <v/>
      </c>
      <c r="S272" s="9"/>
      <c r="T272" s="231"/>
      <c r="U272" s="232" t="str">
        <f t="shared" si="21"/>
        <v/>
      </c>
      <c r="V272" s="232" t="str">
        <f>IFERROR(_xlfn.XLOOKUP($A272,Input_Raw!$A:$A,Input_Raw!$FG:$FG),"")</f>
        <v/>
      </c>
      <c r="W272" s="233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85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33">
        <f>IFERROR(_xlfn.XLOOKUP($D272,'Modelling New'!$D:$D,'Modelling New'!O:O),"")</f>
        <v>0.85944279883329133</v>
      </c>
      <c r="AF272" s="233">
        <f>IFERROR(_xlfn.XLOOKUP($D272,'Modelling New'!$D:$D,'Modelling New'!W:W),"")</f>
        <v>0.19083326662266092</v>
      </c>
      <c r="AG272" s="233">
        <f>IFERROR(_xlfn.XLOOKUP($D272,'Modelling New'!$D:$D,'Modelling New'!AE:AE),"")</f>
        <v>0.995</v>
      </c>
      <c r="AH272" s="233">
        <f>IFERROR(_xlfn.XLOOKUP($D272,'Modelling New'!$D:$D,'Modelling New'!AF:AF),"")</f>
        <v>0.995</v>
      </c>
      <c r="AI272" s="9"/>
      <c r="AJ272" s="9"/>
      <c r="AK272" s="256"/>
      <c r="AL272" s="256"/>
      <c r="AM272" s="256"/>
      <c r="AN272" s="230"/>
      <c r="AO272" s="233"/>
      <c r="AP272" s="233"/>
      <c r="AQ272" s="233"/>
      <c r="AR272" s="234">
        <f>_xlfn.XLOOKUP(D272,'Modelling New'!$D:$D,'Modelling New'!$N:$N)</f>
        <v>130</v>
      </c>
      <c r="AS272" s="234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29">
        <f>Table13[[#This Row],[Date]]-DAY(Table13[[#This Row],[Date]])+1</f>
        <v>45992</v>
      </c>
      <c r="E273" s="9">
        <f t="shared" si="20"/>
        <v>31</v>
      </c>
      <c r="F273" s="199" t="str">
        <f>IFERROR(_xlfn.XLOOKUP($A273,Input_Raw!$A:$A,Input_Raw!$FC:$FC),"")</f>
        <v/>
      </c>
      <c r="G273" s="185" t="str">
        <f>IFERROR(_xlfn.XLOOKUP($A273,Input_Raw!$A:$A,Input_Raw!$CY:$CY),"")</f>
        <v/>
      </c>
      <c r="H273" s="185" t="str">
        <f>IFERROR(_xlfn.XLOOKUP($A273,Input_Raw!$A:$A,Input_Raw!$DA:$DA),"")</f>
        <v/>
      </c>
      <c r="I273" s="185" t="str">
        <f>IFERROR(_xlfn.XLOOKUP($A273,Input_Raw!$A:$A,Input_Raw!$CX:$CX),"")</f>
        <v/>
      </c>
      <c r="J273" s="185" t="str">
        <f>IFERROR(_xlfn.XLOOKUP($A273,Input_Raw!$A:$A,Input_Raw!$CZ:$CZ),"")</f>
        <v/>
      </c>
      <c r="K273" s="201" t="str">
        <f>IFERROR(_xlfn.XLOOKUP($A273,Input_Raw!$A:$A,Input_Raw!$DB:$DB),"")</f>
        <v/>
      </c>
      <c r="L273" s="201" t="str">
        <f>IFERROR(_xlfn.XLOOKUP($A273,Input_Raw!$A:$A,Input_Raw!$DC:$DC),"")</f>
        <v/>
      </c>
      <c r="M273" s="200" t="str">
        <f>IFERROR(_xlfn.XLOOKUP($A273,Input_Raw!$A:$A,Input_Raw!$DF:$DF),"")</f>
        <v/>
      </c>
      <c r="N273" s="200" t="str">
        <f>IFERROR(_xlfn.XLOOKUP($A273,Input_Raw!$A:$A,Input_Raw!$DG:$DG),"")</f>
        <v/>
      </c>
      <c r="O273" s="230" t="str">
        <f>IFERROR(1-(SUMIF(Plant_BD!$B:$B,$A273,Plant_BD!$AL:$AL)/($AA273+SUMIF(Plant_BD!$B:$B,$A273,Plant_BD!$AL:$AL))),"")</f>
        <v/>
      </c>
      <c r="P273" s="230"/>
      <c r="Q273" s="231" t="str">
        <f>IFERROR(1-(SUMIF(Grid_BD!$B:$B,$A273,Grid_BD!$V:$V)/($AA273+SUMIF(Grid_BD!$B:$B,$A273,Grid_BD!$V:$V))),"")</f>
        <v/>
      </c>
      <c r="R273" s="230" t="str">
        <f>IFERROR(1-(SUMIF(Grid_BD!$B:$B,$A273,Grid_BD!$V:$V)/($AA273+SUMIF(Grid_BD!$B:$B,$A273,Grid_BD!$V:$V))),"")</f>
        <v/>
      </c>
      <c r="S273" s="9"/>
      <c r="T273" s="231"/>
      <c r="U273" s="232" t="str">
        <f t="shared" si="21"/>
        <v/>
      </c>
      <c r="V273" s="232" t="str">
        <f>IFERROR(_xlfn.XLOOKUP($A273,Input_Raw!$A:$A,Input_Raw!$FG:$FG),"")</f>
        <v/>
      </c>
      <c r="W273" s="233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85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33">
        <f>IFERROR(_xlfn.XLOOKUP($D273,'Modelling New'!$D:$D,'Modelling New'!O:O),"")</f>
        <v>0.85944279883329133</v>
      </c>
      <c r="AF273" s="233">
        <f>IFERROR(_xlfn.XLOOKUP($D273,'Modelling New'!$D:$D,'Modelling New'!W:W),"")</f>
        <v>0.19083326662266092</v>
      </c>
      <c r="AG273" s="233">
        <f>IFERROR(_xlfn.XLOOKUP($D273,'Modelling New'!$D:$D,'Modelling New'!AE:AE),"")</f>
        <v>0.995</v>
      </c>
      <c r="AH273" s="233">
        <f>IFERROR(_xlfn.XLOOKUP($D273,'Modelling New'!$D:$D,'Modelling New'!AF:AF),"")</f>
        <v>0.995</v>
      </c>
      <c r="AI273" s="9"/>
      <c r="AJ273" s="9"/>
      <c r="AK273" s="256"/>
      <c r="AL273" s="256"/>
      <c r="AM273" s="256"/>
      <c r="AN273" s="230"/>
      <c r="AO273" s="233"/>
      <c r="AP273" s="233"/>
      <c r="AQ273" s="233"/>
      <c r="AR273" s="234">
        <f>_xlfn.XLOOKUP(D273,'Modelling New'!$D:$D,'Modelling New'!$N:$N)</f>
        <v>130</v>
      </c>
      <c r="AS273" s="234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29">
        <f>Table13[[#This Row],[Date]]-DAY(Table13[[#This Row],[Date]])+1</f>
        <v>45992</v>
      </c>
      <c r="E274" s="9">
        <f t="shared" si="20"/>
        <v>31</v>
      </c>
      <c r="F274" s="199" t="str">
        <f>IFERROR(_xlfn.XLOOKUP($A274,Input_Raw!$A:$A,Input_Raw!$FC:$FC),"")</f>
        <v/>
      </c>
      <c r="G274" s="200" t="str">
        <f>IFERROR(_xlfn.XLOOKUP($A274,Input_Raw!$A:$A,Input_Raw!$CY:$CY),"")</f>
        <v/>
      </c>
      <c r="H274" s="200" t="str">
        <f>IFERROR(_xlfn.XLOOKUP($A274,Input_Raw!$A:$A,Input_Raw!$DA:$DA),"")</f>
        <v/>
      </c>
      <c r="I274" s="200" t="str">
        <f>IFERROR(_xlfn.XLOOKUP($A274,Input_Raw!$A:$A,Input_Raw!$CX:$CX),"")</f>
        <v/>
      </c>
      <c r="J274" s="200" t="str">
        <f>IFERROR(_xlfn.XLOOKUP($A274,Input_Raw!$A:$A,Input_Raw!$CZ:$CZ),"")</f>
        <v/>
      </c>
      <c r="K274" s="201" t="str">
        <f>IFERROR(_xlfn.XLOOKUP($A274,Input_Raw!$A:$A,Input_Raw!$DB:$DB),"")</f>
        <v/>
      </c>
      <c r="L274" s="201" t="str">
        <f>IFERROR(_xlfn.XLOOKUP($A274,Input_Raw!$A:$A,Input_Raw!$DC:$DC),"")</f>
        <v/>
      </c>
      <c r="M274" s="200" t="str">
        <f>IFERROR(_xlfn.XLOOKUP($A274,Input_Raw!$A:$A,Input_Raw!$DF:$DF),"")</f>
        <v/>
      </c>
      <c r="N274" s="200" t="str">
        <f>IFERROR(_xlfn.XLOOKUP($A274,Input_Raw!$A:$A,Input_Raw!$DG:$DG),"")</f>
        <v/>
      </c>
      <c r="O274" s="230" t="str">
        <f>IFERROR(1-(SUMIF(Plant_BD!$B:$B,$A274,Plant_BD!$AL:$AL)/($AA274+SUMIF(Plant_BD!$B:$B,$A274,Plant_BD!$AL:$AL))),"")</f>
        <v/>
      </c>
      <c r="P274" s="230"/>
      <c r="Q274" s="231" t="str">
        <f>IFERROR(1-(SUMIF(Grid_BD!$B:$B,$A274,Grid_BD!$V:$V)/($AA274+SUMIF(Grid_BD!$B:$B,$A274,Grid_BD!$V:$V))),"")</f>
        <v/>
      </c>
      <c r="R274" s="230" t="str">
        <f>IFERROR(1-(SUMIF(Grid_BD!$B:$B,$A274,Grid_BD!$V:$V)/($AA274+SUMIF(Grid_BD!$B:$B,$A274,Grid_BD!$V:$V))),"")</f>
        <v/>
      </c>
      <c r="S274" s="9"/>
      <c r="T274" s="231"/>
      <c r="U274" s="232" t="str">
        <f t="shared" si="21"/>
        <v/>
      </c>
      <c r="V274" s="232" t="str">
        <f>IFERROR(_xlfn.XLOOKUP($A274,Input_Raw!$A:$A,Input_Raw!$FG:$FG),"")</f>
        <v/>
      </c>
      <c r="W274" s="233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85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33">
        <f>IFERROR(_xlfn.XLOOKUP($D274,'Modelling New'!$D:$D,'Modelling New'!O:O),"")</f>
        <v>0.85944279883329133</v>
      </c>
      <c r="AF274" s="233">
        <f>IFERROR(_xlfn.XLOOKUP($D274,'Modelling New'!$D:$D,'Modelling New'!W:W),"")</f>
        <v>0.19083326662266092</v>
      </c>
      <c r="AG274" s="233">
        <f>IFERROR(_xlfn.XLOOKUP($D274,'Modelling New'!$D:$D,'Modelling New'!AE:AE),"")</f>
        <v>0.995</v>
      </c>
      <c r="AH274" s="233">
        <f>IFERROR(_xlfn.XLOOKUP($D274,'Modelling New'!$D:$D,'Modelling New'!AF:AF),"")</f>
        <v>0.995</v>
      </c>
      <c r="AI274" s="9"/>
      <c r="AJ274" s="9"/>
      <c r="AK274" s="256"/>
      <c r="AL274" s="256"/>
      <c r="AM274" s="256"/>
      <c r="AN274" s="230"/>
      <c r="AO274" s="233"/>
      <c r="AP274" s="233"/>
      <c r="AQ274" s="233"/>
      <c r="AR274" s="234">
        <f>_xlfn.XLOOKUP(D274,'Modelling New'!$D:$D,'Modelling New'!$N:$N)</f>
        <v>130</v>
      </c>
      <c r="AS274" s="234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29">
        <f>Table13[[#This Row],[Date]]-DAY(Table13[[#This Row],[Date]])+1</f>
        <v>45992</v>
      </c>
      <c r="E275" s="9">
        <f t="shared" si="20"/>
        <v>31</v>
      </c>
      <c r="F275" s="199" t="str">
        <f>IFERROR(_xlfn.XLOOKUP($A275,Input_Raw!$A:$A,Input_Raw!$FC:$FC),"")</f>
        <v/>
      </c>
      <c r="G275" s="185" t="str">
        <f>IFERROR(_xlfn.XLOOKUP($A275,Input_Raw!$A:$A,Input_Raw!$CY:$CY),"")</f>
        <v/>
      </c>
      <c r="H275" s="185" t="str">
        <f>IFERROR(_xlfn.XLOOKUP($A275,Input_Raw!$A:$A,Input_Raw!$DA:$DA),"")</f>
        <v/>
      </c>
      <c r="I275" s="185" t="str">
        <f>IFERROR(_xlfn.XLOOKUP($A275,Input_Raw!$A:$A,Input_Raw!$CX:$CX),"")</f>
        <v/>
      </c>
      <c r="J275" s="185" t="str">
        <f>IFERROR(_xlfn.XLOOKUP($A275,Input_Raw!$A:$A,Input_Raw!$CZ:$CZ),"")</f>
        <v/>
      </c>
      <c r="K275" s="201" t="str">
        <f>IFERROR(_xlfn.XLOOKUP($A275,Input_Raw!$A:$A,Input_Raw!$DB:$DB),"")</f>
        <v/>
      </c>
      <c r="L275" s="201" t="str">
        <f>IFERROR(_xlfn.XLOOKUP($A275,Input_Raw!$A:$A,Input_Raw!$DC:$DC),"")</f>
        <v/>
      </c>
      <c r="M275" s="200" t="str">
        <f>IFERROR(_xlfn.XLOOKUP($A275,Input_Raw!$A:$A,Input_Raw!$DF:$DF),"")</f>
        <v/>
      </c>
      <c r="N275" s="200" t="str">
        <f>IFERROR(_xlfn.XLOOKUP($A275,Input_Raw!$A:$A,Input_Raw!$DG:$DG),"")</f>
        <v/>
      </c>
      <c r="O275" s="230" t="str">
        <f>IFERROR(1-(SUMIF(Plant_BD!$B:$B,$A275,Plant_BD!$AL:$AL)/($AA275+SUMIF(Plant_BD!$B:$B,$A275,Plant_BD!$AL:$AL))),"")</f>
        <v/>
      </c>
      <c r="P275" s="230"/>
      <c r="Q275" s="231" t="str">
        <f>IFERROR(1-(SUMIF(Grid_BD!$B:$B,$A275,Grid_BD!$V:$V)/($AA275+SUMIF(Grid_BD!$B:$B,$A275,Grid_BD!$V:$V))),"")</f>
        <v/>
      </c>
      <c r="R275" s="230" t="str">
        <f>IFERROR(1-(SUMIF(Grid_BD!$B:$B,$A275,Grid_BD!$V:$V)/($AA275+SUMIF(Grid_BD!$B:$B,$A275,Grid_BD!$V:$V))),"")</f>
        <v/>
      </c>
      <c r="S275" s="9"/>
      <c r="T275" s="231"/>
      <c r="U275" s="232" t="str">
        <f t="shared" si="21"/>
        <v/>
      </c>
      <c r="V275" s="232" t="str">
        <f>IFERROR(_xlfn.XLOOKUP($A275,Input_Raw!$A:$A,Input_Raw!$FG:$FG),"")</f>
        <v/>
      </c>
      <c r="W275" s="233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85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33">
        <f>IFERROR(_xlfn.XLOOKUP($D275,'Modelling New'!$D:$D,'Modelling New'!O:O),"")</f>
        <v>0.85944279883329133</v>
      </c>
      <c r="AF275" s="233">
        <f>IFERROR(_xlfn.XLOOKUP($D275,'Modelling New'!$D:$D,'Modelling New'!W:W),"")</f>
        <v>0.19083326662266092</v>
      </c>
      <c r="AG275" s="233">
        <f>IFERROR(_xlfn.XLOOKUP($D275,'Modelling New'!$D:$D,'Modelling New'!AE:AE),"")</f>
        <v>0.995</v>
      </c>
      <c r="AH275" s="233">
        <f>IFERROR(_xlfn.XLOOKUP($D275,'Modelling New'!$D:$D,'Modelling New'!AF:AF),"")</f>
        <v>0.995</v>
      </c>
      <c r="AI275" s="9"/>
      <c r="AJ275" s="9"/>
      <c r="AK275" s="256"/>
      <c r="AL275" s="256"/>
      <c r="AM275" s="256"/>
      <c r="AN275" s="230"/>
      <c r="AO275" s="233"/>
      <c r="AP275" s="233"/>
      <c r="AQ275" s="233"/>
      <c r="AR275" s="234">
        <f>_xlfn.XLOOKUP(D275,'Modelling New'!$D:$D,'Modelling New'!$N:$N)</f>
        <v>130</v>
      </c>
      <c r="AS275" s="234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29">
        <f>Table13[[#This Row],[Date]]-DAY(Table13[[#This Row],[Date]])+1</f>
        <v>45992</v>
      </c>
      <c r="E276" s="9">
        <f t="shared" si="20"/>
        <v>31</v>
      </c>
      <c r="F276" s="199" t="str">
        <f>IFERROR(_xlfn.XLOOKUP($A276,Input_Raw!$A:$A,Input_Raw!$FC:$FC),"")</f>
        <v/>
      </c>
      <c r="G276" s="200" t="str">
        <f>IFERROR(_xlfn.XLOOKUP($A276,Input_Raw!$A:$A,Input_Raw!$CY:$CY),"")</f>
        <v/>
      </c>
      <c r="H276" s="200" t="str">
        <f>IFERROR(_xlfn.XLOOKUP($A276,Input_Raw!$A:$A,Input_Raw!$DA:$DA),"")</f>
        <v/>
      </c>
      <c r="I276" s="200" t="str">
        <f>IFERROR(_xlfn.XLOOKUP($A276,Input_Raw!$A:$A,Input_Raw!$CX:$CX),"")</f>
        <v/>
      </c>
      <c r="J276" s="200" t="str">
        <f>IFERROR(_xlfn.XLOOKUP($A276,Input_Raw!$A:$A,Input_Raw!$CZ:$CZ),"")</f>
        <v/>
      </c>
      <c r="K276" s="201" t="str">
        <f>IFERROR(_xlfn.XLOOKUP($A276,Input_Raw!$A:$A,Input_Raw!$DB:$DB),"")</f>
        <v/>
      </c>
      <c r="L276" s="201" t="str">
        <f>IFERROR(_xlfn.XLOOKUP($A276,Input_Raw!$A:$A,Input_Raw!$DC:$DC),"")</f>
        <v/>
      </c>
      <c r="M276" s="200" t="str">
        <f>IFERROR(_xlfn.XLOOKUP($A276,Input_Raw!$A:$A,Input_Raw!$DF:$DF),"")</f>
        <v/>
      </c>
      <c r="N276" s="200" t="str">
        <f>IFERROR(_xlfn.XLOOKUP($A276,Input_Raw!$A:$A,Input_Raw!$DG:$DG),"")</f>
        <v/>
      </c>
      <c r="O276" s="230" t="str">
        <f>IFERROR(1-(SUMIF(Plant_BD!$B:$B,$A276,Plant_BD!$AL:$AL)/($AA276+SUMIF(Plant_BD!$B:$B,$A276,Plant_BD!$AL:$AL))),"")</f>
        <v/>
      </c>
      <c r="P276" s="230"/>
      <c r="Q276" s="231" t="str">
        <f>IFERROR(1-(SUMIF(Grid_BD!$B:$B,$A276,Grid_BD!$V:$V)/($AA276+SUMIF(Grid_BD!$B:$B,$A276,Grid_BD!$V:$V))),"")</f>
        <v/>
      </c>
      <c r="R276" s="230" t="str">
        <f>IFERROR(1-(SUMIF(Grid_BD!$B:$B,$A276,Grid_BD!$V:$V)/($AA276+SUMIF(Grid_BD!$B:$B,$A276,Grid_BD!$V:$V))),"")</f>
        <v/>
      </c>
      <c r="S276" s="9"/>
      <c r="T276" s="231"/>
      <c r="U276" s="232" t="str">
        <f t="shared" si="21"/>
        <v/>
      </c>
      <c r="V276" s="232" t="str">
        <f>IFERROR(_xlfn.XLOOKUP($A276,Input_Raw!$A:$A,Input_Raw!$FG:$FG),"")</f>
        <v/>
      </c>
      <c r="W276" s="233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85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33">
        <f>IFERROR(_xlfn.XLOOKUP($D276,'Modelling New'!$D:$D,'Modelling New'!O:O),"")</f>
        <v>0.85944279883329133</v>
      </c>
      <c r="AF276" s="233">
        <f>IFERROR(_xlfn.XLOOKUP($D276,'Modelling New'!$D:$D,'Modelling New'!W:W),"")</f>
        <v>0.19083326662266092</v>
      </c>
      <c r="AG276" s="233">
        <f>IFERROR(_xlfn.XLOOKUP($D276,'Modelling New'!$D:$D,'Modelling New'!AE:AE),"")</f>
        <v>0.995</v>
      </c>
      <c r="AH276" s="233">
        <f>IFERROR(_xlfn.XLOOKUP($D276,'Modelling New'!$D:$D,'Modelling New'!AF:AF),"")</f>
        <v>0.995</v>
      </c>
      <c r="AI276" s="9"/>
      <c r="AJ276" s="9"/>
      <c r="AK276" s="256"/>
      <c r="AL276" s="256"/>
      <c r="AM276" s="256"/>
      <c r="AN276" s="230"/>
      <c r="AO276" s="233"/>
      <c r="AP276" s="233"/>
      <c r="AQ276" s="233"/>
      <c r="AR276" s="234">
        <f>_xlfn.XLOOKUP(D276,'Modelling New'!$D:$D,'Modelling New'!$N:$N)</f>
        <v>130</v>
      </c>
      <c r="AS276" s="234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29">
        <f>Table13[[#This Row],[Date]]-DAY(Table13[[#This Row],[Date]])+1</f>
        <v>45992</v>
      </c>
      <c r="E277" s="9">
        <f t="shared" si="20"/>
        <v>31</v>
      </c>
      <c r="F277" s="199" t="str">
        <f>IFERROR(_xlfn.XLOOKUP($A277,Input_Raw!$A:$A,Input_Raw!$FC:$FC),"")</f>
        <v/>
      </c>
      <c r="G277" s="185" t="str">
        <f>IFERROR(_xlfn.XLOOKUP($A277,Input_Raw!$A:$A,Input_Raw!$CY:$CY),"")</f>
        <v/>
      </c>
      <c r="H277" s="185" t="str">
        <f>IFERROR(_xlfn.XLOOKUP($A277,Input_Raw!$A:$A,Input_Raw!$DA:$DA),"")</f>
        <v/>
      </c>
      <c r="I277" s="185" t="str">
        <f>IFERROR(_xlfn.XLOOKUP($A277,Input_Raw!$A:$A,Input_Raw!$CX:$CX),"")</f>
        <v/>
      </c>
      <c r="J277" s="185" t="str">
        <f>IFERROR(_xlfn.XLOOKUP($A277,Input_Raw!$A:$A,Input_Raw!$CZ:$CZ),"")</f>
        <v/>
      </c>
      <c r="K277" s="201" t="str">
        <f>IFERROR(_xlfn.XLOOKUP($A277,Input_Raw!$A:$A,Input_Raw!$DB:$DB),"")</f>
        <v/>
      </c>
      <c r="L277" s="201" t="str">
        <f>IFERROR(_xlfn.XLOOKUP($A277,Input_Raw!$A:$A,Input_Raw!$DC:$DC),"")</f>
        <v/>
      </c>
      <c r="M277" s="200" t="str">
        <f>IFERROR(_xlfn.XLOOKUP($A277,Input_Raw!$A:$A,Input_Raw!$DF:$DF),"")</f>
        <v/>
      </c>
      <c r="N277" s="200" t="str">
        <f>IFERROR(_xlfn.XLOOKUP($A277,Input_Raw!$A:$A,Input_Raw!$DG:$DG),"")</f>
        <v/>
      </c>
      <c r="O277" s="230" t="str">
        <f>IFERROR(1-(SUMIF(Plant_BD!$B:$B,$A277,Plant_BD!$AL:$AL)/($AA277+SUMIF(Plant_BD!$B:$B,$A277,Plant_BD!$AL:$AL))),"")</f>
        <v/>
      </c>
      <c r="P277" s="230"/>
      <c r="Q277" s="231" t="str">
        <f>IFERROR(1-(SUMIF(Grid_BD!$B:$B,$A277,Grid_BD!$V:$V)/($AA277+SUMIF(Grid_BD!$B:$B,$A277,Grid_BD!$V:$V))),"")</f>
        <v/>
      </c>
      <c r="R277" s="230" t="str">
        <f>IFERROR(1-(SUMIF(Grid_BD!$B:$B,$A277,Grid_BD!$V:$V)/($AA277+SUMIF(Grid_BD!$B:$B,$A277,Grid_BD!$V:$V))),"")</f>
        <v/>
      </c>
      <c r="S277" s="9"/>
      <c r="T277" s="231"/>
      <c r="U277" s="232" t="str">
        <f t="shared" si="21"/>
        <v/>
      </c>
      <c r="V277" s="232" t="str">
        <f>IFERROR(_xlfn.XLOOKUP($A277,Input_Raw!$A:$A,Input_Raw!$FG:$FG),"")</f>
        <v/>
      </c>
      <c r="W277" s="233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85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33">
        <f>IFERROR(_xlfn.XLOOKUP($D277,'Modelling New'!$D:$D,'Modelling New'!O:O),"")</f>
        <v>0.85944279883329133</v>
      </c>
      <c r="AF277" s="233">
        <f>IFERROR(_xlfn.XLOOKUP($D277,'Modelling New'!$D:$D,'Modelling New'!W:W),"")</f>
        <v>0.19083326662266092</v>
      </c>
      <c r="AG277" s="233">
        <f>IFERROR(_xlfn.XLOOKUP($D277,'Modelling New'!$D:$D,'Modelling New'!AE:AE),"")</f>
        <v>0.995</v>
      </c>
      <c r="AH277" s="233">
        <f>IFERROR(_xlfn.XLOOKUP($D277,'Modelling New'!$D:$D,'Modelling New'!AF:AF),"")</f>
        <v>0.995</v>
      </c>
      <c r="AI277" s="9"/>
      <c r="AJ277" s="9"/>
      <c r="AK277" s="256"/>
      <c r="AL277" s="256"/>
      <c r="AM277" s="256"/>
      <c r="AN277" s="230"/>
      <c r="AO277" s="233"/>
      <c r="AP277" s="233"/>
      <c r="AQ277" s="233"/>
      <c r="AR277" s="234">
        <f>_xlfn.XLOOKUP(D277,'Modelling New'!$D:$D,'Modelling New'!$N:$N)</f>
        <v>130</v>
      </c>
      <c r="AS277" s="234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29">
        <f>Table13[[#This Row],[Date]]-DAY(Table13[[#This Row],[Date]])+1</f>
        <v>45992</v>
      </c>
      <c r="E278" s="9">
        <f t="shared" si="20"/>
        <v>31</v>
      </c>
      <c r="F278" s="199" t="str">
        <f>IFERROR(_xlfn.XLOOKUP($A278,Input_Raw!$A:$A,Input_Raw!$FC:$FC),"")</f>
        <v/>
      </c>
      <c r="G278" s="200" t="str">
        <f>IFERROR(_xlfn.XLOOKUP($A278,Input_Raw!$A:$A,Input_Raw!$CY:$CY),"")</f>
        <v/>
      </c>
      <c r="H278" s="200" t="str">
        <f>IFERROR(_xlfn.XLOOKUP($A278,Input_Raw!$A:$A,Input_Raw!$DA:$DA),"")</f>
        <v/>
      </c>
      <c r="I278" s="200" t="str">
        <f>IFERROR(_xlfn.XLOOKUP($A278,Input_Raw!$A:$A,Input_Raw!$CX:$CX),"")</f>
        <v/>
      </c>
      <c r="J278" s="200" t="str">
        <f>IFERROR(_xlfn.XLOOKUP($A278,Input_Raw!$A:$A,Input_Raw!$CZ:$CZ),"")</f>
        <v/>
      </c>
      <c r="K278" s="201" t="str">
        <f>IFERROR(_xlfn.XLOOKUP($A278,Input_Raw!$A:$A,Input_Raw!$DB:$DB),"")</f>
        <v/>
      </c>
      <c r="L278" s="201" t="str">
        <f>IFERROR(_xlfn.XLOOKUP($A278,Input_Raw!$A:$A,Input_Raw!$DC:$DC),"")</f>
        <v/>
      </c>
      <c r="M278" s="200" t="str">
        <f>IFERROR(_xlfn.XLOOKUP($A278,Input_Raw!$A:$A,Input_Raw!$DF:$DF),"")</f>
        <v/>
      </c>
      <c r="N278" s="200" t="str">
        <f>IFERROR(_xlfn.XLOOKUP($A278,Input_Raw!$A:$A,Input_Raw!$DG:$DG),"")</f>
        <v/>
      </c>
      <c r="O278" s="230" t="str">
        <f>IFERROR(1-(SUMIF(Plant_BD!$B:$B,$A278,Plant_BD!$AL:$AL)/($AA278+SUMIF(Plant_BD!$B:$B,$A278,Plant_BD!$AL:$AL))),"")</f>
        <v/>
      </c>
      <c r="P278" s="230"/>
      <c r="Q278" s="231" t="str">
        <f>IFERROR(1-(SUMIF(Grid_BD!$B:$B,$A278,Grid_BD!$V:$V)/($AA278+SUMIF(Grid_BD!$B:$B,$A278,Grid_BD!$V:$V))),"")</f>
        <v/>
      </c>
      <c r="R278" s="230" t="str">
        <f>IFERROR(1-(SUMIF(Grid_BD!$B:$B,$A278,Grid_BD!$V:$V)/($AA278+SUMIF(Grid_BD!$B:$B,$A278,Grid_BD!$V:$V))),"")</f>
        <v/>
      </c>
      <c r="S278" s="9"/>
      <c r="T278" s="231"/>
      <c r="U278" s="232" t="str">
        <f t="shared" si="21"/>
        <v/>
      </c>
      <c r="V278" s="232" t="str">
        <f>IFERROR(_xlfn.XLOOKUP($A278,Input_Raw!$A:$A,Input_Raw!$FG:$FG),"")</f>
        <v/>
      </c>
      <c r="W278" s="233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85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33">
        <f>IFERROR(_xlfn.XLOOKUP($D278,'Modelling New'!$D:$D,'Modelling New'!O:O),"")</f>
        <v>0.85944279883329133</v>
      </c>
      <c r="AF278" s="233">
        <f>IFERROR(_xlfn.XLOOKUP($D278,'Modelling New'!$D:$D,'Modelling New'!W:W),"")</f>
        <v>0.19083326662266092</v>
      </c>
      <c r="AG278" s="233">
        <f>IFERROR(_xlfn.XLOOKUP($D278,'Modelling New'!$D:$D,'Modelling New'!AE:AE),"")</f>
        <v>0.995</v>
      </c>
      <c r="AH278" s="233">
        <f>IFERROR(_xlfn.XLOOKUP($D278,'Modelling New'!$D:$D,'Modelling New'!AF:AF),"")</f>
        <v>0.995</v>
      </c>
      <c r="AI278" s="9"/>
      <c r="AJ278" s="9"/>
      <c r="AK278" s="256"/>
      <c r="AL278" s="256"/>
      <c r="AM278" s="256"/>
      <c r="AN278" s="230"/>
      <c r="AO278" s="233"/>
      <c r="AP278" s="233"/>
      <c r="AQ278" s="233"/>
      <c r="AR278" s="234">
        <f>_xlfn.XLOOKUP(D278,'Modelling New'!$D:$D,'Modelling New'!$N:$N)</f>
        <v>130</v>
      </c>
      <c r="AS278" s="234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29">
        <f>Table13[[#This Row],[Date]]-DAY(Table13[[#This Row],[Date]])+1</f>
        <v>45992</v>
      </c>
      <c r="E279" s="9">
        <f t="shared" si="20"/>
        <v>31</v>
      </c>
      <c r="F279" s="199" t="str">
        <f>IFERROR(_xlfn.XLOOKUP($A279,Input_Raw!$A:$A,Input_Raw!$FC:$FC),"")</f>
        <v/>
      </c>
      <c r="G279" s="185" t="str">
        <f>IFERROR(_xlfn.XLOOKUP($A279,Input_Raw!$A:$A,Input_Raw!$CY:$CY),"")</f>
        <v/>
      </c>
      <c r="H279" s="185" t="str">
        <f>IFERROR(_xlfn.XLOOKUP($A279,Input_Raw!$A:$A,Input_Raw!$DA:$DA),"")</f>
        <v/>
      </c>
      <c r="I279" s="185" t="str">
        <f>IFERROR(_xlfn.XLOOKUP($A279,Input_Raw!$A:$A,Input_Raw!$CX:$CX),"")</f>
        <v/>
      </c>
      <c r="J279" s="185" t="str">
        <f>IFERROR(_xlfn.XLOOKUP($A279,Input_Raw!$A:$A,Input_Raw!$CZ:$CZ),"")</f>
        <v/>
      </c>
      <c r="K279" s="201" t="str">
        <f>IFERROR(_xlfn.XLOOKUP($A279,Input_Raw!$A:$A,Input_Raw!$DB:$DB),"")</f>
        <v/>
      </c>
      <c r="L279" s="201" t="str">
        <f>IFERROR(_xlfn.XLOOKUP($A279,Input_Raw!$A:$A,Input_Raw!$DC:$DC),"")</f>
        <v/>
      </c>
      <c r="M279" s="200" t="str">
        <f>IFERROR(_xlfn.XLOOKUP($A279,Input_Raw!$A:$A,Input_Raw!$DF:$DF),"")</f>
        <v/>
      </c>
      <c r="N279" s="200" t="str">
        <f>IFERROR(_xlfn.XLOOKUP($A279,Input_Raw!$A:$A,Input_Raw!$DG:$DG),"")</f>
        <v/>
      </c>
      <c r="O279" s="230" t="str">
        <f>IFERROR(1-(SUMIF(Plant_BD!$B:$B,$A279,Plant_BD!$AL:$AL)/($AA279+SUMIF(Plant_BD!$B:$B,$A279,Plant_BD!$AL:$AL))),"")</f>
        <v/>
      </c>
      <c r="P279" s="230"/>
      <c r="Q279" s="231" t="str">
        <f>IFERROR(1-(SUMIF(Grid_BD!$B:$B,$A279,Grid_BD!$V:$V)/($AA279+SUMIF(Grid_BD!$B:$B,$A279,Grid_BD!$V:$V))),"")</f>
        <v/>
      </c>
      <c r="R279" s="230" t="str">
        <f>IFERROR(1-(SUMIF(Grid_BD!$B:$B,$A279,Grid_BD!$V:$V)/($AA279+SUMIF(Grid_BD!$B:$B,$A279,Grid_BD!$V:$V))),"")</f>
        <v/>
      </c>
      <c r="S279" s="9"/>
      <c r="T279" s="231"/>
      <c r="U279" s="232" t="str">
        <f t="shared" si="21"/>
        <v/>
      </c>
      <c r="V279" s="232" t="str">
        <f>IFERROR(_xlfn.XLOOKUP($A279,Input_Raw!$A:$A,Input_Raw!$FG:$FG),"")</f>
        <v/>
      </c>
      <c r="W279" s="233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85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33">
        <f>IFERROR(_xlfn.XLOOKUP($D279,'Modelling New'!$D:$D,'Modelling New'!O:O),"")</f>
        <v>0.85944279883329133</v>
      </c>
      <c r="AF279" s="233">
        <f>IFERROR(_xlfn.XLOOKUP($D279,'Modelling New'!$D:$D,'Modelling New'!W:W),"")</f>
        <v>0.19083326662266092</v>
      </c>
      <c r="AG279" s="233">
        <f>IFERROR(_xlfn.XLOOKUP($D279,'Modelling New'!$D:$D,'Modelling New'!AE:AE),"")</f>
        <v>0.995</v>
      </c>
      <c r="AH279" s="233">
        <f>IFERROR(_xlfn.XLOOKUP($D279,'Modelling New'!$D:$D,'Modelling New'!AF:AF),"")</f>
        <v>0.995</v>
      </c>
      <c r="AI279" s="9"/>
      <c r="AJ279" s="9"/>
      <c r="AK279" s="256"/>
      <c r="AL279" s="256"/>
      <c r="AM279" s="256"/>
      <c r="AN279" s="230"/>
      <c r="AO279" s="233"/>
      <c r="AP279" s="233"/>
      <c r="AQ279" s="233"/>
      <c r="AR279" s="234">
        <f>_xlfn.XLOOKUP(D279,'Modelling New'!$D:$D,'Modelling New'!$N:$N)</f>
        <v>130</v>
      </c>
      <c r="AS279" s="234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29">
        <f>Table13[[#This Row],[Date]]-DAY(Table13[[#This Row],[Date]])+1</f>
        <v>46023</v>
      </c>
      <c r="E280" s="9">
        <f t="shared" si="20"/>
        <v>31</v>
      </c>
      <c r="F280" s="199" t="str">
        <f>IFERROR(_xlfn.XLOOKUP($A280,Input_Raw!$A:$A,Input_Raw!$FC:$FC),"")</f>
        <v/>
      </c>
      <c r="G280" s="200" t="str">
        <f>IFERROR(_xlfn.XLOOKUP($A280,Input_Raw!$A:$A,Input_Raw!$CY:$CY),"")</f>
        <v/>
      </c>
      <c r="H280" s="200" t="str">
        <f>IFERROR(_xlfn.XLOOKUP($A280,Input_Raw!$A:$A,Input_Raw!$DA:$DA),"")</f>
        <v/>
      </c>
      <c r="I280" s="200" t="str">
        <f>IFERROR(_xlfn.XLOOKUP($A280,Input_Raw!$A:$A,Input_Raw!$CX:$CX),"")</f>
        <v/>
      </c>
      <c r="J280" s="200" t="str">
        <f>IFERROR(_xlfn.XLOOKUP($A280,Input_Raw!$A:$A,Input_Raw!$CZ:$CZ),"")</f>
        <v/>
      </c>
      <c r="K280" s="201" t="str">
        <f>IFERROR(_xlfn.XLOOKUP($A280,Input_Raw!$A:$A,Input_Raw!$DB:$DB),"")</f>
        <v/>
      </c>
      <c r="L280" s="201" t="str">
        <f>IFERROR(_xlfn.XLOOKUP($A280,Input_Raw!$A:$A,Input_Raw!$DC:$DC),"")</f>
        <v/>
      </c>
      <c r="M280" s="200" t="str">
        <f>IFERROR(_xlfn.XLOOKUP($A280,Input_Raw!$A:$A,Input_Raw!$DF:$DF),"")</f>
        <v/>
      </c>
      <c r="N280" s="200" t="str">
        <f>IFERROR(_xlfn.XLOOKUP($A280,Input_Raw!$A:$A,Input_Raw!$DG:$DG),"")</f>
        <v/>
      </c>
      <c r="O280" s="230" t="str">
        <f>IFERROR(1-(SUMIF(Plant_BD!$B:$B,$A280,Plant_BD!$AL:$AL)/($AA280+SUMIF(Plant_BD!$B:$B,$A280,Plant_BD!$AL:$AL))),"")</f>
        <v/>
      </c>
      <c r="P280" s="230"/>
      <c r="Q280" s="231" t="str">
        <f>IFERROR(1-(SUMIF(Grid_BD!$B:$B,$A280,Grid_BD!$V:$V)/($AA280+SUMIF(Grid_BD!$B:$B,$A280,Grid_BD!$V:$V))),"")</f>
        <v/>
      </c>
      <c r="R280" s="230" t="str">
        <f>IFERROR(1-(SUMIF(Grid_BD!$B:$B,$A280,Grid_BD!$V:$V)/($AA280+SUMIF(Grid_BD!$B:$B,$A280,Grid_BD!$V:$V))),"")</f>
        <v/>
      </c>
      <c r="S280" s="9"/>
      <c r="T280" s="231"/>
      <c r="U280" s="232" t="str">
        <f t="shared" si="21"/>
        <v/>
      </c>
      <c r="V280" s="232" t="str">
        <f>IFERROR(_xlfn.XLOOKUP($A280,Input_Raw!$A:$A,Input_Raw!$FG:$FG),"")</f>
        <v/>
      </c>
      <c r="W280" s="233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85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33">
        <f>IFERROR(_xlfn.XLOOKUP($D280,'Modelling New'!$D:$D,'Modelling New'!O:O),"")</f>
        <v>0.85614594057129279</v>
      </c>
      <c r="AF280" s="233">
        <f>IFERROR(_xlfn.XLOOKUP($D280,'Modelling New'!$D:$D,'Modelling New'!W:W),"")</f>
        <v>0.19677547827646649</v>
      </c>
      <c r="AG280" s="233">
        <f>IFERROR(_xlfn.XLOOKUP($D280,'Modelling New'!$D:$D,'Modelling New'!AE:AE),"")</f>
        <v>0.995</v>
      </c>
      <c r="AH280" s="233">
        <f>IFERROR(_xlfn.XLOOKUP($D280,'Modelling New'!$D:$D,'Modelling New'!AF:AF),"")</f>
        <v>0.995</v>
      </c>
      <c r="AI280" s="9"/>
      <c r="AJ280" s="9"/>
      <c r="AK280" s="256"/>
      <c r="AL280" s="256"/>
      <c r="AM280" s="256"/>
      <c r="AN280" s="230"/>
      <c r="AO280" s="233"/>
      <c r="AP280" s="233"/>
      <c r="AQ280" s="233"/>
      <c r="AR280" s="234">
        <f>_xlfn.XLOOKUP(D280,'Modelling New'!$D:$D,'Modelling New'!$N:$N)</f>
        <v>130</v>
      </c>
      <c r="AS280" s="234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29">
        <f>Table13[[#This Row],[Date]]-DAY(Table13[[#This Row],[Date]])+1</f>
        <v>46023</v>
      </c>
      <c r="E281" s="9">
        <f t="shared" si="20"/>
        <v>31</v>
      </c>
      <c r="F281" s="199" t="str">
        <f>IFERROR(_xlfn.XLOOKUP($A281,Input_Raw!$A:$A,Input_Raw!$FC:$FC),"")</f>
        <v/>
      </c>
      <c r="G281" s="185" t="str">
        <f>IFERROR(_xlfn.XLOOKUP($A281,Input_Raw!$A:$A,Input_Raw!$CY:$CY),"")</f>
        <v/>
      </c>
      <c r="H281" s="185" t="str">
        <f>IFERROR(_xlfn.XLOOKUP($A281,Input_Raw!$A:$A,Input_Raw!$DA:$DA),"")</f>
        <v/>
      </c>
      <c r="I281" s="185" t="str">
        <f>IFERROR(_xlfn.XLOOKUP($A281,Input_Raw!$A:$A,Input_Raw!$CX:$CX),"")</f>
        <v/>
      </c>
      <c r="J281" s="185" t="str">
        <f>IFERROR(_xlfn.XLOOKUP($A281,Input_Raw!$A:$A,Input_Raw!$CZ:$CZ),"")</f>
        <v/>
      </c>
      <c r="K281" s="201" t="str">
        <f>IFERROR(_xlfn.XLOOKUP($A281,Input_Raw!$A:$A,Input_Raw!$DB:$DB),"")</f>
        <v/>
      </c>
      <c r="L281" s="201" t="str">
        <f>IFERROR(_xlfn.XLOOKUP($A281,Input_Raw!$A:$A,Input_Raw!$DC:$DC),"")</f>
        <v/>
      </c>
      <c r="M281" s="200" t="str">
        <f>IFERROR(_xlfn.XLOOKUP($A281,Input_Raw!$A:$A,Input_Raw!$DF:$DF),"")</f>
        <v/>
      </c>
      <c r="N281" s="200" t="str">
        <f>IFERROR(_xlfn.XLOOKUP($A281,Input_Raw!$A:$A,Input_Raw!$DG:$DG),"")</f>
        <v/>
      </c>
      <c r="O281" s="230" t="str">
        <f>IFERROR(1-(SUMIF(Plant_BD!$B:$B,$A281,Plant_BD!$AL:$AL)/($AA281+SUMIF(Plant_BD!$B:$B,$A281,Plant_BD!$AL:$AL))),"")</f>
        <v/>
      </c>
      <c r="P281" s="230"/>
      <c r="Q281" s="231" t="str">
        <f>IFERROR(1-(SUMIF(Grid_BD!$B:$B,$A281,Grid_BD!$V:$V)/($AA281+SUMIF(Grid_BD!$B:$B,$A281,Grid_BD!$V:$V))),"")</f>
        <v/>
      </c>
      <c r="R281" s="230" t="str">
        <f>IFERROR(1-(SUMIF(Grid_BD!$B:$B,$A281,Grid_BD!$V:$V)/($AA281+SUMIF(Grid_BD!$B:$B,$A281,Grid_BD!$V:$V))),"")</f>
        <v/>
      </c>
      <c r="S281" s="9"/>
      <c r="T281" s="231"/>
      <c r="U281" s="232" t="str">
        <f t="shared" si="21"/>
        <v/>
      </c>
      <c r="V281" s="232" t="str">
        <f>IFERROR(_xlfn.XLOOKUP($A281,Input_Raw!$A:$A,Input_Raw!$FG:$FG),"")</f>
        <v/>
      </c>
      <c r="W281" s="233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85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33">
        <f>IFERROR(_xlfn.XLOOKUP($D281,'Modelling New'!$D:$D,'Modelling New'!O:O),"")</f>
        <v>0.85614594057129279</v>
      </c>
      <c r="AF281" s="233">
        <f>IFERROR(_xlfn.XLOOKUP($D281,'Modelling New'!$D:$D,'Modelling New'!W:W),"")</f>
        <v>0.19677547827646649</v>
      </c>
      <c r="AG281" s="233">
        <f>IFERROR(_xlfn.XLOOKUP($D281,'Modelling New'!$D:$D,'Modelling New'!AE:AE),"")</f>
        <v>0.995</v>
      </c>
      <c r="AH281" s="233">
        <f>IFERROR(_xlfn.XLOOKUP($D281,'Modelling New'!$D:$D,'Modelling New'!AF:AF),"")</f>
        <v>0.995</v>
      </c>
      <c r="AI281" s="9"/>
      <c r="AJ281" s="9"/>
      <c r="AK281" s="256"/>
      <c r="AL281" s="256"/>
      <c r="AM281" s="256"/>
      <c r="AN281" s="230"/>
      <c r="AO281" s="233"/>
      <c r="AP281" s="233"/>
      <c r="AQ281" s="233"/>
      <c r="AR281" s="234">
        <f>_xlfn.XLOOKUP(D281,'Modelling New'!$D:$D,'Modelling New'!$N:$N)</f>
        <v>130</v>
      </c>
      <c r="AS281" s="234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29">
        <f>Table13[[#This Row],[Date]]-DAY(Table13[[#This Row],[Date]])+1</f>
        <v>46023</v>
      </c>
      <c r="E282" s="9">
        <f t="shared" si="20"/>
        <v>31</v>
      </c>
      <c r="F282" s="199" t="str">
        <f>IFERROR(_xlfn.XLOOKUP($A282,Input_Raw!$A:$A,Input_Raw!$FC:$FC),"")</f>
        <v/>
      </c>
      <c r="G282" s="200" t="str">
        <f>IFERROR(_xlfn.XLOOKUP($A282,Input_Raw!$A:$A,Input_Raw!$CY:$CY),"")</f>
        <v/>
      </c>
      <c r="H282" s="200" t="str">
        <f>IFERROR(_xlfn.XLOOKUP($A282,Input_Raw!$A:$A,Input_Raw!$DA:$DA),"")</f>
        <v/>
      </c>
      <c r="I282" s="200" t="str">
        <f>IFERROR(_xlfn.XLOOKUP($A282,Input_Raw!$A:$A,Input_Raw!$CX:$CX),"")</f>
        <v/>
      </c>
      <c r="J282" s="200" t="str">
        <f>IFERROR(_xlfn.XLOOKUP($A282,Input_Raw!$A:$A,Input_Raw!$CZ:$CZ),"")</f>
        <v/>
      </c>
      <c r="K282" s="201" t="str">
        <f>IFERROR(_xlfn.XLOOKUP($A282,Input_Raw!$A:$A,Input_Raw!$DB:$DB),"")</f>
        <v/>
      </c>
      <c r="L282" s="201" t="str">
        <f>IFERROR(_xlfn.XLOOKUP($A282,Input_Raw!$A:$A,Input_Raw!$DC:$DC),"")</f>
        <v/>
      </c>
      <c r="M282" s="200" t="str">
        <f>IFERROR(_xlfn.XLOOKUP($A282,Input_Raw!$A:$A,Input_Raw!$DF:$DF),"")</f>
        <v/>
      </c>
      <c r="N282" s="200" t="str">
        <f>IFERROR(_xlfn.XLOOKUP($A282,Input_Raw!$A:$A,Input_Raw!$DG:$DG),"")</f>
        <v/>
      </c>
      <c r="O282" s="230" t="str">
        <f>IFERROR(1-(SUMIF(Plant_BD!$B:$B,$A282,Plant_BD!$AL:$AL)/($AA282+SUMIF(Plant_BD!$B:$B,$A282,Plant_BD!$AL:$AL))),"")</f>
        <v/>
      </c>
      <c r="P282" s="230"/>
      <c r="Q282" s="231" t="str">
        <f>IFERROR(1-(SUMIF(Grid_BD!$B:$B,$A282,Grid_BD!$V:$V)/($AA282+SUMIF(Grid_BD!$B:$B,$A282,Grid_BD!$V:$V))),"")</f>
        <v/>
      </c>
      <c r="R282" s="230" t="str">
        <f>IFERROR(1-(SUMIF(Grid_BD!$B:$B,$A282,Grid_BD!$V:$V)/($AA282+SUMIF(Grid_BD!$B:$B,$A282,Grid_BD!$V:$V))),"")</f>
        <v/>
      </c>
      <c r="S282" s="9"/>
      <c r="T282" s="231"/>
      <c r="U282" s="232" t="str">
        <f t="shared" si="21"/>
        <v/>
      </c>
      <c r="V282" s="232" t="str">
        <f>IFERROR(_xlfn.XLOOKUP($A282,Input_Raw!$A:$A,Input_Raw!$FG:$FG),"")</f>
        <v/>
      </c>
      <c r="W282" s="233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85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33">
        <f>IFERROR(_xlfn.XLOOKUP($D282,'Modelling New'!$D:$D,'Modelling New'!O:O),"")</f>
        <v>0.85614594057129279</v>
      </c>
      <c r="AF282" s="233">
        <f>IFERROR(_xlfn.XLOOKUP($D282,'Modelling New'!$D:$D,'Modelling New'!W:W),"")</f>
        <v>0.19677547827646649</v>
      </c>
      <c r="AG282" s="233">
        <f>IFERROR(_xlfn.XLOOKUP($D282,'Modelling New'!$D:$D,'Modelling New'!AE:AE),"")</f>
        <v>0.995</v>
      </c>
      <c r="AH282" s="233">
        <f>IFERROR(_xlfn.XLOOKUP($D282,'Modelling New'!$D:$D,'Modelling New'!AF:AF),"")</f>
        <v>0.995</v>
      </c>
      <c r="AI282" s="9"/>
      <c r="AJ282" s="9"/>
      <c r="AK282" s="256"/>
      <c r="AL282" s="256"/>
      <c r="AM282" s="256"/>
      <c r="AN282" s="230"/>
      <c r="AO282" s="233"/>
      <c r="AP282" s="233"/>
      <c r="AQ282" s="233"/>
      <c r="AR282" s="234">
        <f>_xlfn.XLOOKUP(D282,'Modelling New'!$D:$D,'Modelling New'!$N:$N)</f>
        <v>130</v>
      </c>
      <c r="AS282" s="234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29">
        <f>Table13[[#This Row],[Date]]-DAY(Table13[[#This Row],[Date]])+1</f>
        <v>46023</v>
      </c>
      <c r="E283" s="9">
        <f t="shared" si="20"/>
        <v>31</v>
      </c>
      <c r="F283" s="199" t="str">
        <f>IFERROR(_xlfn.XLOOKUP($A283,Input_Raw!$A:$A,Input_Raw!$FC:$FC),"")</f>
        <v/>
      </c>
      <c r="G283" s="185" t="str">
        <f>IFERROR(_xlfn.XLOOKUP($A283,Input_Raw!$A:$A,Input_Raw!$CY:$CY),"")</f>
        <v/>
      </c>
      <c r="H283" s="185" t="str">
        <f>IFERROR(_xlfn.XLOOKUP($A283,Input_Raw!$A:$A,Input_Raw!$DA:$DA),"")</f>
        <v/>
      </c>
      <c r="I283" s="185" t="str">
        <f>IFERROR(_xlfn.XLOOKUP($A283,Input_Raw!$A:$A,Input_Raw!$CX:$CX),"")</f>
        <v/>
      </c>
      <c r="J283" s="185" t="str">
        <f>IFERROR(_xlfn.XLOOKUP($A283,Input_Raw!$A:$A,Input_Raw!$CZ:$CZ),"")</f>
        <v/>
      </c>
      <c r="K283" s="201" t="str">
        <f>IFERROR(_xlfn.XLOOKUP($A283,Input_Raw!$A:$A,Input_Raw!$DB:$DB),"")</f>
        <v/>
      </c>
      <c r="L283" s="201" t="str">
        <f>IFERROR(_xlfn.XLOOKUP($A283,Input_Raw!$A:$A,Input_Raw!$DC:$DC),"")</f>
        <v/>
      </c>
      <c r="M283" s="200" t="str">
        <f>IFERROR(_xlfn.XLOOKUP($A283,Input_Raw!$A:$A,Input_Raw!$DF:$DF),"")</f>
        <v/>
      </c>
      <c r="N283" s="200" t="str">
        <f>IFERROR(_xlfn.XLOOKUP($A283,Input_Raw!$A:$A,Input_Raw!$DG:$DG),"")</f>
        <v/>
      </c>
      <c r="O283" s="230" t="str">
        <f>IFERROR(1-(SUMIF(Plant_BD!$B:$B,$A283,Plant_BD!$AL:$AL)/($AA283+SUMIF(Plant_BD!$B:$B,$A283,Plant_BD!$AL:$AL))),"")</f>
        <v/>
      </c>
      <c r="P283" s="230"/>
      <c r="Q283" s="231" t="str">
        <f>IFERROR(1-(SUMIF(Grid_BD!$B:$B,$A283,Grid_BD!$V:$V)/($AA283+SUMIF(Grid_BD!$B:$B,$A283,Grid_BD!$V:$V))),"")</f>
        <v/>
      </c>
      <c r="R283" s="230" t="str">
        <f>IFERROR(1-(SUMIF(Grid_BD!$B:$B,$A283,Grid_BD!$V:$V)/($AA283+SUMIF(Grid_BD!$B:$B,$A283,Grid_BD!$V:$V))),"")</f>
        <v/>
      </c>
      <c r="S283" s="9"/>
      <c r="T283" s="231"/>
      <c r="U283" s="232" t="str">
        <f t="shared" si="21"/>
        <v/>
      </c>
      <c r="V283" s="232" t="str">
        <f>IFERROR(_xlfn.XLOOKUP($A283,Input_Raw!$A:$A,Input_Raw!$FG:$FG),"")</f>
        <v/>
      </c>
      <c r="W283" s="233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85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33">
        <f>IFERROR(_xlfn.XLOOKUP($D283,'Modelling New'!$D:$D,'Modelling New'!O:O),"")</f>
        <v>0.85614594057129279</v>
      </c>
      <c r="AF283" s="233">
        <f>IFERROR(_xlfn.XLOOKUP($D283,'Modelling New'!$D:$D,'Modelling New'!W:W),"")</f>
        <v>0.19677547827646649</v>
      </c>
      <c r="AG283" s="233">
        <f>IFERROR(_xlfn.XLOOKUP($D283,'Modelling New'!$D:$D,'Modelling New'!AE:AE),"")</f>
        <v>0.995</v>
      </c>
      <c r="AH283" s="233">
        <f>IFERROR(_xlfn.XLOOKUP($D283,'Modelling New'!$D:$D,'Modelling New'!AF:AF),"")</f>
        <v>0.995</v>
      </c>
      <c r="AI283" s="9"/>
      <c r="AJ283" s="9"/>
      <c r="AK283" s="256"/>
      <c r="AL283" s="256"/>
      <c r="AM283" s="256"/>
      <c r="AN283" s="230"/>
      <c r="AO283" s="233"/>
      <c r="AP283" s="233"/>
      <c r="AQ283" s="233"/>
      <c r="AR283" s="234">
        <f>_xlfn.XLOOKUP(D283,'Modelling New'!$D:$D,'Modelling New'!$N:$N)</f>
        <v>130</v>
      </c>
      <c r="AS283" s="234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29">
        <f>Table13[[#This Row],[Date]]-DAY(Table13[[#This Row],[Date]])+1</f>
        <v>46023</v>
      </c>
      <c r="E284" s="9">
        <f t="shared" si="20"/>
        <v>31</v>
      </c>
      <c r="F284" s="199" t="str">
        <f>IFERROR(_xlfn.XLOOKUP($A284,Input_Raw!$A:$A,Input_Raw!$FC:$FC),"")</f>
        <v/>
      </c>
      <c r="G284" s="200" t="str">
        <f>IFERROR(_xlfn.XLOOKUP($A284,Input_Raw!$A:$A,Input_Raw!$CY:$CY),"")</f>
        <v/>
      </c>
      <c r="H284" s="200" t="str">
        <f>IFERROR(_xlfn.XLOOKUP($A284,Input_Raw!$A:$A,Input_Raw!$DA:$DA),"")</f>
        <v/>
      </c>
      <c r="I284" s="200" t="str">
        <f>IFERROR(_xlfn.XLOOKUP($A284,Input_Raw!$A:$A,Input_Raw!$CX:$CX),"")</f>
        <v/>
      </c>
      <c r="J284" s="200" t="str">
        <f>IFERROR(_xlfn.XLOOKUP($A284,Input_Raw!$A:$A,Input_Raw!$CZ:$CZ),"")</f>
        <v/>
      </c>
      <c r="K284" s="201" t="str">
        <f>IFERROR(_xlfn.XLOOKUP($A284,Input_Raw!$A:$A,Input_Raw!$DB:$DB),"")</f>
        <v/>
      </c>
      <c r="L284" s="201" t="str">
        <f>IFERROR(_xlfn.XLOOKUP($A284,Input_Raw!$A:$A,Input_Raw!$DC:$DC),"")</f>
        <v/>
      </c>
      <c r="M284" s="200" t="str">
        <f>IFERROR(_xlfn.XLOOKUP($A284,Input_Raw!$A:$A,Input_Raw!$DF:$DF),"")</f>
        <v/>
      </c>
      <c r="N284" s="200" t="str">
        <f>IFERROR(_xlfn.XLOOKUP($A284,Input_Raw!$A:$A,Input_Raw!$DG:$DG),"")</f>
        <v/>
      </c>
      <c r="O284" s="230" t="str">
        <f>IFERROR(1-(SUMIF(Plant_BD!$B:$B,$A284,Plant_BD!$AL:$AL)/($AA284+SUMIF(Plant_BD!$B:$B,$A284,Plant_BD!$AL:$AL))),"")</f>
        <v/>
      </c>
      <c r="P284" s="230"/>
      <c r="Q284" s="231" t="str">
        <f>IFERROR(1-(SUMIF(Grid_BD!$B:$B,$A284,Grid_BD!$V:$V)/($AA284+SUMIF(Grid_BD!$B:$B,$A284,Grid_BD!$V:$V))),"")</f>
        <v/>
      </c>
      <c r="R284" s="230" t="str">
        <f>IFERROR(1-(SUMIF(Grid_BD!$B:$B,$A284,Grid_BD!$V:$V)/($AA284+SUMIF(Grid_BD!$B:$B,$A284,Grid_BD!$V:$V))),"")</f>
        <v/>
      </c>
      <c r="S284" s="9"/>
      <c r="T284" s="231"/>
      <c r="U284" s="232" t="str">
        <f t="shared" si="21"/>
        <v/>
      </c>
      <c r="V284" s="232" t="str">
        <f>IFERROR(_xlfn.XLOOKUP($A284,Input_Raw!$A:$A,Input_Raw!$FG:$FG),"")</f>
        <v/>
      </c>
      <c r="W284" s="233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85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33">
        <f>IFERROR(_xlfn.XLOOKUP($D284,'Modelling New'!$D:$D,'Modelling New'!O:O),"")</f>
        <v>0.85614594057129279</v>
      </c>
      <c r="AF284" s="233">
        <f>IFERROR(_xlfn.XLOOKUP($D284,'Modelling New'!$D:$D,'Modelling New'!W:W),"")</f>
        <v>0.19677547827646649</v>
      </c>
      <c r="AG284" s="233">
        <f>IFERROR(_xlfn.XLOOKUP($D284,'Modelling New'!$D:$D,'Modelling New'!AE:AE),"")</f>
        <v>0.995</v>
      </c>
      <c r="AH284" s="233">
        <f>IFERROR(_xlfn.XLOOKUP($D284,'Modelling New'!$D:$D,'Modelling New'!AF:AF),"")</f>
        <v>0.995</v>
      </c>
      <c r="AI284" s="9"/>
      <c r="AJ284" s="9"/>
      <c r="AK284" s="256"/>
      <c r="AL284" s="256"/>
      <c r="AM284" s="256"/>
      <c r="AN284" s="230"/>
      <c r="AO284" s="233"/>
      <c r="AP284" s="233"/>
      <c r="AQ284" s="233"/>
      <c r="AR284" s="234">
        <f>_xlfn.XLOOKUP(D284,'Modelling New'!$D:$D,'Modelling New'!$N:$N)</f>
        <v>130</v>
      </c>
      <c r="AS284" s="234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29">
        <f>Table13[[#This Row],[Date]]-DAY(Table13[[#This Row],[Date]])+1</f>
        <v>46023</v>
      </c>
      <c r="E285" s="9">
        <f t="shared" si="20"/>
        <v>31</v>
      </c>
      <c r="F285" s="199" t="str">
        <f>IFERROR(_xlfn.XLOOKUP($A285,Input_Raw!$A:$A,Input_Raw!$FC:$FC),"")</f>
        <v/>
      </c>
      <c r="G285" s="185" t="str">
        <f>IFERROR(_xlfn.XLOOKUP($A285,Input_Raw!$A:$A,Input_Raw!$CY:$CY),"")</f>
        <v/>
      </c>
      <c r="H285" s="185" t="str">
        <f>IFERROR(_xlfn.XLOOKUP($A285,Input_Raw!$A:$A,Input_Raw!$DA:$DA),"")</f>
        <v/>
      </c>
      <c r="I285" s="185" t="str">
        <f>IFERROR(_xlfn.XLOOKUP($A285,Input_Raw!$A:$A,Input_Raw!$CX:$CX),"")</f>
        <v/>
      </c>
      <c r="J285" s="185" t="str">
        <f>IFERROR(_xlfn.XLOOKUP($A285,Input_Raw!$A:$A,Input_Raw!$CZ:$CZ),"")</f>
        <v/>
      </c>
      <c r="K285" s="201" t="str">
        <f>IFERROR(_xlfn.XLOOKUP($A285,Input_Raw!$A:$A,Input_Raw!$DB:$DB),"")</f>
        <v/>
      </c>
      <c r="L285" s="201" t="str">
        <f>IFERROR(_xlfn.XLOOKUP($A285,Input_Raw!$A:$A,Input_Raw!$DC:$DC),"")</f>
        <v/>
      </c>
      <c r="M285" s="200" t="str">
        <f>IFERROR(_xlfn.XLOOKUP($A285,Input_Raw!$A:$A,Input_Raw!$DF:$DF),"")</f>
        <v/>
      </c>
      <c r="N285" s="200" t="str">
        <f>IFERROR(_xlfn.XLOOKUP($A285,Input_Raw!$A:$A,Input_Raw!$DG:$DG),"")</f>
        <v/>
      </c>
      <c r="O285" s="230" t="str">
        <f>IFERROR(1-(SUMIF(Plant_BD!$B:$B,$A285,Plant_BD!$AL:$AL)/($AA285+SUMIF(Plant_BD!$B:$B,$A285,Plant_BD!$AL:$AL))),"")</f>
        <v/>
      </c>
      <c r="P285" s="230"/>
      <c r="Q285" s="231" t="str">
        <f>IFERROR(1-(SUMIF(Grid_BD!$B:$B,$A285,Grid_BD!$V:$V)/($AA285+SUMIF(Grid_BD!$B:$B,$A285,Grid_BD!$V:$V))),"")</f>
        <v/>
      </c>
      <c r="R285" s="230" t="str">
        <f>IFERROR(1-(SUMIF(Grid_BD!$B:$B,$A285,Grid_BD!$V:$V)/($AA285+SUMIF(Grid_BD!$B:$B,$A285,Grid_BD!$V:$V))),"")</f>
        <v/>
      </c>
      <c r="S285" s="9"/>
      <c r="T285" s="231"/>
      <c r="U285" s="232" t="str">
        <f t="shared" si="21"/>
        <v/>
      </c>
      <c r="V285" s="232" t="str">
        <f>IFERROR(_xlfn.XLOOKUP($A285,Input_Raw!$A:$A,Input_Raw!$FG:$FG),"")</f>
        <v/>
      </c>
      <c r="W285" s="233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85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33">
        <f>IFERROR(_xlfn.XLOOKUP($D285,'Modelling New'!$D:$D,'Modelling New'!O:O),"")</f>
        <v>0.85614594057129279</v>
      </c>
      <c r="AF285" s="233">
        <f>IFERROR(_xlfn.XLOOKUP($D285,'Modelling New'!$D:$D,'Modelling New'!W:W),"")</f>
        <v>0.19677547827646649</v>
      </c>
      <c r="AG285" s="233">
        <f>IFERROR(_xlfn.XLOOKUP($D285,'Modelling New'!$D:$D,'Modelling New'!AE:AE),"")</f>
        <v>0.995</v>
      </c>
      <c r="AH285" s="233">
        <f>IFERROR(_xlfn.XLOOKUP($D285,'Modelling New'!$D:$D,'Modelling New'!AF:AF),"")</f>
        <v>0.995</v>
      </c>
      <c r="AI285" s="9"/>
      <c r="AJ285" s="9"/>
      <c r="AK285" s="256"/>
      <c r="AL285" s="256"/>
      <c r="AM285" s="256"/>
      <c r="AN285" s="230"/>
      <c r="AO285" s="233"/>
      <c r="AP285" s="233"/>
      <c r="AQ285" s="233"/>
      <c r="AR285" s="234">
        <f>_xlfn.XLOOKUP(D285,'Modelling New'!$D:$D,'Modelling New'!$N:$N)</f>
        <v>130</v>
      </c>
      <c r="AS285" s="234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29">
        <f>Table13[[#This Row],[Date]]-DAY(Table13[[#This Row],[Date]])+1</f>
        <v>46023</v>
      </c>
      <c r="E286" s="9">
        <f t="shared" si="20"/>
        <v>31</v>
      </c>
      <c r="F286" s="199" t="str">
        <f>IFERROR(_xlfn.XLOOKUP($A286,Input_Raw!$A:$A,Input_Raw!$FC:$FC),"")</f>
        <v/>
      </c>
      <c r="G286" s="200" t="str">
        <f>IFERROR(_xlfn.XLOOKUP($A286,Input_Raw!$A:$A,Input_Raw!$CY:$CY),"")</f>
        <v/>
      </c>
      <c r="H286" s="200" t="str">
        <f>IFERROR(_xlfn.XLOOKUP($A286,Input_Raw!$A:$A,Input_Raw!$DA:$DA),"")</f>
        <v/>
      </c>
      <c r="I286" s="200" t="str">
        <f>IFERROR(_xlfn.XLOOKUP($A286,Input_Raw!$A:$A,Input_Raw!$CX:$CX),"")</f>
        <v/>
      </c>
      <c r="J286" s="200" t="str">
        <f>IFERROR(_xlfn.XLOOKUP($A286,Input_Raw!$A:$A,Input_Raw!$CZ:$CZ),"")</f>
        <v/>
      </c>
      <c r="K286" s="201" t="str">
        <f>IFERROR(_xlfn.XLOOKUP($A286,Input_Raw!$A:$A,Input_Raw!$DB:$DB),"")</f>
        <v/>
      </c>
      <c r="L286" s="201" t="str">
        <f>IFERROR(_xlfn.XLOOKUP($A286,Input_Raw!$A:$A,Input_Raw!$DC:$DC),"")</f>
        <v/>
      </c>
      <c r="M286" s="200" t="str">
        <f>IFERROR(_xlfn.XLOOKUP($A286,Input_Raw!$A:$A,Input_Raw!$DF:$DF),"")</f>
        <v/>
      </c>
      <c r="N286" s="200" t="str">
        <f>IFERROR(_xlfn.XLOOKUP($A286,Input_Raw!$A:$A,Input_Raw!$DG:$DG),"")</f>
        <v/>
      </c>
      <c r="O286" s="230" t="str">
        <f>IFERROR(1-(SUMIF(Plant_BD!$B:$B,$A286,Plant_BD!$AL:$AL)/($AA286+SUMIF(Plant_BD!$B:$B,$A286,Plant_BD!$AL:$AL))),"")</f>
        <v/>
      </c>
      <c r="P286" s="230"/>
      <c r="Q286" s="231" t="str">
        <f>IFERROR(1-(SUMIF(Grid_BD!$B:$B,$A286,Grid_BD!$V:$V)/($AA286+SUMIF(Grid_BD!$B:$B,$A286,Grid_BD!$V:$V))),"")</f>
        <v/>
      </c>
      <c r="R286" s="230" t="str">
        <f>IFERROR(1-(SUMIF(Grid_BD!$B:$B,$A286,Grid_BD!$V:$V)/($AA286+SUMIF(Grid_BD!$B:$B,$A286,Grid_BD!$V:$V))),"")</f>
        <v/>
      </c>
      <c r="S286" s="9"/>
      <c r="T286" s="231"/>
      <c r="U286" s="232" t="str">
        <f t="shared" si="21"/>
        <v/>
      </c>
      <c r="V286" s="232" t="str">
        <f>IFERROR(_xlfn.XLOOKUP($A286,Input_Raw!$A:$A,Input_Raw!$FG:$FG),"")</f>
        <v/>
      </c>
      <c r="W286" s="233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85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33">
        <f>IFERROR(_xlfn.XLOOKUP($D286,'Modelling New'!$D:$D,'Modelling New'!O:O),"")</f>
        <v>0.85614594057129279</v>
      </c>
      <c r="AF286" s="233">
        <f>IFERROR(_xlfn.XLOOKUP($D286,'Modelling New'!$D:$D,'Modelling New'!W:W),"")</f>
        <v>0.19677547827646649</v>
      </c>
      <c r="AG286" s="233">
        <f>IFERROR(_xlfn.XLOOKUP($D286,'Modelling New'!$D:$D,'Modelling New'!AE:AE),"")</f>
        <v>0.995</v>
      </c>
      <c r="AH286" s="233">
        <f>IFERROR(_xlfn.XLOOKUP($D286,'Modelling New'!$D:$D,'Modelling New'!AF:AF),"")</f>
        <v>0.995</v>
      </c>
      <c r="AI286" s="9"/>
      <c r="AJ286" s="9"/>
      <c r="AK286" s="256"/>
      <c r="AL286" s="256"/>
      <c r="AM286" s="256"/>
      <c r="AN286" s="230"/>
      <c r="AO286" s="233"/>
      <c r="AP286" s="233"/>
      <c r="AQ286" s="233"/>
      <c r="AR286" s="234">
        <f>_xlfn.XLOOKUP(D286,'Modelling New'!$D:$D,'Modelling New'!$N:$N)</f>
        <v>130</v>
      </c>
      <c r="AS286" s="234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29">
        <f>Table13[[#This Row],[Date]]-DAY(Table13[[#This Row],[Date]])+1</f>
        <v>46023</v>
      </c>
      <c r="E287" s="9">
        <f t="shared" si="20"/>
        <v>31</v>
      </c>
      <c r="F287" s="199" t="str">
        <f>IFERROR(_xlfn.XLOOKUP($A287,Input_Raw!$A:$A,Input_Raw!$FC:$FC),"")</f>
        <v/>
      </c>
      <c r="G287" s="185" t="str">
        <f>IFERROR(_xlfn.XLOOKUP($A287,Input_Raw!$A:$A,Input_Raw!$CY:$CY),"")</f>
        <v/>
      </c>
      <c r="H287" s="185" t="str">
        <f>IFERROR(_xlfn.XLOOKUP($A287,Input_Raw!$A:$A,Input_Raw!$DA:$DA),"")</f>
        <v/>
      </c>
      <c r="I287" s="185" t="str">
        <f>IFERROR(_xlfn.XLOOKUP($A287,Input_Raw!$A:$A,Input_Raw!$CX:$CX),"")</f>
        <v/>
      </c>
      <c r="J287" s="185" t="str">
        <f>IFERROR(_xlfn.XLOOKUP($A287,Input_Raw!$A:$A,Input_Raw!$CZ:$CZ),"")</f>
        <v/>
      </c>
      <c r="K287" s="201" t="str">
        <f>IFERROR(_xlfn.XLOOKUP($A287,Input_Raw!$A:$A,Input_Raw!$DB:$DB),"")</f>
        <v/>
      </c>
      <c r="L287" s="201" t="str">
        <f>IFERROR(_xlfn.XLOOKUP($A287,Input_Raw!$A:$A,Input_Raw!$DC:$DC),"")</f>
        <v/>
      </c>
      <c r="M287" s="200" t="str">
        <f>IFERROR(_xlfn.XLOOKUP($A287,Input_Raw!$A:$A,Input_Raw!$DF:$DF),"")</f>
        <v/>
      </c>
      <c r="N287" s="200" t="str">
        <f>IFERROR(_xlfn.XLOOKUP($A287,Input_Raw!$A:$A,Input_Raw!$DG:$DG),"")</f>
        <v/>
      </c>
      <c r="O287" s="230" t="str">
        <f>IFERROR(1-(SUMIF(Plant_BD!$B:$B,$A287,Plant_BD!$AL:$AL)/($AA287+SUMIF(Plant_BD!$B:$B,$A287,Plant_BD!$AL:$AL))),"")</f>
        <v/>
      </c>
      <c r="P287" s="230"/>
      <c r="Q287" s="231" t="str">
        <f>IFERROR(1-(SUMIF(Grid_BD!$B:$B,$A287,Grid_BD!$V:$V)/($AA287+SUMIF(Grid_BD!$B:$B,$A287,Grid_BD!$V:$V))),"")</f>
        <v/>
      </c>
      <c r="R287" s="230" t="str">
        <f>IFERROR(1-(SUMIF(Grid_BD!$B:$B,$A287,Grid_BD!$V:$V)/($AA287+SUMIF(Grid_BD!$B:$B,$A287,Grid_BD!$V:$V))),"")</f>
        <v/>
      </c>
      <c r="S287" s="9"/>
      <c r="T287" s="231"/>
      <c r="U287" s="232" t="str">
        <f t="shared" si="21"/>
        <v/>
      </c>
      <c r="V287" s="232" t="str">
        <f>IFERROR(_xlfn.XLOOKUP($A287,Input_Raw!$A:$A,Input_Raw!$FG:$FG),"")</f>
        <v/>
      </c>
      <c r="W287" s="233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85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33">
        <f>IFERROR(_xlfn.XLOOKUP($D287,'Modelling New'!$D:$D,'Modelling New'!O:O),"")</f>
        <v>0.85614594057129279</v>
      </c>
      <c r="AF287" s="233">
        <f>IFERROR(_xlfn.XLOOKUP($D287,'Modelling New'!$D:$D,'Modelling New'!W:W),"")</f>
        <v>0.19677547827646649</v>
      </c>
      <c r="AG287" s="233">
        <f>IFERROR(_xlfn.XLOOKUP($D287,'Modelling New'!$D:$D,'Modelling New'!AE:AE),"")</f>
        <v>0.995</v>
      </c>
      <c r="AH287" s="233">
        <f>IFERROR(_xlfn.XLOOKUP($D287,'Modelling New'!$D:$D,'Modelling New'!AF:AF),"")</f>
        <v>0.995</v>
      </c>
      <c r="AI287" s="9"/>
      <c r="AJ287" s="9"/>
      <c r="AK287" s="256"/>
      <c r="AL287" s="256"/>
      <c r="AM287" s="256"/>
      <c r="AN287" s="230"/>
      <c r="AO287" s="233"/>
      <c r="AP287" s="233"/>
      <c r="AQ287" s="233"/>
      <c r="AR287" s="234">
        <f>_xlfn.XLOOKUP(D287,'Modelling New'!$D:$D,'Modelling New'!$N:$N)</f>
        <v>130</v>
      </c>
      <c r="AS287" s="234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29">
        <f>Table13[[#This Row],[Date]]-DAY(Table13[[#This Row],[Date]])+1</f>
        <v>46023</v>
      </c>
      <c r="E288" s="9">
        <f t="shared" si="20"/>
        <v>31</v>
      </c>
      <c r="F288" s="199" t="str">
        <f>IFERROR(_xlfn.XLOOKUP($A288,Input_Raw!$A:$A,Input_Raw!$FC:$FC),"")</f>
        <v/>
      </c>
      <c r="G288" s="200" t="str">
        <f>IFERROR(_xlfn.XLOOKUP($A288,Input_Raw!$A:$A,Input_Raw!$CY:$CY),"")</f>
        <v/>
      </c>
      <c r="H288" s="200" t="str">
        <f>IFERROR(_xlfn.XLOOKUP($A288,Input_Raw!$A:$A,Input_Raw!$DA:$DA),"")</f>
        <v/>
      </c>
      <c r="I288" s="200" t="str">
        <f>IFERROR(_xlfn.XLOOKUP($A288,Input_Raw!$A:$A,Input_Raw!$CX:$CX),"")</f>
        <v/>
      </c>
      <c r="J288" s="200" t="str">
        <f>IFERROR(_xlfn.XLOOKUP($A288,Input_Raw!$A:$A,Input_Raw!$CZ:$CZ),"")</f>
        <v/>
      </c>
      <c r="K288" s="201" t="str">
        <f>IFERROR(_xlfn.XLOOKUP($A288,Input_Raw!$A:$A,Input_Raw!$DB:$DB),"")</f>
        <v/>
      </c>
      <c r="L288" s="201" t="str">
        <f>IFERROR(_xlfn.XLOOKUP($A288,Input_Raw!$A:$A,Input_Raw!$DC:$DC),"")</f>
        <v/>
      </c>
      <c r="M288" s="200" t="str">
        <f>IFERROR(_xlfn.XLOOKUP($A288,Input_Raw!$A:$A,Input_Raw!$DF:$DF),"")</f>
        <v/>
      </c>
      <c r="N288" s="200" t="str">
        <f>IFERROR(_xlfn.XLOOKUP($A288,Input_Raw!$A:$A,Input_Raw!$DG:$DG),"")</f>
        <v/>
      </c>
      <c r="O288" s="230" t="str">
        <f>IFERROR(1-(SUMIF(Plant_BD!$B:$B,$A288,Plant_BD!$AL:$AL)/($AA288+SUMIF(Plant_BD!$B:$B,$A288,Plant_BD!$AL:$AL))),"")</f>
        <v/>
      </c>
      <c r="P288" s="230"/>
      <c r="Q288" s="231" t="str">
        <f>IFERROR(1-(SUMIF(Grid_BD!$B:$B,$A288,Grid_BD!$V:$V)/($AA288+SUMIF(Grid_BD!$B:$B,$A288,Grid_BD!$V:$V))),"")</f>
        <v/>
      </c>
      <c r="R288" s="230" t="str">
        <f>IFERROR(1-(SUMIF(Grid_BD!$B:$B,$A288,Grid_BD!$V:$V)/($AA288+SUMIF(Grid_BD!$B:$B,$A288,Grid_BD!$V:$V))),"")</f>
        <v/>
      </c>
      <c r="S288" s="9"/>
      <c r="T288" s="231"/>
      <c r="U288" s="232" t="str">
        <f t="shared" si="21"/>
        <v/>
      </c>
      <c r="V288" s="232" t="str">
        <f>IFERROR(_xlfn.XLOOKUP($A288,Input_Raw!$A:$A,Input_Raw!$FG:$FG),"")</f>
        <v/>
      </c>
      <c r="W288" s="233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85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33">
        <f>IFERROR(_xlfn.XLOOKUP($D288,'Modelling New'!$D:$D,'Modelling New'!O:O),"")</f>
        <v>0.85614594057129279</v>
      </c>
      <c r="AF288" s="233">
        <f>IFERROR(_xlfn.XLOOKUP($D288,'Modelling New'!$D:$D,'Modelling New'!W:W),"")</f>
        <v>0.19677547827646649</v>
      </c>
      <c r="AG288" s="233">
        <f>IFERROR(_xlfn.XLOOKUP($D288,'Modelling New'!$D:$D,'Modelling New'!AE:AE),"")</f>
        <v>0.995</v>
      </c>
      <c r="AH288" s="233">
        <f>IFERROR(_xlfn.XLOOKUP($D288,'Modelling New'!$D:$D,'Modelling New'!AF:AF),"")</f>
        <v>0.995</v>
      </c>
      <c r="AI288" s="9"/>
      <c r="AJ288" s="9"/>
      <c r="AK288" s="256"/>
      <c r="AL288" s="256"/>
      <c r="AM288" s="256"/>
      <c r="AN288" s="230"/>
      <c r="AO288" s="233"/>
      <c r="AP288" s="233"/>
      <c r="AQ288" s="233"/>
      <c r="AR288" s="234">
        <f>_xlfn.XLOOKUP(D288,'Modelling New'!$D:$D,'Modelling New'!$N:$N)</f>
        <v>130</v>
      </c>
      <c r="AS288" s="234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29">
        <f>Table13[[#This Row],[Date]]-DAY(Table13[[#This Row],[Date]])+1</f>
        <v>46023</v>
      </c>
      <c r="E289" s="9">
        <f t="shared" si="20"/>
        <v>31</v>
      </c>
      <c r="F289" s="199" t="str">
        <f>IFERROR(_xlfn.XLOOKUP($A289,Input_Raw!$A:$A,Input_Raw!$FC:$FC),"")</f>
        <v/>
      </c>
      <c r="G289" s="185" t="str">
        <f>IFERROR(_xlfn.XLOOKUP($A289,Input_Raw!$A:$A,Input_Raw!$CY:$CY),"")</f>
        <v/>
      </c>
      <c r="H289" s="185" t="str">
        <f>IFERROR(_xlfn.XLOOKUP($A289,Input_Raw!$A:$A,Input_Raw!$DA:$DA),"")</f>
        <v/>
      </c>
      <c r="I289" s="185" t="str">
        <f>IFERROR(_xlfn.XLOOKUP($A289,Input_Raw!$A:$A,Input_Raw!$CX:$CX),"")</f>
        <v/>
      </c>
      <c r="J289" s="185" t="str">
        <f>IFERROR(_xlfn.XLOOKUP($A289,Input_Raw!$A:$A,Input_Raw!$CZ:$CZ),"")</f>
        <v/>
      </c>
      <c r="K289" s="201" t="str">
        <f>IFERROR(_xlfn.XLOOKUP($A289,Input_Raw!$A:$A,Input_Raw!$DB:$DB),"")</f>
        <v/>
      </c>
      <c r="L289" s="201" t="str">
        <f>IFERROR(_xlfn.XLOOKUP($A289,Input_Raw!$A:$A,Input_Raw!$DC:$DC),"")</f>
        <v/>
      </c>
      <c r="M289" s="200" t="str">
        <f>IFERROR(_xlfn.XLOOKUP($A289,Input_Raw!$A:$A,Input_Raw!$DF:$DF),"")</f>
        <v/>
      </c>
      <c r="N289" s="200" t="str">
        <f>IFERROR(_xlfn.XLOOKUP($A289,Input_Raw!$A:$A,Input_Raw!$DG:$DG),"")</f>
        <v/>
      </c>
      <c r="O289" s="230" t="str">
        <f>IFERROR(1-(SUMIF(Plant_BD!$B:$B,$A289,Plant_BD!$AL:$AL)/($AA289+SUMIF(Plant_BD!$B:$B,$A289,Plant_BD!$AL:$AL))),"")</f>
        <v/>
      </c>
      <c r="P289" s="230"/>
      <c r="Q289" s="231" t="str">
        <f>IFERROR(1-(SUMIF(Grid_BD!$B:$B,$A289,Grid_BD!$V:$V)/($AA289+SUMIF(Grid_BD!$B:$B,$A289,Grid_BD!$V:$V))),"")</f>
        <v/>
      </c>
      <c r="R289" s="230" t="str">
        <f>IFERROR(1-(SUMIF(Grid_BD!$B:$B,$A289,Grid_BD!$V:$V)/($AA289+SUMIF(Grid_BD!$B:$B,$A289,Grid_BD!$V:$V))),"")</f>
        <v/>
      </c>
      <c r="S289" s="9"/>
      <c r="T289" s="231"/>
      <c r="U289" s="232" t="str">
        <f t="shared" si="21"/>
        <v/>
      </c>
      <c r="V289" s="232" t="str">
        <f>IFERROR(_xlfn.XLOOKUP($A289,Input_Raw!$A:$A,Input_Raw!$FG:$FG),"")</f>
        <v/>
      </c>
      <c r="W289" s="233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85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33">
        <f>IFERROR(_xlfn.XLOOKUP($D289,'Modelling New'!$D:$D,'Modelling New'!O:O),"")</f>
        <v>0.85614594057129279</v>
      </c>
      <c r="AF289" s="233">
        <f>IFERROR(_xlfn.XLOOKUP($D289,'Modelling New'!$D:$D,'Modelling New'!W:W),"")</f>
        <v>0.19677547827646649</v>
      </c>
      <c r="AG289" s="233">
        <f>IFERROR(_xlfn.XLOOKUP($D289,'Modelling New'!$D:$D,'Modelling New'!AE:AE),"")</f>
        <v>0.995</v>
      </c>
      <c r="AH289" s="233">
        <f>IFERROR(_xlfn.XLOOKUP($D289,'Modelling New'!$D:$D,'Modelling New'!AF:AF),"")</f>
        <v>0.995</v>
      </c>
      <c r="AI289" s="9"/>
      <c r="AJ289" s="9"/>
      <c r="AK289" s="256"/>
      <c r="AL289" s="256"/>
      <c r="AM289" s="256"/>
      <c r="AN289" s="230"/>
      <c r="AO289" s="233"/>
      <c r="AP289" s="233"/>
      <c r="AQ289" s="233"/>
      <c r="AR289" s="234">
        <f>_xlfn.XLOOKUP(D289,'Modelling New'!$D:$D,'Modelling New'!$N:$N)</f>
        <v>130</v>
      </c>
      <c r="AS289" s="234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29">
        <f>Table13[[#This Row],[Date]]-DAY(Table13[[#This Row],[Date]])+1</f>
        <v>46023</v>
      </c>
      <c r="E290" s="9">
        <f t="shared" si="20"/>
        <v>31</v>
      </c>
      <c r="F290" s="199" t="str">
        <f>IFERROR(_xlfn.XLOOKUP($A290,Input_Raw!$A:$A,Input_Raw!$FC:$FC),"")</f>
        <v/>
      </c>
      <c r="G290" s="200" t="str">
        <f>IFERROR(_xlfn.XLOOKUP($A290,Input_Raw!$A:$A,Input_Raw!$CY:$CY),"")</f>
        <v/>
      </c>
      <c r="H290" s="200" t="str">
        <f>IFERROR(_xlfn.XLOOKUP($A290,Input_Raw!$A:$A,Input_Raw!$DA:$DA),"")</f>
        <v/>
      </c>
      <c r="I290" s="200" t="str">
        <f>IFERROR(_xlfn.XLOOKUP($A290,Input_Raw!$A:$A,Input_Raw!$CX:$CX),"")</f>
        <v/>
      </c>
      <c r="J290" s="200" t="str">
        <f>IFERROR(_xlfn.XLOOKUP($A290,Input_Raw!$A:$A,Input_Raw!$CZ:$CZ),"")</f>
        <v/>
      </c>
      <c r="K290" s="201" t="str">
        <f>IFERROR(_xlfn.XLOOKUP($A290,Input_Raw!$A:$A,Input_Raw!$DB:$DB),"")</f>
        <v/>
      </c>
      <c r="L290" s="201" t="str">
        <f>IFERROR(_xlfn.XLOOKUP($A290,Input_Raw!$A:$A,Input_Raw!$DC:$DC),"")</f>
        <v/>
      </c>
      <c r="M290" s="200" t="str">
        <f>IFERROR(_xlfn.XLOOKUP($A290,Input_Raw!$A:$A,Input_Raw!$DF:$DF),"")</f>
        <v/>
      </c>
      <c r="N290" s="200" t="str">
        <f>IFERROR(_xlfn.XLOOKUP($A290,Input_Raw!$A:$A,Input_Raw!$DG:$DG),"")</f>
        <v/>
      </c>
      <c r="O290" s="230" t="str">
        <f>IFERROR(1-(SUMIF(Plant_BD!$B:$B,$A290,Plant_BD!$AL:$AL)/($AA290+SUMIF(Plant_BD!$B:$B,$A290,Plant_BD!$AL:$AL))),"")</f>
        <v/>
      </c>
      <c r="P290" s="230"/>
      <c r="Q290" s="231" t="str">
        <f>IFERROR(1-(SUMIF(Grid_BD!$B:$B,$A290,Grid_BD!$V:$V)/($AA290+SUMIF(Grid_BD!$B:$B,$A290,Grid_BD!$V:$V))),"")</f>
        <v/>
      </c>
      <c r="R290" s="230" t="str">
        <f>IFERROR(1-(SUMIF(Grid_BD!$B:$B,$A290,Grid_BD!$V:$V)/($AA290+SUMIF(Grid_BD!$B:$B,$A290,Grid_BD!$V:$V))),"")</f>
        <v/>
      </c>
      <c r="S290" s="9"/>
      <c r="T290" s="231"/>
      <c r="U290" s="232" t="str">
        <f t="shared" si="21"/>
        <v/>
      </c>
      <c r="V290" s="232" t="str">
        <f>IFERROR(_xlfn.XLOOKUP($A290,Input_Raw!$A:$A,Input_Raw!$FG:$FG),"")</f>
        <v/>
      </c>
      <c r="W290" s="233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85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33">
        <f>IFERROR(_xlfn.XLOOKUP($D290,'Modelling New'!$D:$D,'Modelling New'!O:O),"")</f>
        <v>0.85614594057129279</v>
      </c>
      <c r="AF290" s="233">
        <f>IFERROR(_xlfn.XLOOKUP($D290,'Modelling New'!$D:$D,'Modelling New'!W:W),"")</f>
        <v>0.19677547827646649</v>
      </c>
      <c r="AG290" s="233">
        <f>IFERROR(_xlfn.XLOOKUP($D290,'Modelling New'!$D:$D,'Modelling New'!AE:AE),"")</f>
        <v>0.995</v>
      </c>
      <c r="AH290" s="233">
        <f>IFERROR(_xlfn.XLOOKUP($D290,'Modelling New'!$D:$D,'Modelling New'!AF:AF),"")</f>
        <v>0.995</v>
      </c>
      <c r="AI290" s="9"/>
      <c r="AJ290" s="9"/>
      <c r="AK290" s="256"/>
      <c r="AL290" s="256"/>
      <c r="AM290" s="256"/>
      <c r="AN290" s="230"/>
      <c r="AO290" s="233"/>
      <c r="AP290" s="233"/>
      <c r="AQ290" s="233"/>
      <c r="AR290" s="234">
        <f>_xlfn.XLOOKUP(D290,'Modelling New'!$D:$D,'Modelling New'!$N:$N)</f>
        <v>130</v>
      </c>
      <c r="AS290" s="234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29">
        <f>Table13[[#This Row],[Date]]-DAY(Table13[[#This Row],[Date]])+1</f>
        <v>46023</v>
      </c>
      <c r="E291" s="9">
        <f t="shared" si="20"/>
        <v>31</v>
      </c>
      <c r="F291" s="199" t="str">
        <f>IFERROR(_xlfn.XLOOKUP($A291,Input_Raw!$A:$A,Input_Raw!$FC:$FC),"")</f>
        <v/>
      </c>
      <c r="G291" s="185" t="str">
        <f>IFERROR(_xlfn.XLOOKUP($A291,Input_Raw!$A:$A,Input_Raw!$CY:$CY),"")</f>
        <v/>
      </c>
      <c r="H291" s="185" t="str">
        <f>IFERROR(_xlfn.XLOOKUP($A291,Input_Raw!$A:$A,Input_Raw!$DA:$DA),"")</f>
        <v/>
      </c>
      <c r="I291" s="185" t="str">
        <f>IFERROR(_xlfn.XLOOKUP($A291,Input_Raw!$A:$A,Input_Raw!$CX:$CX),"")</f>
        <v/>
      </c>
      <c r="J291" s="185" t="str">
        <f>IFERROR(_xlfn.XLOOKUP($A291,Input_Raw!$A:$A,Input_Raw!$CZ:$CZ),"")</f>
        <v/>
      </c>
      <c r="K291" s="201" t="str">
        <f>IFERROR(_xlfn.XLOOKUP($A291,Input_Raw!$A:$A,Input_Raw!$DB:$DB),"")</f>
        <v/>
      </c>
      <c r="L291" s="201" t="str">
        <f>IFERROR(_xlfn.XLOOKUP($A291,Input_Raw!$A:$A,Input_Raw!$DC:$DC),"")</f>
        <v/>
      </c>
      <c r="M291" s="200" t="str">
        <f>IFERROR(_xlfn.XLOOKUP($A291,Input_Raw!$A:$A,Input_Raw!$DF:$DF),"")</f>
        <v/>
      </c>
      <c r="N291" s="200" t="str">
        <f>IFERROR(_xlfn.XLOOKUP($A291,Input_Raw!$A:$A,Input_Raw!$DG:$DG),"")</f>
        <v/>
      </c>
      <c r="O291" s="230" t="str">
        <f>IFERROR(1-(SUMIF(Plant_BD!$B:$B,$A291,Plant_BD!$AL:$AL)/($AA291+SUMIF(Plant_BD!$B:$B,$A291,Plant_BD!$AL:$AL))),"")</f>
        <v/>
      </c>
      <c r="P291" s="230"/>
      <c r="Q291" s="231" t="str">
        <f>IFERROR(1-(SUMIF(Grid_BD!$B:$B,$A291,Grid_BD!$V:$V)/($AA291+SUMIF(Grid_BD!$B:$B,$A291,Grid_BD!$V:$V))),"")</f>
        <v/>
      </c>
      <c r="R291" s="230" t="str">
        <f>IFERROR(1-(SUMIF(Grid_BD!$B:$B,$A291,Grid_BD!$V:$V)/($AA291+SUMIF(Grid_BD!$B:$B,$A291,Grid_BD!$V:$V))),"")</f>
        <v/>
      </c>
      <c r="S291" s="9"/>
      <c r="T291" s="231"/>
      <c r="U291" s="232" t="str">
        <f t="shared" si="21"/>
        <v/>
      </c>
      <c r="V291" s="232" t="str">
        <f>IFERROR(_xlfn.XLOOKUP($A291,Input_Raw!$A:$A,Input_Raw!$FG:$FG),"")</f>
        <v/>
      </c>
      <c r="W291" s="233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85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33">
        <f>IFERROR(_xlfn.XLOOKUP($D291,'Modelling New'!$D:$D,'Modelling New'!O:O),"")</f>
        <v>0.85614594057129279</v>
      </c>
      <c r="AF291" s="233">
        <f>IFERROR(_xlfn.XLOOKUP($D291,'Modelling New'!$D:$D,'Modelling New'!W:W),"")</f>
        <v>0.19677547827646649</v>
      </c>
      <c r="AG291" s="233">
        <f>IFERROR(_xlfn.XLOOKUP($D291,'Modelling New'!$D:$D,'Modelling New'!AE:AE),"")</f>
        <v>0.995</v>
      </c>
      <c r="AH291" s="233">
        <f>IFERROR(_xlfn.XLOOKUP($D291,'Modelling New'!$D:$D,'Modelling New'!AF:AF),"")</f>
        <v>0.995</v>
      </c>
      <c r="AI291" s="9"/>
      <c r="AJ291" s="9"/>
      <c r="AK291" s="256"/>
      <c r="AL291" s="256"/>
      <c r="AM291" s="256"/>
      <c r="AN291" s="230"/>
      <c r="AO291" s="233"/>
      <c r="AP291" s="233"/>
      <c r="AQ291" s="233"/>
      <c r="AR291" s="234">
        <f>_xlfn.XLOOKUP(D291,'Modelling New'!$D:$D,'Modelling New'!$N:$N)</f>
        <v>130</v>
      </c>
      <c r="AS291" s="234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29">
        <f>Table13[[#This Row],[Date]]-DAY(Table13[[#This Row],[Date]])+1</f>
        <v>46023</v>
      </c>
      <c r="E292" s="9">
        <f t="shared" si="20"/>
        <v>31</v>
      </c>
      <c r="F292" s="199" t="str">
        <f>IFERROR(_xlfn.XLOOKUP($A292,Input_Raw!$A:$A,Input_Raw!$FC:$FC),"")</f>
        <v/>
      </c>
      <c r="G292" s="200" t="str">
        <f>IFERROR(_xlfn.XLOOKUP($A292,Input_Raw!$A:$A,Input_Raw!$CY:$CY),"")</f>
        <v/>
      </c>
      <c r="H292" s="200" t="str">
        <f>IFERROR(_xlfn.XLOOKUP($A292,Input_Raw!$A:$A,Input_Raw!$DA:$DA),"")</f>
        <v/>
      </c>
      <c r="I292" s="200" t="str">
        <f>IFERROR(_xlfn.XLOOKUP($A292,Input_Raw!$A:$A,Input_Raw!$CX:$CX),"")</f>
        <v/>
      </c>
      <c r="J292" s="200" t="str">
        <f>IFERROR(_xlfn.XLOOKUP($A292,Input_Raw!$A:$A,Input_Raw!$CZ:$CZ),"")</f>
        <v/>
      </c>
      <c r="K292" s="201" t="str">
        <f>IFERROR(_xlfn.XLOOKUP($A292,Input_Raw!$A:$A,Input_Raw!$DB:$DB),"")</f>
        <v/>
      </c>
      <c r="L292" s="201" t="str">
        <f>IFERROR(_xlfn.XLOOKUP($A292,Input_Raw!$A:$A,Input_Raw!$DC:$DC),"")</f>
        <v/>
      </c>
      <c r="M292" s="200" t="str">
        <f>IFERROR(_xlfn.XLOOKUP($A292,Input_Raw!$A:$A,Input_Raw!$DF:$DF),"")</f>
        <v/>
      </c>
      <c r="N292" s="200" t="str">
        <f>IFERROR(_xlfn.XLOOKUP($A292,Input_Raw!$A:$A,Input_Raw!$DG:$DG),"")</f>
        <v/>
      </c>
      <c r="O292" s="230" t="str">
        <f>IFERROR(1-(SUMIF(Plant_BD!$B:$B,$A292,Plant_BD!$AL:$AL)/($AA292+SUMIF(Plant_BD!$B:$B,$A292,Plant_BD!$AL:$AL))),"")</f>
        <v/>
      </c>
      <c r="P292" s="230"/>
      <c r="Q292" s="231" t="str">
        <f>IFERROR(1-(SUMIF(Grid_BD!$B:$B,$A292,Grid_BD!$V:$V)/($AA292+SUMIF(Grid_BD!$B:$B,$A292,Grid_BD!$V:$V))),"")</f>
        <v/>
      </c>
      <c r="R292" s="230" t="str">
        <f>IFERROR(1-(SUMIF(Grid_BD!$B:$B,$A292,Grid_BD!$V:$V)/($AA292+SUMIF(Grid_BD!$B:$B,$A292,Grid_BD!$V:$V))),"")</f>
        <v/>
      </c>
      <c r="S292" s="9"/>
      <c r="T292" s="231"/>
      <c r="U292" s="232" t="str">
        <f t="shared" si="21"/>
        <v/>
      </c>
      <c r="V292" s="232" t="str">
        <f>IFERROR(_xlfn.XLOOKUP($A292,Input_Raw!$A:$A,Input_Raw!$FG:$FG),"")</f>
        <v/>
      </c>
      <c r="W292" s="233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85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33">
        <f>IFERROR(_xlfn.XLOOKUP($D292,'Modelling New'!$D:$D,'Modelling New'!O:O),"")</f>
        <v>0.85614594057129279</v>
      </c>
      <c r="AF292" s="233">
        <f>IFERROR(_xlfn.XLOOKUP($D292,'Modelling New'!$D:$D,'Modelling New'!W:W),"")</f>
        <v>0.19677547827646649</v>
      </c>
      <c r="AG292" s="233">
        <f>IFERROR(_xlfn.XLOOKUP($D292,'Modelling New'!$D:$D,'Modelling New'!AE:AE),"")</f>
        <v>0.995</v>
      </c>
      <c r="AH292" s="233">
        <f>IFERROR(_xlfn.XLOOKUP($D292,'Modelling New'!$D:$D,'Modelling New'!AF:AF),"")</f>
        <v>0.995</v>
      </c>
      <c r="AI292" s="9"/>
      <c r="AJ292" s="9"/>
      <c r="AK292" s="256"/>
      <c r="AL292" s="256"/>
      <c r="AM292" s="256"/>
      <c r="AN292" s="230"/>
      <c r="AO292" s="233"/>
      <c r="AP292" s="233"/>
      <c r="AQ292" s="233"/>
      <c r="AR292" s="234">
        <f>_xlfn.XLOOKUP(D292,'Modelling New'!$D:$D,'Modelling New'!$N:$N)</f>
        <v>130</v>
      </c>
      <c r="AS292" s="234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29">
        <f>Table13[[#This Row],[Date]]-DAY(Table13[[#This Row],[Date]])+1</f>
        <v>46023</v>
      </c>
      <c r="E293" s="9">
        <f t="shared" si="20"/>
        <v>31</v>
      </c>
      <c r="F293" s="199" t="str">
        <f>IFERROR(_xlfn.XLOOKUP($A293,Input_Raw!$A:$A,Input_Raw!$FC:$FC),"")</f>
        <v/>
      </c>
      <c r="G293" s="185" t="str">
        <f>IFERROR(_xlfn.XLOOKUP($A293,Input_Raw!$A:$A,Input_Raw!$CY:$CY),"")</f>
        <v/>
      </c>
      <c r="H293" s="185" t="str">
        <f>IFERROR(_xlfn.XLOOKUP($A293,Input_Raw!$A:$A,Input_Raw!$DA:$DA),"")</f>
        <v/>
      </c>
      <c r="I293" s="185" t="str">
        <f>IFERROR(_xlfn.XLOOKUP($A293,Input_Raw!$A:$A,Input_Raw!$CX:$CX),"")</f>
        <v/>
      </c>
      <c r="J293" s="185" t="str">
        <f>IFERROR(_xlfn.XLOOKUP($A293,Input_Raw!$A:$A,Input_Raw!$CZ:$CZ),"")</f>
        <v/>
      </c>
      <c r="K293" s="201" t="str">
        <f>IFERROR(_xlfn.XLOOKUP($A293,Input_Raw!$A:$A,Input_Raw!$DB:$DB),"")</f>
        <v/>
      </c>
      <c r="L293" s="201" t="str">
        <f>IFERROR(_xlfn.XLOOKUP($A293,Input_Raw!$A:$A,Input_Raw!$DC:$DC),"")</f>
        <v/>
      </c>
      <c r="M293" s="200" t="str">
        <f>IFERROR(_xlfn.XLOOKUP($A293,Input_Raw!$A:$A,Input_Raw!$DF:$DF),"")</f>
        <v/>
      </c>
      <c r="N293" s="200" t="str">
        <f>IFERROR(_xlfn.XLOOKUP($A293,Input_Raw!$A:$A,Input_Raw!$DG:$DG),"")</f>
        <v/>
      </c>
      <c r="O293" s="230" t="str">
        <f>IFERROR(1-(SUMIF(Plant_BD!$B:$B,$A293,Plant_BD!$AL:$AL)/($AA293+SUMIF(Plant_BD!$B:$B,$A293,Plant_BD!$AL:$AL))),"")</f>
        <v/>
      </c>
      <c r="P293" s="230"/>
      <c r="Q293" s="231" t="str">
        <f>IFERROR(1-(SUMIF(Grid_BD!$B:$B,$A293,Grid_BD!$V:$V)/($AA293+SUMIF(Grid_BD!$B:$B,$A293,Grid_BD!$V:$V))),"")</f>
        <v/>
      </c>
      <c r="R293" s="230" t="str">
        <f>IFERROR(1-(SUMIF(Grid_BD!$B:$B,$A293,Grid_BD!$V:$V)/($AA293+SUMIF(Grid_BD!$B:$B,$A293,Grid_BD!$V:$V))),"")</f>
        <v/>
      </c>
      <c r="S293" s="9"/>
      <c r="T293" s="231"/>
      <c r="U293" s="232" t="str">
        <f t="shared" si="21"/>
        <v/>
      </c>
      <c r="V293" s="232" t="str">
        <f>IFERROR(_xlfn.XLOOKUP($A293,Input_Raw!$A:$A,Input_Raw!$FG:$FG),"")</f>
        <v/>
      </c>
      <c r="W293" s="233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85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33">
        <f>IFERROR(_xlfn.XLOOKUP($D293,'Modelling New'!$D:$D,'Modelling New'!O:O),"")</f>
        <v>0.85614594057129279</v>
      </c>
      <c r="AF293" s="233">
        <f>IFERROR(_xlfn.XLOOKUP($D293,'Modelling New'!$D:$D,'Modelling New'!W:W),"")</f>
        <v>0.19677547827646649</v>
      </c>
      <c r="AG293" s="233">
        <f>IFERROR(_xlfn.XLOOKUP($D293,'Modelling New'!$D:$D,'Modelling New'!AE:AE),"")</f>
        <v>0.995</v>
      </c>
      <c r="AH293" s="233">
        <f>IFERROR(_xlfn.XLOOKUP($D293,'Modelling New'!$D:$D,'Modelling New'!AF:AF),"")</f>
        <v>0.995</v>
      </c>
      <c r="AI293" s="9"/>
      <c r="AJ293" s="9"/>
      <c r="AK293" s="256"/>
      <c r="AL293" s="256"/>
      <c r="AM293" s="256"/>
      <c r="AN293" s="230"/>
      <c r="AO293" s="233"/>
      <c r="AP293" s="233"/>
      <c r="AQ293" s="233"/>
      <c r="AR293" s="234">
        <f>_xlfn.XLOOKUP(D293,'Modelling New'!$D:$D,'Modelling New'!$N:$N)</f>
        <v>130</v>
      </c>
      <c r="AS293" s="234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29">
        <f>Table13[[#This Row],[Date]]-DAY(Table13[[#This Row],[Date]])+1</f>
        <v>46023</v>
      </c>
      <c r="E294" s="9">
        <f t="shared" si="20"/>
        <v>31</v>
      </c>
      <c r="F294" s="199" t="str">
        <f>IFERROR(_xlfn.XLOOKUP($A294,Input_Raw!$A:$A,Input_Raw!$FC:$FC),"")</f>
        <v/>
      </c>
      <c r="G294" s="200" t="str">
        <f>IFERROR(_xlfn.XLOOKUP($A294,Input_Raw!$A:$A,Input_Raw!$CY:$CY),"")</f>
        <v/>
      </c>
      <c r="H294" s="200" t="str">
        <f>IFERROR(_xlfn.XLOOKUP($A294,Input_Raw!$A:$A,Input_Raw!$DA:$DA),"")</f>
        <v/>
      </c>
      <c r="I294" s="200" t="str">
        <f>IFERROR(_xlfn.XLOOKUP($A294,Input_Raw!$A:$A,Input_Raw!$CX:$CX),"")</f>
        <v/>
      </c>
      <c r="J294" s="200" t="str">
        <f>IFERROR(_xlfn.XLOOKUP($A294,Input_Raw!$A:$A,Input_Raw!$CZ:$CZ),"")</f>
        <v/>
      </c>
      <c r="K294" s="201" t="str">
        <f>IFERROR(_xlfn.XLOOKUP($A294,Input_Raw!$A:$A,Input_Raw!$DB:$DB),"")</f>
        <v/>
      </c>
      <c r="L294" s="201" t="str">
        <f>IFERROR(_xlfn.XLOOKUP($A294,Input_Raw!$A:$A,Input_Raw!$DC:$DC),"")</f>
        <v/>
      </c>
      <c r="M294" s="200" t="str">
        <f>IFERROR(_xlfn.XLOOKUP($A294,Input_Raw!$A:$A,Input_Raw!$DF:$DF),"")</f>
        <v/>
      </c>
      <c r="N294" s="200" t="str">
        <f>IFERROR(_xlfn.XLOOKUP($A294,Input_Raw!$A:$A,Input_Raw!$DG:$DG),"")</f>
        <v/>
      </c>
      <c r="O294" s="230" t="str">
        <f>IFERROR(1-(SUMIF(Plant_BD!$B:$B,$A294,Plant_BD!$AL:$AL)/($AA294+SUMIF(Plant_BD!$B:$B,$A294,Plant_BD!$AL:$AL))),"")</f>
        <v/>
      </c>
      <c r="P294" s="230"/>
      <c r="Q294" s="231" t="str">
        <f>IFERROR(1-(SUMIF(Grid_BD!$B:$B,$A294,Grid_BD!$V:$V)/($AA294+SUMIF(Grid_BD!$B:$B,$A294,Grid_BD!$V:$V))),"")</f>
        <v/>
      </c>
      <c r="R294" s="230" t="str">
        <f>IFERROR(1-(SUMIF(Grid_BD!$B:$B,$A294,Grid_BD!$V:$V)/($AA294+SUMIF(Grid_BD!$B:$B,$A294,Grid_BD!$V:$V))),"")</f>
        <v/>
      </c>
      <c r="S294" s="9"/>
      <c r="T294" s="231"/>
      <c r="U294" s="232" t="str">
        <f t="shared" si="21"/>
        <v/>
      </c>
      <c r="V294" s="232" t="str">
        <f>IFERROR(_xlfn.XLOOKUP($A294,Input_Raw!$A:$A,Input_Raw!$FG:$FG),"")</f>
        <v/>
      </c>
      <c r="W294" s="233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85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33">
        <f>IFERROR(_xlfn.XLOOKUP($D294,'Modelling New'!$D:$D,'Modelling New'!O:O),"")</f>
        <v>0.85614594057129279</v>
      </c>
      <c r="AF294" s="233">
        <f>IFERROR(_xlfn.XLOOKUP($D294,'Modelling New'!$D:$D,'Modelling New'!W:W),"")</f>
        <v>0.19677547827646649</v>
      </c>
      <c r="AG294" s="233">
        <f>IFERROR(_xlfn.XLOOKUP($D294,'Modelling New'!$D:$D,'Modelling New'!AE:AE),"")</f>
        <v>0.995</v>
      </c>
      <c r="AH294" s="233">
        <f>IFERROR(_xlfn.XLOOKUP($D294,'Modelling New'!$D:$D,'Modelling New'!AF:AF),"")</f>
        <v>0.995</v>
      </c>
      <c r="AI294" s="9"/>
      <c r="AJ294" s="9"/>
      <c r="AK294" s="256"/>
      <c r="AL294" s="256"/>
      <c r="AM294" s="256"/>
      <c r="AN294" s="230"/>
      <c r="AO294" s="233"/>
      <c r="AP294" s="233"/>
      <c r="AQ294" s="233"/>
      <c r="AR294" s="234">
        <f>_xlfn.XLOOKUP(D294,'Modelling New'!$D:$D,'Modelling New'!$N:$N)</f>
        <v>130</v>
      </c>
      <c r="AS294" s="234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29">
        <f>Table13[[#This Row],[Date]]-DAY(Table13[[#This Row],[Date]])+1</f>
        <v>46023</v>
      </c>
      <c r="E295" s="9">
        <f t="shared" si="20"/>
        <v>31</v>
      </c>
      <c r="F295" s="199" t="str">
        <f>IFERROR(_xlfn.XLOOKUP($A295,Input_Raw!$A:$A,Input_Raw!$FC:$FC),"")</f>
        <v/>
      </c>
      <c r="G295" s="185" t="str">
        <f>IFERROR(_xlfn.XLOOKUP($A295,Input_Raw!$A:$A,Input_Raw!$CY:$CY),"")</f>
        <v/>
      </c>
      <c r="H295" s="185" t="str">
        <f>IFERROR(_xlfn.XLOOKUP($A295,Input_Raw!$A:$A,Input_Raw!$DA:$DA),"")</f>
        <v/>
      </c>
      <c r="I295" s="185" t="str">
        <f>IFERROR(_xlfn.XLOOKUP($A295,Input_Raw!$A:$A,Input_Raw!$CX:$CX),"")</f>
        <v/>
      </c>
      <c r="J295" s="185" t="str">
        <f>IFERROR(_xlfn.XLOOKUP($A295,Input_Raw!$A:$A,Input_Raw!$CZ:$CZ),"")</f>
        <v/>
      </c>
      <c r="K295" s="201" t="str">
        <f>IFERROR(_xlfn.XLOOKUP($A295,Input_Raw!$A:$A,Input_Raw!$DB:$DB),"")</f>
        <v/>
      </c>
      <c r="L295" s="201" t="str">
        <f>IFERROR(_xlfn.XLOOKUP($A295,Input_Raw!$A:$A,Input_Raw!$DC:$DC),"")</f>
        <v/>
      </c>
      <c r="M295" s="200" t="str">
        <f>IFERROR(_xlfn.XLOOKUP($A295,Input_Raw!$A:$A,Input_Raw!$DF:$DF),"")</f>
        <v/>
      </c>
      <c r="N295" s="200" t="str">
        <f>IFERROR(_xlfn.XLOOKUP($A295,Input_Raw!$A:$A,Input_Raw!$DG:$DG),"")</f>
        <v/>
      </c>
      <c r="O295" s="230" t="str">
        <f>IFERROR(1-(SUMIF(Plant_BD!$B:$B,$A295,Plant_BD!$AL:$AL)/($AA295+SUMIF(Plant_BD!$B:$B,$A295,Plant_BD!$AL:$AL))),"")</f>
        <v/>
      </c>
      <c r="P295" s="230"/>
      <c r="Q295" s="231" t="str">
        <f>IFERROR(1-(SUMIF(Grid_BD!$B:$B,$A295,Grid_BD!$V:$V)/($AA295+SUMIF(Grid_BD!$B:$B,$A295,Grid_BD!$V:$V))),"")</f>
        <v/>
      </c>
      <c r="R295" s="230" t="str">
        <f>IFERROR(1-(SUMIF(Grid_BD!$B:$B,$A295,Grid_BD!$V:$V)/($AA295+SUMIF(Grid_BD!$B:$B,$A295,Grid_BD!$V:$V))),"")</f>
        <v/>
      </c>
      <c r="S295" s="9"/>
      <c r="T295" s="231"/>
      <c r="U295" s="232" t="str">
        <f t="shared" si="21"/>
        <v/>
      </c>
      <c r="V295" s="232" t="str">
        <f>IFERROR(_xlfn.XLOOKUP($A295,Input_Raw!$A:$A,Input_Raw!$FG:$FG),"")</f>
        <v/>
      </c>
      <c r="W295" s="233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85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33">
        <f>IFERROR(_xlfn.XLOOKUP($D295,'Modelling New'!$D:$D,'Modelling New'!O:O),"")</f>
        <v>0.85614594057129279</v>
      </c>
      <c r="AF295" s="233">
        <f>IFERROR(_xlfn.XLOOKUP($D295,'Modelling New'!$D:$D,'Modelling New'!W:W),"")</f>
        <v>0.19677547827646649</v>
      </c>
      <c r="AG295" s="233">
        <f>IFERROR(_xlfn.XLOOKUP($D295,'Modelling New'!$D:$D,'Modelling New'!AE:AE),"")</f>
        <v>0.995</v>
      </c>
      <c r="AH295" s="233">
        <f>IFERROR(_xlfn.XLOOKUP($D295,'Modelling New'!$D:$D,'Modelling New'!AF:AF),"")</f>
        <v>0.995</v>
      </c>
      <c r="AI295" s="9"/>
      <c r="AJ295" s="9"/>
      <c r="AK295" s="256"/>
      <c r="AL295" s="256"/>
      <c r="AM295" s="256"/>
      <c r="AN295" s="230"/>
      <c r="AO295" s="233"/>
      <c r="AP295" s="233"/>
      <c r="AQ295" s="233"/>
      <c r="AR295" s="234">
        <f>_xlfn.XLOOKUP(D295,'Modelling New'!$D:$D,'Modelling New'!$N:$N)</f>
        <v>130</v>
      </c>
      <c r="AS295" s="234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29">
        <f>Table13[[#This Row],[Date]]-DAY(Table13[[#This Row],[Date]])+1</f>
        <v>46023</v>
      </c>
      <c r="E296" s="9">
        <f t="shared" ref="E296:E359" si="25">DAY(EOMONTH(A296,0))</f>
        <v>31</v>
      </c>
      <c r="F296" s="199" t="str">
        <f>IFERROR(_xlfn.XLOOKUP($A296,Input_Raw!$A:$A,Input_Raw!$FC:$FC),"")</f>
        <v/>
      </c>
      <c r="G296" s="200" t="str">
        <f>IFERROR(_xlfn.XLOOKUP($A296,Input_Raw!$A:$A,Input_Raw!$CY:$CY),"")</f>
        <v/>
      </c>
      <c r="H296" s="200" t="str">
        <f>IFERROR(_xlfn.XLOOKUP($A296,Input_Raw!$A:$A,Input_Raw!$DA:$DA),"")</f>
        <v/>
      </c>
      <c r="I296" s="200" t="str">
        <f>IFERROR(_xlfn.XLOOKUP($A296,Input_Raw!$A:$A,Input_Raw!$CX:$CX),"")</f>
        <v/>
      </c>
      <c r="J296" s="200" t="str">
        <f>IFERROR(_xlfn.XLOOKUP($A296,Input_Raw!$A:$A,Input_Raw!$CZ:$CZ),"")</f>
        <v/>
      </c>
      <c r="K296" s="201" t="str">
        <f>IFERROR(_xlfn.XLOOKUP($A296,Input_Raw!$A:$A,Input_Raw!$DB:$DB),"")</f>
        <v/>
      </c>
      <c r="L296" s="201" t="str">
        <f>IFERROR(_xlfn.XLOOKUP($A296,Input_Raw!$A:$A,Input_Raw!$DC:$DC),"")</f>
        <v/>
      </c>
      <c r="M296" s="200" t="str">
        <f>IFERROR(_xlfn.XLOOKUP($A296,Input_Raw!$A:$A,Input_Raw!$DF:$DF),"")</f>
        <v/>
      </c>
      <c r="N296" s="200" t="str">
        <f>IFERROR(_xlfn.XLOOKUP($A296,Input_Raw!$A:$A,Input_Raw!$DG:$DG),"")</f>
        <v/>
      </c>
      <c r="O296" s="230" t="str">
        <f>IFERROR(1-(SUMIF(Plant_BD!$B:$B,$A296,Plant_BD!$AL:$AL)/($AA296+SUMIF(Plant_BD!$B:$B,$A296,Plant_BD!$AL:$AL))),"")</f>
        <v/>
      </c>
      <c r="P296" s="230"/>
      <c r="Q296" s="231" t="str">
        <f>IFERROR(1-(SUMIF(Grid_BD!$B:$B,$A296,Grid_BD!$V:$V)/($AA296+SUMIF(Grid_BD!$B:$B,$A296,Grid_BD!$V:$V))),"")</f>
        <v/>
      </c>
      <c r="R296" s="230" t="str">
        <f>IFERROR(1-(SUMIF(Grid_BD!$B:$B,$A296,Grid_BD!$V:$V)/($AA296+SUMIF(Grid_BD!$B:$B,$A296,Grid_BD!$V:$V))),"")</f>
        <v/>
      </c>
      <c r="S296" s="9"/>
      <c r="T296" s="231"/>
      <c r="U296" s="232" t="str">
        <f t="shared" ref="U296:U359" si="26">IFERROR(AA296/I296/AB296/1000,"")</f>
        <v/>
      </c>
      <c r="V296" s="232" t="str">
        <f>IFERROR(_xlfn.XLOOKUP($A296,Input_Raw!$A:$A,Input_Raw!$FG:$FG),"")</f>
        <v/>
      </c>
      <c r="W296" s="233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85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33">
        <f>IFERROR(_xlfn.XLOOKUP($D296,'Modelling New'!$D:$D,'Modelling New'!O:O),"")</f>
        <v>0.85614594057129279</v>
      </c>
      <c r="AF296" s="233">
        <f>IFERROR(_xlfn.XLOOKUP($D296,'Modelling New'!$D:$D,'Modelling New'!W:W),"")</f>
        <v>0.19677547827646649</v>
      </c>
      <c r="AG296" s="233">
        <f>IFERROR(_xlfn.XLOOKUP($D296,'Modelling New'!$D:$D,'Modelling New'!AE:AE),"")</f>
        <v>0.995</v>
      </c>
      <c r="AH296" s="233">
        <f>IFERROR(_xlfn.XLOOKUP($D296,'Modelling New'!$D:$D,'Modelling New'!AF:AF),"")</f>
        <v>0.995</v>
      </c>
      <c r="AI296" s="9"/>
      <c r="AJ296" s="9"/>
      <c r="AK296" s="256"/>
      <c r="AL296" s="256"/>
      <c r="AM296" s="256"/>
      <c r="AN296" s="230"/>
      <c r="AO296" s="233"/>
      <c r="AP296" s="233"/>
      <c r="AQ296" s="233"/>
      <c r="AR296" s="234">
        <f>_xlfn.XLOOKUP(D296,'Modelling New'!$D:$D,'Modelling New'!$N:$N)</f>
        <v>130</v>
      </c>
      <c r="AS296" s="234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29">
        <f>Table13[[#This Row],[Date]]-DAY(Table13[[#This Row],[Date]])+1</f>
        <v>46023</v>
      </c>
      <c r="E297" s="9">
        <f t="shared" si="25"/>
        <v>31</v>
      </c>
      <c r="F297" s="199" t="str">
        <f>IFERROR(_xlfn.XLOOKUP($A297,Input_Raw!$A:$A,Input_Raw!$FC:$FC),"")</f>
        <v/>
      </c>
      <c r="G297" s="185" t="str">
        <f>IFERROR(_xlfn.XLOOKUP($A297,Input_Raw!$A:$A,Input_Raw!$CY:$CY),"")</f>
        <v/>
      </c>
      <c r="H297" s="185" t="str">
        <f>IFERROR(_xlfn.XLOOKUP($A297,Input_Raw!$A:$A,Input_Raw!$DA:$DA),"")</f>
        <v/>
      </c>
      <c r="I297" s="185" t="str">
        <f>IFERROR(_xlfn.XLOOKUP($A297,Input_Raw!$A:$A,Input_Raw!$CX:$CX),"")</f>
        <v/>
      </c>
      <c r="J297" s="185" t="str">
        <f>IFERROR(_xlfn.XLOOKUP($A297,Input_Raw!$A:$A,Input_Raw!$CZ:$CZ),"")</f>
        <v/>
      </c>
      <c r="K297" s="201" t="str">
        <f>IFERROR(_xlfn.XLOOKUP($A297,Input_Raw!$A:$A,Input_Raw!$DB:$DB),"")</f>
        <v/>
      </c>
      <c r="L297" s="201" t="str">
        <f>IFERROR(_xlfn.XLOOKUP($A297,Input_Raw!$A:$A,Input_Raw!$DC:$DC),"")</f>
        <v/>
      </c>
      <c r="M297" s="200" t="str">
        <f>IFERROR(_xlfn.XLOOKUP($A297,Input_Raw!$A:$A,Input_Raw!$DF:$DF),"")</f>
        <v/>
      </c>
      <c r="N297" s="200" t="str">
        <f>IFERROR(_xlfn.XLOOKUP($A297,Input_Raw!$A:$A,Input_Raw!$DG:$DG),"")</f>
        <v/>
      </c>
      <c r="O297" s="230" t="str">
        <f>IFERROR(1-(SUMIF(Plant_BD!$B:$B,$A297,Plant_BD!$AL:$AL)/($AA297+SUMIF(Plant_BD!$B:$B,$A297,Plant_BD!$AL:$AL))),"")</f>
        <v/>
      </c>
      <c r="P297" s="230"/>
      <c r="Q297" s="231" t="str">
        <f>IFERROR(1-(SUMIF(Grid_BD!$B:$B,$A297,Grid_BD!$V:$V)/($AA297+SUMIF(Grid_BD!$B:$B,$A297,Grid_BD!$V:$V))),"")</f>
        <v/>
      </c>
      <c r="R297" s="230" t="str">
        <f>IFERROR(1-(SUMIF(Grid_BD!$B:$B,$A297,Grid_BD!$V:$V)/($AA297+SUMIF(Grid_BD!$B:$B,$A297,Grid_BD!$V:$V))),"")</f>
        <v/>
      </c>
      <c r="S297" s="9"/>
      <c r="T297" s="231"/>
      <c r="U297" s="232" t="str">
        <f t="shared" si="26"/>
        <v/>
      </c>
      <c r="V297" s="232" t="str">
        <f>IFERROR(_xlfn.XLOOKUP($A297,Input_Raw!$A:$A,Input_Raw!$FG:$FG),"")</f>
        <v/>
      </c>
      <c r="W297" s="233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85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33">
        <f>IFERROR(_xlfn.XLOOKUP($D297,'Modelling New'!$D:$D,'Modelling New'!O:O),"")</f>
        <v>0.85614594057129279</v>
      </c>
      <c r="AF297" s="233">
        <f>IFERROR(_xlfn.XLOOKUP($D297,'Modelling New'!$D:$D,'Modelling New'!W:W),"")</f>
        <v>0.19677547827646649</v>
      </c>
      <c r="AG297" s="233">
        <f>IFERROR(_xlfn.XLOOKUP($D297,'Modelling New'!$D:$D,'Modelling New'!AE:AE),"")</f>
        <v>0.995</v>
      </c>
      <c r="AH297" s="233">
        <f>IFERROR(_xlfn.XLOOKUP($D297,'Modelling New'!$D:$D,'Modelling New'!AF:AF),"")</f>
        <v>0.995</v>
      </c>
      <c r="AI297" s="9"/>
      <c r="AJ297" s="9"/>
      <c r="AK297" s="256"/>
      <c r="AL297" s="256"/>
      <c r="AM297" s="256"/>
      <c r="AN297" s="230"/>
      <c r="AO297" s="233"/>
      <c r="AP297" s="233"/>
      <c r="AQ297" s="233"/>
      <c r="AR297" s="234">
        <f>_xlfn.XLOOKUP(D297,'Modelling New'!$D:$D,'Modelling New'!$N:$N)</f>
        <v>130</v>
      </c>
      <c r="AS297" s="234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29">
        <f>Table13[[#This Row],[Date]]-DAY(Table13[[#This Row],[Date]])+1</f>
        <v>46023</v>
      </c>
      <c r="E298" s="9">
        <f t="shared" si="25"/>
        <v>31</v>
      </c>
      <c r="F298" s="199" t="str">
        <f>IFERROR(_xlfn.XLOOKUP($A298,Input_Raw!$A:$A,Input_Raw!$FC:$FC),"")</f>
        <v/>
      </c>
      <c r="G298" s="200" t="str">
        <f>IFERROR(_xlfn.XLOOKUP($A298,Input_Raw!$A:$A,Input_Raw!$CY:$CY),"")</f>
        <v/>
      </c>
      <c r="H298" s="200" t="str">
        <f>IFERROR(_xlfn.XLOOKUP($A298,Input_Raw!$A:$A,Input_Raw!$DA:$DA),"")</f>
        <v/>
      </c>
      <c r="I298" s="200" t="str">
        <f>IFERROR(_xlfn.XLOOKUP($A298,Input_Raw!$A:$A,Input_Raw!$CX:$CX),"")</f>
        <v/>
      </c>
      <c r="J298" s="200" t="str">
        <f>IFERROR(_xlfn.XLOOKUP($A298,Input_Raw!$A:$A,Input_Raw!$CZ:$CZ),"")</f>
        <v/>
      </c>
      <c r="K298" s="201" t="str">
        <f>IFERROR(_xlfn.XLOOKUP($A298,Input_Raw!$A:$A,Input_Raw!$DB:$DB),"")</f>
        <v/>
      </c>
      <c r="L298" s="201" t="str">
        <f>IFERROR(_xlfn.XLOOKUP($A298,Input_Raw!$A:$A,Input_Raw!$DC:$DC),"")</f>
        <v/>
      </c>
      <c r="M298" s="200" t="str">
        <f>IFERROR(_xlfn.XLOOKUP($A298,Input_Raw!$A:$A,Input_Raw!$DF:$DF),"")</f>
        <v/>
      </c>
      <c r="N298" s="200" t="str">
        <f>IFERROR(_xlfn.XLOOKUP($A298,Input_Raw!$A:$A,Input_Raw!$DG:$DG),"")</f>
        <v/>
      </c>
      <c r="O298" s="230" t="str">
        <f>IFERROR(1-(SUMIF(Plant_BD!$B:$B,$A298,Plant_BD!$AL:$AL)/($AA298+SUMIF(Plant_BD!$B:$B,$A298,Plant_BD!$AL:$AL))),"")</f>
        <v/>
      </c>
      <c r="P298" s="230"/>
      <c r="Q298" s="231" t="str">
        <f>IFERROR(1-(SUMIF(Grid_BD!$B:$B,$A298,Grid_BD!$V:$V)/($AA298+SUMIF(Grid_BD!$B:$B,$A298,Grid_BD!$V:$V))),"")</f>
        <v/>
      </c>
      <c r="R298" s="230" t="str">
        <f>IFERROR(1-(SUMIF(Grid_BD!$B:$B,$A298,Grid_BD!$V:$V)/($AA298+SUMIF(Grid_BD!$B:$B,$A298,Grid_BD!$V:$V))),"")</f>
        <v/>
      </c>
      <c r="S298" s="9"/>
      <c r="T298" s="231"/>
      <c r="U298" s="232" t="str">
        <f t="shared" si="26"/>
        <v/>
      </c>
      <c r="V298" s="232" t="str">
        <f>IFERROR(_xlfn.XLOOKUP($A298,Input_Raw!$A:$A,Input_Raw!$FG:$FG),"")</f>
        <v/>
      </c>
      <c r="W298" s="233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85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33">
        <f>IFERROR(_xlfn.XLOOKUP($D298,'Modelling New'!$D:$D,'Modelling New'!O:O),"")</f>
        <v>0.85614594057129279</v>
      </c>
      <c r="AF298" s="233">
        <f>IFERROR(_xlfn.XLOOKUP($D298,'Modelling New'!$D:$D,'Modelling New'!W:W),"")</f>
        <v>0.19677547827646649</v>
      </c>
      <c r="AG298" s="233">
        <f>IFERROR(_xlfn.XLOOKUP($D298,'Modelling New'!$D:$D,'Modelling New'!AE:AE),"")</f>
        <v>0.995</v>
      </c>
      <c r="AH298" s="233">
        <f>IFERROR(_xlfn.XLOOKUP($D298,'Modelling New'!$D:$D,'Modelling New'!AF:AF),"")</f>
        <v>0.995</v>
      </c>
      <c r="AI298" s="9"/>
      <c r="AJ298" s="9"/>
      <c r="AK298" s="256"/>
      <c r="AL298" s="256"/>
      <c r="AM298" s="256"/>
      <c r="AN298" s="230"/>
      <c r="AO298" s="233"/>
      <c r="AP298" s="233"/>
      <c r="AQ298" s="233"/>
      <c r="AR298" s="234">
        <f>_xlfn.XLOOKUP(D298,'Modelling New'!$D:$D,'Modelling New'!$N:$N)</f>
        <v>130</v>
      </c>
      <c r="AS298" s="234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29">
        <f>Table13[[#This Row],[Date]]-DAY(Table13[[#This Row],[Date]])+1</f>
        <v>46023</v>
      </c>
      <c r="E299" s="9">
        <f t="shared" si="25"/>
        <v>31</v>
      </c>
      <c r="F299" s="199" t="str">
        <f>IFERROR(_xlfn.XLOOKUP($A299,Input_Raw!$A:$A,Input_Raw!$FC:$FC),"")</f>
        <v/>
      </c>
      <c r="G299" s="185" t="str">
        <f>IFERROR(_xlfn.XLOOKUP($A299,Input_Raw!$A:$A,Input_Raw!$CY:$CY),"")</f>
        <v/>
      </c>
      <c r="H299" s="185" t="str">
        <f>IFERROR(_xlfn.XLOOKUP($A299,Input_Raw!$A:$A,Input_Raw!$DA:$DA),"")</f>
        <v/>
      </c>
      <c r="I299" s="185" t="str">
        <f>IFERROR(_xlfn.XLOOKUP($A299,Input_Raw!$A:$A,Input_Raw!$CX:$CX),"")</f>
        <v/>
      </c>
      <c r="J299" s="185" t="str">
        <f>IFERROR(_xlfn.XLOOKUP($A299,Input_Raw!$A:$A,Input_Raw!$CZ:$CZ),"")</f>
        <v/>
      </c>
      <c r="K299" s="201" t="str">
        <f>IFERROR(_xlfn.XLOOKUP($A299,Input_Raw!$A:$A,Input_Raw!$DB:$DB),"")</f>
        <v/>
      </c>
      <c r="L299" s="201" t="str">
        <f>IFERROR(_xlfn.XLOOKUP($A299,Input_Raw!$A:$A,Input_Raw!$DC:$DC),"")</f>
        <v/>
      </c>
      <c r="M299" s="200" t="str">
        <f>IFERROR(_xlfn.XLOOKUP($A299,Input_Raw!$A:$A,Input_Raw!$DF:$DF),"")</f>
        <v/>
      </c>
      <c r="N299" s="200" t="str">
        <f>IFERROR(_xlfn.XLOOKUP($A299,Input_Raw!$A:$A,Input_Raw!$DG:$DG),"")</f>
        <v/>
      </c>
      <c r="O299" s="230" t="str">
        <f>IFERROR(1-(SUMIF(Plant_BD!$B:$B,$A299,Plant_BD!$AL:$AL)/($AA299+SUMIF(Plant_BD!$B:$B,$A299,Plant_BD!$AL:$AL))),"")</f>
        <v/>
      </c>
      <c r="P299" s="230"/>
      <c r="Q299" s="231" t="str">
        <f>IFERROR(1-(SUMIF(Grid_BD!$B:$B,$A299,Grid_BD!$V:$V)/($AA299+SUMIF(Grid_BD!$B:$B,$A299,Grid_BD!$V:$V))),"")</f>
        <v/>
      </c>
      <c r="R299" s="230" t="str">
        <f>IFERROR(1-(SUMIF(Grid_BD!$B:$B,$A299,Grid_BD!$V:$V)/($AA299+SUMIF(Grid_BD!$B:$B,$A299,Grid_BD!$V:$V))),"")</f>
        <v/>
      </c>
      <c r="S299" s="9"/>
      <c r="T299" s="231"/>
      <c r="U299" s="232" t="str">
        <f t="shared" si="26"/>
        <v/>
      </c>
      <c r="V299" s="232" t="str">
        <f>IFERROR(_xlfn.XLOOKUP($A299,Input_Raw!$A:$A,Input_Raw!$FG:$FG),"")</f>
        <v/>
      </c>
      <c r="W299" s="233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85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33">
        <f>IFERROR(_xlfn.XLOOKUP($D299,'Modelling New'!$D:$D,'Modelling New'!O:O),"")</f>
        <v>0.85614594057129279</v>
      </c>
      <c r="AF299" s="233">
        <f>IFERROR(_xlfn.XLOOKUP($D299,'Modelling New'!$D:$D,'Modelling New'!W:W),"")</f>
        <v>0.19677547827646649</v>
      </c>
      <c r="AG299" s="233">
        <f>IFERROR(_xlfn.XLOOKUP($D299,'Modelling New'!$D:$D,'Modelling New'!AE:AE),"")</f>
        <v>0.995</v>
      </c>
      <c r="AH299" s="233">
        <f>IFERROR(_xlfn.XLOOKUP($D299,'Modelling New'!$D:$D,'Modelling New'!AF:AF),"")</f>
        <v>0.995</v>
      </c>
      <c r="AI299" s="9"/>
      <c r="AJ299" s="9"/>
      <c r="AK299" s="256"/>
      <c r="AL299" s="256"/>
      <c r="AM299" s="256"/>
      <c r="AN299" s="230"/>
      <c r="AO299" s="233"/>
      <c r="AP299" s="233"/>
      <c r="AQ299" s="233"/>
      <c r="AR299" s="234">
        <f>_xlfn.XLOOKUP(D299,'Modelling New'!$D:$D,'Modelling New'!$N:$N)</f>
        <v>130</v>
      </c>
      <c r="AS299" s="234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29">
        <f>Table13[[#This Row],[Date]]-DAY(Table13[[#This Row],[Date]])+1</f>
        <v>46023</v>
      </c>
      <c r="E300" s="9">
        <f t="shared" si="25"/>
        <v>31</v>
      </c>
      <c r="F300" s="199" t="str">
        <f>IFERROR(_xlfn.XLOOKUP($A300,Input_Raw!$A:$A,Input_Raw!$FC:$FC),"")</f>
        <v/>
      </c>
      <c r="G300" s="200" t="str">
        <f>IFERROR(_xlfn.XLOOKUP($A300,Input_Raw!$A:$A,Input_Raw!$CY:$CY),"")</f>
        <v/>
      </c>
      <c r="H300" s="200" t="str">
        <f>IFERROR(_xlfn.XLOOKUP($A300,Input_Raw!$A:$A,Input_Raw!$DA:$DA),"")</f>
        <v/>
      </c>
      <c r="I300" s="200" t="str">
        <f>IFERROR(_xlfn.XLOOKUP($A300,Input_Raw!$A:$A,Input_Raw!$CX:$CX),"")</f>
        <v/>
      </c>
      <c r="J300" s="200" t="str">
        <f>IFERROR(_xlfn.XLOOKUP($A300,Input_Raw!$A:$A,Input_Raw!$CZ:$CZ),"")</f>
        <v/>
      </c>
      <c r="K300" s="201" t="str">
        <f>IFERROR(_xlfn.XLOOKUP($A300,Input_Raw!$A:$A,Input_Raw!$DB:$DB),"")</f>
        <v/>
      </c>
      <c r="L300" s="201" t="str">
        <f>IFERROR(_xlfn.XLOOKUP($A300,Input_Raw!$A:$A,Input_Raw!$DC:$DC),"")</f>
        <v/>
      </c>
      <c r="M300" s="200" t="str">
        <f>IFERROR(_xlfn.XLOOKUP($A300,Input_Raw!$A:$A,Input_Raw!$DF:$DF),"")</f>
        <v/>
      </c>
      <c r="N300" s="200" t="str">
        <f>IFERROR(_xlfn.XLOOKUP($A300,Input_Raw!$A:$A,Input_Raw!$DG:$DG),"")</f>
        <v/>
      </c>
      <c r="O300" s="230" t="str">
        <f>IFERROR(1-(SUMIF(Plant_BD!$B:$B,$A300,Plant_BD!$AL:$AL)/($AA300+SUMIF(Plant_BD!$B:$B,$A300,Plant_BD!$AL:$AL))),"")</f>
        <v/>
      </c>
      <c r="P300" s="230"/>
      <c r="Q300" s="231" t="str">
        <f>IFERROR(1-(SUMIF(Grid_BD!$B:$B,$A300,Grid_BD!$V:$V)/($AA300+SUMIF(Grid_BD!$B:$B,$A300,Grid_BD!$V:$V))),"")</f>
        <v/>
      </c>
      <c r="R300" s="230" t="str">
        <f>IFERROR(1-(SUMIF(Grid_BD!$B:$B,$A300,Grid_BD!$V:$V)/($AA300+SUMIF(Grid_BD!$B:$B,$A300,Grid_BD!$V:$V))),"")</f>
        <v/>
      </c>
      <c r="S300" s="9"/>
      <c r="T300" s="231"/>
      <c r="U300" s="232" t="str">
        <f t="shared" si="26"/>
        <v/>
      </c>
      <c r="V300" s="232" t="str">
        <f>IFERROR(_xlfn.XLOOKUP($A300,Input_Raw!$A:$A,Input_Raw!$FG:$FG),"")</f>
        <v/>
      </c>
      <c r="W300" s="233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85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33">
        <f>IFERROR(_xlfn.XLOOKUP($D300,'Modelling New'!$D:$D,'Modelling New'!O:O),"")</f>
        <v>0.85614594057129279</v>
      </c>
      <c r="AF300" s="233">
        <f>IFERROR(_xlfn.XLOOKUP($D300,'Modelling New'!$D:$D,'Modelling New'!W:W),"")</f>
        <v>0.19677547827646649</v>
      </c>
      <c r="AG300" s="233">
        <f>IFERROR(_xlfn.XLOOKUP($D300,'Modelling New'!$D:$D,'Modelling New'!AE:AE),"")</f>
        <v>0.995</v>
      </c>
      <c r="AH300" s="233">
        <f>IFERROR(_xlfn.XLOOKUP($D300,'Modelling New'!$D:$D,'Modelling New'!AF:AF),"")</f>
        <v>0.995</v>
      </c>
      <c r="AI300" s="9"/>
      <c r="AJ300" s="9"/>
      <c r="AK300" s="256"/>
      <c r="AL300" s="256"/>
      <c r="AM300" s="256"/>
      <c r="AN300" s="230"/>
      <c r="AO300" s="233"/>
      <c r="AP300" s="233"/>
      <c r="AQ300" s="233"/>
      <c r="AR300" s="234">
        <f>_xlfn.XLOOKUP(D300,'Modelling New'!$D:$D,'Modelling New'!$N:$N)</f>
        <v>130</v>
      </c>
      <c r="AS300" s="234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29">
        <f>Table13[[#This Row],[Date]]-DAY(Table13[[#This Row],[Date]])+1</f>
        <v>46023</v>
      </c>
      <c r="E301" s="9">
        <f t="shared" si="25"/>
        <v>31</v>
      </c>
      <c r="F301" s="199" t="str">
        <f>IFERROR(_xlfn.XLOOKUP($A301,Input_Raw!$A:$A,Input_Raw!$FC:$FC),"")</f>
        <v/>
      </c>
      <c r="G301" s="185" t="str">
        <f>IFERROR(_xlfn.XLOOKUP($A301,Input_Raw!$A:$A,Input_Raw!$CY:$CY),"")</f>
        <v/>
      </c>
      <c r="H301" s="185" t="str">
        <f>IFERROR(_xlfn.XLOOKUP($A301,Input_Raw!$A:$A,Input_Raw!$DA:$DA),"")</f>
        <v/>
      </c>
      <c r="I301" s="185" t="str">
        <f>IFERROR(_xlfn.XLOOKUP($A301,Input_Raw!$A:$A,Input_Raw!$CX:$CX),"")</f>
        <v/>
      </c>
      <c r="J301" s="185" t="str">
        <f>IFERROR(_xlfn.XLOOKUP($A301,Input_Raw!$A:$A,Input_Raw!$CZ:$CZ),"")</f>
        <v/>
      </c>
      <c r="K301" s="201" t="str">
        <f>IFERROR(_xlfn.XLOOKUP($A301,Input_Raw!$A:$A,Input_Raw!$DB:$DB),"")</f>
        <v/>
      </c>
      <c r="L301" s="201" t="str">
        <f>IFERROR(_xlfn.XLOOKUP($A301,Input_Raw!$A:$A,Input_Raw!$DC:$DC),"")</f>
        <v/>
      </c>
      <c r="M301" s="200" t="str">
        <f>IFERROR(_xlfn.XLOOKUP($A301,Input_Raw!$A:$A,Input_Raw!$DF:$DF),"")</f>
        <v/>
      </c>
      <c r="N301" s="200" t="str">
        <f>IFERROR(_xlfn.XLOOKUP($A301,Input_Raw!$A:$A,Input_Raw!$DG:$DG),"")</f>
        <v/>
      </c>
      <c r="O301" s="230" t="str">
        <f>IFERROR(1-(SUMIF(Plant_BD!$B:$B,$A301,Plant_BD!$AL:$AL)/($AA301+SUMIF(Plant_BD!$B:$B,$A301,Plant_BD!$AL:$AL))),"")</f>
        <v/>
      </c>
      <c r="P301" s="230"/>
      <c r="Q301" s="231" t="str">
        <f>IFERROR(1-(SUMIF(Grid_BD!$B:$B,$A301,Grid_BD!$V:$V)/($AA301+SUMIF(Grid_BD!$B:$B,$A301,Grid_BD!$V:$V))),"")</f>
        <v/>
      </c>
      <c r="R301" s="230" t="str">
        <f>IFERROR(1-(SUMIF(Grid_BD!$B:$B,$A301,Grid_BD!$V:$V)/($AA301+SUMIF(Grid_BD!$B:$B,$A301,Grid_BD!$V:$V))),"")</f>
        <v/>
      </c>
      <c r="S301" s="9"/>
      <c r="T301" s="231"/>
      <c r="U301" s="232" t="str">
        <f t="shared" si="26"/>
        <v/>
      </c>
      <c r="V301" s="232" t="str">
        <f>IFERROR(_xlfn.XLOOKUP($A301,Input_Raw!$A:$A,Input_Raw!$FG:$FG),"")</f>
        <v/>
      </c>
      <c r="W301" s="233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85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33">
        <f>IFERROR(_xlfn.XLOOKUP($D301,'Modelling New'!$D:$D,'Modelling New'!O:O),"")</f>
        <v>0.85614594057129279</v>
      </c>
      <c r="AF301" s="233">
        <f>IFERROR(_xlfn.XLOOKUP($D301,'Modelling New'!$D:$D,'Modelling New'!W:W),"")</f>
        <v>0.19677547827646649</v>
      </c>
      <c r="AG301" s="233">
        <f>IFERROR(_xlfn.XLOOKUP($D301,'Modelling New'!$D:$D,'Modelling New'!AE:AE),"")</f>
        <v>0.995</v>
      </c>
      <c r="AH301" s="233">
        <f>IFERROR(_xlfn.XLOOKUP($D301,'Modelling New'!$D:$D,'Modelling New'!AF:AF),"")</f>
        <v>0.995</v>
      </c>
      <c r="AI301" s="9"/>
      <c r="AJ301" s="9"/>
      <c r="AK301" s="256"/>
      <c r="AL301" s="256"/>
      <c r="AM301" s="256"/>
      <c r="AN301" s="230"/>
      <c r="AO301" s="233"/>
      <c r="AP301" s="233"/>
      <c r="AQ301" s="233"/>
      <c r="AR301" s="234">
        <f>_xlfn.XLOOKUP(D301,'Modelling New'!$D:$D,'Modelling New'!$N:$N)</f>
        <v>130</v>
      </c>
      <c r="AS301" s="234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29">
        <f>Table13[[#This Row],[Date]]-DAY(Table13[[#This Row],[Date]])+1</f>
        <v>46023</v>
      </c>
      <c r="E302" s="9">
        <f t="shared" si="25"/>
        <v>31</v>
      </c>
      <c r="F302" s="199" t="str">
        <f>IFERROR(_xlfn.XLOOKUP($A302,Input_Raw!$A:$A,Input_Raw!$FC:$FC),"")</f>
        <v/>
      </c>
      <c r="G302" s="200" t="str">
        <f>IFERROR(_xlfn.XLOOKUP($A302,Input_Raw!$A:$A,Input_Raw!$CY:$CY),"")</f>
        <v/>
      </c>
      <c r="H302" s="200" t="str">
        <f>IFERROR(_xlfn.XLOOKUP($A302,Input_Raw!$A:$A,Input_Raw!$DA:$DA),"")</f>
        <v/>
      </c>
      <c r="I302" s="200" t="str">
        <f>IFERROR(_xlfn.XLOOKUP($A302,Input_Raw!$A:$A,Input_Raw!$CX:$CX),"")</f>
        <v/>
      </c>
      <c r="J302" s="200" t="str">
        <f>IFERROR(_xlfn.XLOOKUP($A302,Input_Raw!$A:$A,Input_Raw!$CZ:$CZ),"")</f>
        <v/>
      </c>
      <c r="K302" s="201" t="str">
        <f>IFERROR(_xlfn.XLOOKUP($A302,Input_Raw!$A:$A,Input_Raw!$DB:$DB),"")</f>
        <v/>
      </c>
      <c r="L302" s="201" t="str">
        <f>IFERROR(_xlfn.XLOOKUP($A302,Input_Raw!$A:$A,Input_Raw!$DC:$DC),"")</f>
        <v/>
      </c>
      <c r="M302" s="200" t="str">
        <f>IFERROR(_xlfn.XLOOKUP($A302,Input_Raw!$A:$A,Input_Raw!$DF:$DF),"")</f>
        <v/>
      </c>
      <c r="N302" s="200" t="str">
        <f>IFERROR(_xlfn.XLOOKUP($A302,Input_Raw!$A:$A,Input_Raw!$DG:$DG),"")</f>
        <v/>
      </c>
      <c r="O302" s="230" t="str">
        <f>IFERROR(1-(SUMIF(Plant_BD!$B:$B,$A302,Plant_BD!$AL:$AL)/($AA302+SUMIF(Plant_BD!$B:$B,$A302,Plant_BD!$AL:$AL))),"")</f>
        <v/>
      </c>
      <c r="P302" s="230"/>
      <c r="Q302" s="231" t="str">
        <f>IFERROR(1-(SUMIF(Grid_BD!$B:$B,$A302,Grid_BD!$V:$V)/($AA302+SUMIF(Grid_BD!$B:$B,$A302,Grid_BD!$V:$V))),"")</f>
        <v/>
      </c>
      <c r="R302" s="230" t="str">
        <f>IFERROR(1-(SUMIF(Grid_BD!$B:$B,$A302,Grid_BD!$V:$V)/($AA302+SUMIF(Grid_BD!$B:$B,$A302,Grid_BD!$V:$V))),"")</f>
        <v/>
      </c>
      <c r="S302" s="9"/>
      <c r="T302" s="231"/>
      <c r="U302" s="232" t="str">
        <f t="shared" si="26"/>
        <v/>
      </c>
      <c r="V302" s="232" t="str">
        <f>IFERROR(_xlfn.XLOOKUP($A302,Input_Raw!$A:$A,Input_Raw!$FG:$FG),"")</f>
        <v/>
      </c>
      <c r="W302" s="233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85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33">
        <f>IFERROR(_xlfn.XLOOKUP($D302,'Modelling New'!$D:$D,'Modelling New'!O:O),"")</f>
        <v>0.85614594057129279</v>
      </c>
      <c r="AF302" s="233">
        <f>IFERROR(_xlfn.XLOOKUP($D302,'Modelling New'!$D:$D,'Modelling New'!W:W),"")</f>
        <v>0.19677547827646649</v>
      </c>
      <c r="AG302" s="233">
        <f>IFERROR(_xlfn.XLOOKUP($D302,'Modelling New'!$D:$D,'Modelling New'!AE:AE),"")</f>
        <v>0.995</v>
      </c>
      <c r="AH302" s="233">
        <f>IFERROR(_xlfn.XLOOKUP($D302,'Modelling New'!$D:$D,'Modelling New'!AF:AF),"")</f>
        <v>0.995</v>
      </c>
      <c r="AI302" s="9"/>
      <c r="AJ302" s="9"/>
      <c r="AK302" s="256"/>
      <c r="AL302" s="256"/>
      <c r="AM302" s="256"/>
      <c r="AN302" s="230"/>
      <c r="AO302" s="233"/>
      <c r="AP302" s="233"/>
      <c r="AQ302" s="233"/>
      <c r="AR302" s="234">
        <f>_xlfn.XLOOKUP(D302,'Modelling New'!$D:$D,'Modelling New'!$N:$N)</f>
        <v>130</v>
      </c>
      <c r="AS302" s="234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29">
        <f>Table13[[#This Row],[Date]]-DAY(Table13[[#This Row],[Date]])+1</f>
        <v>46023</v>
      </c>
      <c r="E303" s="9">
        <f t="shared" si="25"/>
        <v>31</v>
      </c>
      <c r="F303" s="199" t="str">
        <f>IFERROR(_xlfn.XLOOKUP($A303,Input_Raw!$A:$A,Input_Raw!$FC:$FC),"")</f>
        <v/>
      </c>
      <c r="G303" s="185" t="str">
        <f>IFERROR(_xlfn.XLOOKUP($A303,Input_Raw!$A:$A,Input_Raw!$CY:$CY),"")</f>
        <v/>
      </c>
      <c r="H303" s="185" t="str">
        <f>IFERROR(_xlfn.XLOOKUP($A303,Input_Raw!$A:$A,Input_Raw!$DA:$DA),"")</f>
        <v/>
      </c>
      <c r="I303" s="185" t="str">
        <f>IFERROR(_xlfn.XLOOKUP($A303,Input_Raw!$A:$A,Input_Raw!$CX:$CX),"")</f>
        <v/>
      </c>
      <c r="J303" s="185" t="str">
        <f>IFERROR(_xlfn.XLOOKUP($A303,Input_Raw!$A:$A,Input_Raw!$CZ:$CZ),"")</f>
        <v/>
      </c>
      <c r="K303" s="201" t="str">
        <f>IFERROR(_xlfn.XLOOKUP($A303,Input_Raw!$A:$A,Input_Raw!$DB:$DB),"")</f>
        <v/>
      </c>
      <c r="L303" s="201" t="str">
        <f>IFERROR(_xlfn.XLOOKUP($A303,Input_Raw!$A:$A,Input_Raw!$DC:$DC),"")</f>
        <v/>
      </c>
      <c r="M303" s="200" t="str">
        <f>IFERROR(_xlfn.XLOOKUP($A303,Input_Raw!$A:$A,Input_Raw!$DF:$DF),"")</f>
        <v/>
      </c>
      <c r="N303" s="200" t="str">
        <f>IFERROR(_xlfn.XLOOKUP($A303,Input_Raw!$A:$A,Input_Raw!$DG:$DG),"")</f>
        <v/>
      </c>
      <c r="O303" s="230" t="str">
        <f>IFERROR(1-(SUMIF(Plant_BD!$B:$B,$A303,Plant_BD!$AL:$AL)/($AA303+SUMIF(Plant_BD!$B:$B,$A303,Plant_BD!$AL:$AL))),"")</f>
        <v/>
      </c>
      <c r="P303" s="230"/>
      <c r="Q303" s="231" t="str">
        <f>IFERROR(1-(SUMIF(Grid_BD!$B:$B,$A303,Grid_BD!$V:$V)/($AA303+SUMIF(Grid_BD!$B:$B,$A303,Grid_BD!$V:$V))),"")</f>
        <v/>
      </c>
      <c r="R303" s="230" t="str">
        <f>IFERROR(1-(SUMIF(Grid_BD!$B:$B,$A303,Grid_BD!$V:$V)/($AA303+SUMIF(Grid_BD!$B:$B,$A303,Grid_BD!$V:$V))),"")</f>
        <v/>
      </c>
      <c r="S303" s="9"/>
      <c r="T303" s="231"/>
      <c r="U303" s="232" t="str">
        <f t="shared" si="26"/>
        <v/>
      </c>
      <c r="V303" s="232" t="str">
        <f>IFERROR(_xlfn.XLOOKUP($A303,Input_Raw!$A:$A,Input_Raw!$FG:$FG),"")</f>
        <v/>
      </c>
      <c r="W303" s="233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85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33">
        <f>IFERROR(_xlfn.XLOOKUP($D303,'Modelling New'!$D:$D,'Modelling New'!O:O),"")</f>
        <v>0.85614594057129279</v>
      </c>
      <c r="AF303" s="233">
        <f>IFERROR(_xlfn.XLOOKUP($D303,'Modelling New'!$D:$D,'Modelling New'!W:W),"")</f>
        <v>0.19677547827646649</v>
      </c>
      <c r="AG303" s="233">
        <f>IFERROR(_xlfn.XLOOKUP($D303,'Modelling New'!$D:$D,'Modelling New'!AE:AE),"")</f>
        <v>0.995</v>
      </c>
      <c r="AH303" s="233">
        <f>IFERROR(_xlfn.XLOOKUP($D303,'Modelling New'!$D:$D,'Modelling New'!AF:AF),"")</f>
        <v>0.995</v>
      </c>
      <c r="AI303" s="9"/>
      <c r="AJ303" s="9"/>
      <c r="AK303" s="256"/>
      <c r="AL303" s="256"/>
      <c r="AM303" s="256"/>
      <c r="AN303" s="230"/>
      <c r="AO303" s="233"/>
      <c r="AP303" s="233"/>
      <c r="AQ303" s="233"/>
      <c r="AR303" s="234">
        <f>_xlfn.XLOOKUP(D303,'Modelling New'!$D:$D,'Modelling New'!$N:$N)</f>
        <v>130</v>
      </c>
      <c r="AS303" s="234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29">
        <f>Table13[[#This Row],[Date]]-DAY(Table13[[#This Row],[Date]])+1</f>
        <v>46023</v>
      </c>
      <c r="E304" s="9">
        <f t="shared" si="25"/>
        <v>31</v>
      </c>
      <c r="F304" s="199" t="str">
        <f>IFERROR(_xlfn.XLOOKUP($A304,Input_Raw!$A:$A,Input_Raw!$FC:$FC),"")</f>
        <v/>
      </c>
      <c r="G304" s="200" t="str">
        <f>IFERROR(_xlfn.XLOOKUP($A304,Input_Raw!$A:$A,Input_Raw!$CY:$CY),"")</f>
        <v/>
      </c>
      <c r="H304" s="200" t="str">
        <f>IFERROR(_xlfn.XLOOKUP($A304,Input_Raw!$A:$A,Input_Raw!$DA:$DA),"")</f>
        <v/>
      </c>
      <c r="I304" s="200" t="str">
        <f>IFERROR(_xlfn.XLOOKUP($A304,Input_Raw!$A:$A,Input_Raw!$CX:$CX),"")</f>
        <v/>
      </c>
      <c r="J304" s="200" t="str">
        <f>IFERROR(_xlfn.XLOOKUP($A304,Input_Raw!$A:$A,Input_Raw!$CZ:$CZ),"")</f>
        <v/>
      </c>
      <c r="K304" s="201" t="str">
        <f>IFERROR(_xlfn.XLOOKUP($A304,Input_Raw!$A:$A,Input_Raw!$DB:$DB),"")</f>
        <v/>
      </c>
      <c r="L304" s="201" t="str">
        <f>IFERROR(_xlfn.XLOOKUP($A304,Input_Raw!$A:$A,Input_Raw!$DC:$DC),"")</f>
        <v/>
      </c>
      <c r="M304" s="200" t="str">
        <f>IFERROR(_xlfn.XLOOKUP($A304,Input_Raw!$A:$A,Input_Raw!$DF:$DF),"")</f>
        <v/>
      </c>
      <c r="N304" s="200" t="str">
        <f>IFERROR(_xlfn.XLOOKUP($A304,Input_Raw!$A:$A,Input_Raw!$DG:$DG),"")</f>
        <v/>
      </c>
      <c r="O304" s="230" t="str">
        <f>IFERROR(1-(SUMIF(Plant_BD!$B:$B,$A304,Plant_BD!$AL:$AL)/($AA304+SUMIF(Plant_BD!$B:$B,$A304,Plant_BD!$AL:$AL))),"")</f>
        <v/>
      </c>
      <c r="P304" s="230"/>
      <c r="Q304" s="231" t="str">
        <f>IFERROR(1-(SUMIF(Grid_BD!$B:$B,$A304,Grid_BD!$V:$V)/($AA304+SUMIF(Grid_BD!$B:$B,$A304,Grid_BD!$V:$V))),"")</f>
        <v/>
      </c>
      <c r="R304" s="230" t="str">
        <f>IFERROR(1-(SUMIF(Grid_BD!$B:$B,$A304,Grid_BD!$V:$V)/($AA304+SUMIF(Grid_BD!$B:$B,$A304,Grid_BD!$V:$V))),"")</f>
        <v/>
      </c>
      <c r="S304" s="9"/>
      <c r="T304" s="231"/>
      <c r="U304" s="232" t="str">
        <f t="shared" si="26"/>
        <v/>
      </c>
      <c r="V304" s="232" t="str">
        <f>IFERROR(_xlfn.XLOOKUP($A304,Input_Raw!$A:$A,Input_Raw!$FG:$FG),"")</f>
        <v/>
      </c>
      <c r="W304" s="233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85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33">
        <f>IFERROR(_xlfn.XLOOKUP($D304,'Modelling New'!$D:$D,'Modelling New'!O:O),"")</f>
        <v>0.85614594057129279</v>
      </c>
      <c r="AF304" s="233">
        <f>IFERROR(_xlfn.XLOOKUP($D304,'Modelling New'!$D:$D,'Modelling New'!W:W),"")</f>
        <v>0.19677547827646649</v>
      </c>
      <c r="AG304" s="233">
        <f>IFERROR(_xlfn.XLOOKUP($D304,'Modelling New'!$D:$D,'Modelling New'!AE:AE),"")</f>
        <v>0.995</v>
      </c>
      <c r="AH304" s="233">
        <f>IFERROR(_xlfn.XLOOKUP($D304,'Modelling New'!$D:$D,'Modelling New'!AF:AF),"")</f>
        <v>0.995</v>
      </c>
      <c r="AI304" s="9"/>
      <c r="AJ304" s="9"/>
      <c r="AK304" s="256"/>
      <c r="AL304" s="256"/>
      <c r="AM304" s="256"/>
      <c r="AN304" s="230"/>
      <c r="AO304" s="233"/>
      <c r="AP304" s="233"/>
      <c r="AQ304" s="233"/>
      <c r="AR304" s="234">
        <f>_xlfn.XLOOKUP(D304,'Modelling New'!$D:$D,'Modelling New'!$N:$N)</f>
        <v>130</v>
      </c>
      <c r="AS304" s="234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29">
        <f>Table13[[#This Row],[Date]]-DAY(Table13[[#This Row],[Date]])+1</f>
        <v>46023</v>
      </c>
      <c r="E305" s="9">
        <f t="shared" si="25"/>
        <v>31</v>
      </c>
      <c r="F305" s="199" t="str">
        <f>IFERROR(_xlfn.XLOOKUP($A305,Input_Raw!$A:$A,Input_Raw!$FC:$FC),"")</f>
        <v/>
      </c>
      <c r="G305" s="185" t="str">
        <f>IFERROR(_xlfn.XLOOKUP($A305,Input_Raw!$A:$A,Input_Raw!$CY:$CY),"")</f>
        <v/>
      </c>
      <c r="H305" s="185" t="str">
        <f>IFERROR(_xlfn.XLOOKUP($A305,Input_Raw!$A:$A,Input_Raw!$DA:$DA),"")</f>
        <v/>
      </c>
      <c r="I305" s="185" t="str">
        <f>IFERROR(_xlfn.XLOOKUP($A305,Input_Raw!$A:$A,Input_Raw!$CX:$CX),"")</f>
        <v/>
      </c>
      <c r="J305" s="185" t="str">
        <f>IFERROR(_xlfn.XLOOKUP($A305,Input_Raw!$A:$A,Input_Raw!$CZ:$CZ),"")</f>
        <v/>
      </c>
      <c r="K305" s="201" t="str">
        <f>IFERROR(_xlfn.XLOOKUP($A305,Input_Raw!$A:$A,Input_Raw!$DB:$DB),"")</f>
        <v/>
      </c>
      <c r="L305" s="201" t="str">
        <f>IFERROR(_xlfn.XLOOKUP($A305,Input_Raw!$A:$A,Input_Raw!$DC:$DC),"")</f>
        <v/>
      </c>
      <c r="M305" s="200" t="str">
        <f>IFERROR(_xlfn.XLOOKUP($A305,Input_Raw!$A:$A,Input_Raw!$DF:$DF),"")</f>
        <v/>
      </c>
      <c r="N305" s="200" t="str">
        <f>IFERROR(_xlfn.XLOOKUP($A305,Input_Raw!$A:$A,Input_Raw!$DG:$DG),"")</f>
        <v/>
      </c>
      <c r="O305" s="230" t="str">
        <f>IFERROR(1-(SUMIF(Plant_BD!$B:$B,$A305,Plant_BD!$AL:$AL)/($AA305+SUMIF(Plant_BD!$B:$B,$A305,Plant_BD!$AL:$AL))),"")</f>
        <v/>
      </c>
      <c r="P305" s="230"/>
      <c r="Q305" s="231" t="str">
        <f>IFERROR(1-(SUMIF(Grid_BD!$B:$B,$A305,Grid_BD!$V:$V)/($AA305+SUMIF(Grid_BD!$B:$B,$A305,Grid_BD!$V:$V))),"")</f>
        <v/>
      </c>
      <c r="R305" s="230" t="str">
        <f>IFERROR(1-(SUMIF(Grid_BD!$B:$B,$A305,Grid_BD!$V:$V)/($AA305+SUMIF(Grid_BD!$B:$B,$A305,Grid_BD!$V:$V))),"")</f>
        <v/>
      </c>
      <c r="S305" s="9"/>
      <c r="T305" s="231"/>
      <c r="U305" s="232" t="str">
        <f t="shared" si="26"/>
        <v/>
      </c>
      <c r="V305" s="232" t="str">
        <f>IFERROR(_xlfn.XLOOKUP($A305,Input_Raw!$A:$A,Input_Raw!$FG:$FG),"")</f>
        <v/>
      </c>
      <c r="W305" s="233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85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33">
        <f>IFERROR(_xlfn.XLOOKUP($D305,'Modelling New'!$D:$D,'Modelling New'!O:O),"")</f>
        <v>0.85614594057129279</v>
      </c>
      <c r="AF305" s="233">
        <f>IFERROR(_xlfn.XLOOKUP($D305,'Modelling New'!$D:$D,'Modelling New'!W:W),"")</f>
        <v>0.19677547827646649</v>
      </c>
      <c r="AG305" s="233">
        <f>IFERROR(_xlfn.XLOOKUP($D305,'Modelling New'!$D:$D,'Modelling New'!AE:AE),"")</f>
        <v>0.995</v>
      </c>
      <c r="AH305" s="233">
        <f>IFERROR(_xlfn.XLOOKUP($D305,'Modelling New'!$D:$D,'Modelling New'!AF:AF),"")</f>
        <v>0.995</v>
      </c>
      <c r="AI305" s="9"/>
      <c r="AJ305" s="9"/>
      <c r="AK305" s="256"/>
      <c r="AL305" s="256"/>
      <c r="AM305" s="256"/>
      <c r="AN305" s="230"/>
      <c r="AO305" s="233"/>
      <c r="AP305" s="233"/>
      <c r="AQ305" s="233"/>
      <c r="AR305" s="234">
        <f>_xlfn.XLOOKUP(D305,'Modelling New'!$D:$D,'Modelling New'!$N:$N)</f>
        <v>130</v>
      </c>
      <c r="AS305" s="234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29">
        <f>Table13[[#This Row],[Date]]-DAY(Table13[[#This Row],[Date]])+1</f>
        <v>46023</v>
      </c>
      <c r="E306" s="9">
        <f t="shared" si="25"/>
        <v>31</v>
      </c>
      <c r="F306" s="199" t="str">
        <f>IFERROR(_xlfn.XLOOKUP($A306,Input_Raw!$A:$A,Input_Raw!$FC:$FC),"")</f>
        <v/>
      </c>
      <c r="G306" s="200" t="str">
        <f>IFERROR(_xlfn.XLOOKUP($A306,Input_Raw!$A:$A,Input_Raw!$CY:$CY),"")</f>
        <v/>
      </c>
      <c r="H306" s="200" t="str">
        <f>IFERROR(_xlfn.XLOOKUP($A306,Input_Raw!$A:$A,Input_Raw!$DA:$DA),"")</f>
        <v/>
      </c>
      <c r="I306" s="200" t="str">
        <f>IFERROR(_xlfn.XLOOKUP($A306,Input_Raw!$A:$A,Input_Raw!$CX:$CX),"")</f>
        <v/>
      </c>
      <c r="J306" s="200" t="str">
        <f>IFERROR(_xlfn.XLOOKUP($A306,Input_Raw!$A:$A,Input_Raw!$CZ:$CZ),"")</f>
        <v/>
      </c>
      <c r="K306" s="201" t="str">
        <f>IFERROR(_xlfn.XLOOKUP($A306,Input_Raw!$A:$A,Input_Raw!$DB:$DB),"")</f>
        <v/>
      </c>
      <c r="L306" s="201" t="str">
        <f>IFERROR(_xlfn.XLOOKUP($A306,Input_Raw!$A:$A,Input_Raw!$DC:$DC),"")</f>
        <v/>
      </c>
      <c r="M306" s="200" t="str">
        <f>IFERROR(_xlfn.XLOOKUP($A306,Input_Raw!$A:$A,Input_Raw!$DF:$DF),"")</f>
        <v/>
      </c>
      <c r="N306" s="200" t="str">
        <f>IFERROR(_xlfn.XLOOKUP($A306,Input_Raw!$A:$A,Input_Raw!$DG:$DG),"")</f>
        <v/>
      </c>
      <c r="O306" s="230" t="str">
        <f>IFERROR(1-(SUMIF(Plant_BD!$B:$B,$A306,Plant_BD!$AL:$AL)/($AA306+SUMIF(Plant_BD!$B:$B,$A306,Plant_BD!$AL:$AL))),"")</f>
        <v/>
      </c>
      <c r="P306" s="230"/>
      <c r="Q306" s="231" t="str">
        <f>IFERROR(1-(SUMIF(Grid_BD!$B:$B,$A306,Grid_BD!$V:$V)/($AA306+SUMIF(Grid_BD!$B:$B,$A306,Grid_BD!$V:$V))),"")</f>
        <v/>
      </c>
      <c r="R306" s="230" t="str">
        <f>IFERROR(1-(SUMIF(Grid_BD!$B:$B,$A306,Grid_BD!$V:$V)/($AA306+SUMIF(Grid_BD!$B:$B,$A306,Grid_BD!$V:$V))),"")</f>
        <v/>
      </c>
      <c r="S306" s="9"/>
      <c r="T306" s="231"/>
      <c r="U306" s="232" t="str">
        <f t="shared" si="26"/>
        <v/>
      </c>
      <c r="V306" s="232" t="str">
        <f>IFERROR(_xlfn.XLOOKUP($A306,Input_Raw!$A:$A,Input_Raw!$FG:$FG),"")</f>
        <v/>
      </c>
      <c r="W306" s="233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85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33">
        <f>IFERROR(_xlfn.XLOOKUP($D306,'Modelling New'!$D:$D,'Modelling New'!O:O),"")</f>
        <v>0.85614594057129279</v>
      </c>
      <c r="AF306" s="233">
        <f>IFERROR(_xlfn.XLOOKUP($D306,'Modelling New'!$D:$D,'Modelling New'!W:W),"")</f>
        <v>0.19677547827646649</v>
      </c>
      <c r="AG306" s="233">
        <f>IFERROR(_xlfn.XLOOKUP($D306,'Modelling New'!$D:$D,'Modelling New'!AE:AE),"")</f>
        <v>0.995</v>
      </c>
      <c r="AH306" s="233">
        <f>IFERROR(_xlfn.XLOOKUP($D306,'Modelling New'!$D:$D,'Modelling New'!AF:AF),"")</f>
        <v>0.995</v>
      </c>
      <c r="AI306" s="9"/>
      <c r="AJ306" s="9"/>
      <c r="AK306" s="256"/>
      <c r="AL306" s="256"/>
      <c r="AM306" s="256"/>
      <c r="AN306" s="230"/>
      <c r="AO306" s="233"/>
      <c r="AP306" s="233"/>
      <c r="AQ306" s="233"/>
      <c r="AR306" s="234">
        <f>_xlfn.XLOOKUP(D306,'Modelling New'!$D:$D,'Modelling New'!$N:$N)</f>
        <v>130</v>
      </c>
      <c r="AS306" s="234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29">
        <f>Table13[[#This Row],[Date]]-DAY(Table13[[#This Row],[Date]])+1</f>
        <v>46023</v>
      </c>
      <c r="E307" s="9">
        <f t="shared" si="25"/>
        <v>31</v>
      </c>
      <c r="F307" s="199" t="str">
        <f>IFERROR(_xlfn.XLOOKUP($A307,Input_Raw!$A:$A,Input_Raw!$FC:$FC),"")</f>
        <v/>
      </c>
      <c r="G307" s="185" t="str">
        <f>IFERROR(_xlfn.XLOOKUP($A307,Input_Raw!$A:$A,Input_Raw!$CY:$CY),"")</f>
        <v/>
      </c>
      <c r="H307" s="185" t="str">
        <f>IFERROR(_xlfn.XLOOKUP($A307,Input_Raw!$A:$A,Input_Raw!$DA:$DA),"")</f>
        <v/>
      </c>
      <c r="I307" s="185" t="str">
        <f>IFERROR(_xlfn.XLOOKUP($A307,Input_Raw!$A:$A,Input_Raw!$CX:$CX),"")</f>
        <v/>
      </c>
      <c r="J307" s="185" t="str">
        <f>IFERROR(_xlfn.XLOOKUP($A307,Input_Raw!$A:$A,Input_Raw!$CZ:$CZ),"")</f>
        <v/>
      </c>
      <c r="K307" s="201" t="str">
        <f>IFERROR(_xlfn.XLOOKUP($A307,Input_Raw!$A:$A,Input_Raw!$DB:$DB),"")</f>
        <v/>
      </c>
      <c r="L307" s="201" t="str">
        <f>IFERROR(_xlfn.XLOOKUP($A307,Input_Raw!$A:$A,Input_Raw!$DC:$DC),"")</f>
        <v/>
      </c>
      <c r="M307" s="200" t="str">
        <f>IFERROR(_xlfn.XLOOKUP($A307,Input_Raw!$A:$A,Input_Raw!$DF:$DF),"")</f>
        <v/>
      </c>
      <c r="N307" s="200" t="str">
        <f>IFERROR(_xlfn.XLOOKUP($A307,Input_Raw!$A:$A,Input_Raw!$DG:$DG),"")</f>
        <v/>
      </c>
      <c r="O307" s="230" t="str">
        <f>IFERROR(1-(SUMIF(Plant_BD!$B:$B,$A307,Plant_BD!$AL:$AL)/($AA307+SUMIF(Plant_BD!$B:$B,$A307,Plant_BD!$AL:$AL))),"")</f>
        <v/>
      </c>
      <c r="P307" s="230"/>
      <c r="Q307" s="231" t="str">
        <f>IFERROR(1-(SUMIF(Grid_BD!$B:$B,$A307,Grid_BD!$V:$V)/($AA307+SUMIF(Grid_BD!$B:$B,$A307,Grid_BD!$V:$V))),"")</f>
        <v/>
      </c>
      <c r="R307" s="230" t="str">
        <f>IFERROR(1-(SUMIF(Grid_BD!$B:$B,$A307,Grid_BD!$V:$V)/($AA307+SUMIF(Grid_BD!$B:$B,$A307,Grid_BD!$V:$V))),"")</f>
        <v/>
      </c>
      <c r="S307" s="9"/>
      <c r="T307" s="231"/>
      <c r="U307" s="232" t="str">
        <f t="shared" si="26"/>
        <v/>
      </c>
      <c r="V307" s="232" t="str">
        <f>IFERROR(_xlfn.XLOOKUP($A307,Input_Raw!$A:$A,Input_Raw!$FG:$FG),"")</f>
        <v/>
      </c>
      <c r="W307" s="233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85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33">
        <f>IFERROR(_xlfn.XLOOKUP($D307,'Modelling New'!$D:$D,'Modelling New'!O:O),"")</f>
        <v>0.85614594057129279</v>
      </c>
      <c r="AF307" s="233">
        <f>IFERROR(_xlfn.XLOOKUP($D307,'Modelling New'!$D:$D,'Modelling New'!W:W),"")</f>
        <v>0.19677547827646649</v>
      </c>
      <c r="AG307" s="233">
        <f>IFERROR(_xlfn.XLOOKUP($D307,'Modelling New'!$D:$D,'Modelling New'!AE:AE),"")</f>
        <v>0.995</v>
      </c>
      <c r="AH307" s="233">
        <f>IFERROR(_xlfn.XLOOKUP($D307,'Modelling New'!$D:$D,'Modelling New'!AF:AF),"")</f>
        <v>0.995</v>
      </c>
      <c r="AI307" s="9"/>
      <c r="AJ307" s="9"/>
      <c r="AK307" s="256"/>
      <c r="AL307" s="256"/>
      <c r="AM307" s="256"/>
      <c r="AN307" s="230"/>
      <c r="AO307" s="233"/>
      <c r="AP307" s="233"/>
      <c r="AQ307" s="233"/>
      <c r="AR307" s="234">
        <f>_xlfn.XLOOKUP(D307,'Modelling New'!$D:$D,'Modelling New'!$N:$N)</f>
        <v>130</v>
      </c>
      <c r="AS307" s="234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29">
        <f>Table13[[#This Row],[Date]]-DAY(Table13[[#This Row],[Date]])+1</f>
        <v>46023</v>
      </c>
      <c r="E308" s="9">
        <f t="shared" si="25"/>
        <v>31</v>
      </c>
      <c r="F308" s="199" t="str">
        <f>IFERROR(_xlfn.XLOOKUP($A308,Input_Raw!$A:$A,Input_Raw!$FC:$FC),"")</f>
        <v/>
      </c>
      <c r="G308" s="200" t="str">
        <f>IFERROR(_xlfn.XLOOKUP($A308,Input_Raw!$A:$A,Input_Raw!$CY:$CY),"")</f>
        <v/>
      </c>
      <c r="H308" s="200" t="str">
        <f>IFERROR(_xlfn.XLOOKUP($A308,Input_Raw!$A:$A,Input_Raw!$DA:$DA),"")</f>
        <v/>
      </c>
      <c r="I308" s="200" t="str">
        <f>IFERROR(_xlfn.XLOOKUP($A308,Input_Raw!$A:$A,Input_Raw!$CX:$CX),"")</f>
        <v/>
      </c>
      <c r="J308" s="200" t="str">
        <f>IFERROR(_xlfn.XLOOKUP($A308,Input_Raw!$A:$A,Input_Raw!$CZ:$CZ),"")</f>
        <v/>
      </c>
      <c r="K308" s="201" t="str">
        <f>IFERROR(_xlfn.XLOOKUP($A308,Input_Raw!$A:$A,Input_Raw!$DB:$DB),"")</f>
        <v/>
      </c>
      <c r="L308" s="201" t="str">
        <f>IFERROR(_xlfn.XLOOKUP($A308,Input_Raw!$A:$A,Input_Raw!$DC:$DC),"")</f>
        <v/>
      </c>
      <c r="M308" s="200" t="str">
        <f>IFERROR(_xlfn.XLOOKUP($A308,Input_Raw!$A:$A,Input_Raw!$DF:$DF),"")</f>
        <v/>
      </c>
      <c r="N308" s="200" t="str">
        <f>IFERROR(_xlfn.XLOOKUP($A308,Input_Raw!$A:$A,Input_Raw!$DG:$DG),"")</f>
        <v/>
      </c>
      <c r="O308" s="230" t="str">
        <f>IFERROR(1-(SUMIF(Plant_BD!$B:$B,$A308,Plant_BD!$AL:$AL)/($AA308+SUMIF(Plant_BD!$B:$B,$A308,Plant_BD!$AL:$AL))),"")</f>
        <v/>
      </c>
      <c r="P308" s="230"/>
      <c r="Q308" s="231" t="str">
        <f>IFERROR(1-(SUMIF(Grid_BD!$B:$B,$A308,Grid_BD!$V:$V)/($AA308+SUMIF(Grid_BD!$B:$B,$A308,Grid_BD!$V:$V))),"")</f>
        <v/>
      </c>
      <c r="R308" s="230" t="str">
        <f>IFERROR(1-(SUMIF(Grid_BD!$B:$B,$A308,Grid_BD!$V:$V)/($AA308+SUMIF(Grid_BD!$B:$B,$A308,Grid_BD!$V:$V))),"")</f>
        <v/>
      </c>
      <c r="S308" s="9"/>
      <c r="T308" s="231"/>
      <c r="U308" s="232" t="str">
        <f t="shared" si="26"/>
        <v/>
      </c>
      <c r="V308" s="232" t="str">
        <f>IFERROR(_xlfn.XLOOKUP($A308,Input_Raw!$A:$A,Input_Raw!$FG:$FG),"")</f>
        <v/>
      </c>
      <c r="W308" s="233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85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33">
        <f>IFERROR(_xlfn.XLOOKUP($D308,'Modelling New'!$D:$D,'Modelling New'!O:O),"")</f>
        <v>0.85614594057129279</v>
      </c>
      <c r="AF308" s="233">
        <f>IFERROR(_xlfn.XLOOKUP($D308,'Modelling New'!$D:$D,'Modelling New'!W:W),"")</f>
        <v>0.19677547827646649</v>
      </c>
      <c r="AG308" s="233">
        <f>IFERROR(_xlfn.XLOOKUP($D308,'Modelling New'!$D:$D,'Modelling New'!AE:AE),"")</f>
        <v>0.995</v>
      </c>
      <c r="AH308" s="233">
        <f>IFERROR(_xlfn.XLOOKUP($D308,'Modelling New'!$D:$D,'Modelling New'!AF:AF),"")</f>
        <v>0.995</v>
      </c>
      <c r="AI308" s="9"/>
      <c r="AJ308" s="9"/>
      <c r="AK308" s="256"/>
      <c r="AL308" s="256"/>
      <c r="AM308" s="256"/>
      <c r="AN308" s="230"/>
      <c r="AO308" s="233"/>
      <c r="AP308" s="233"/>
      <c r="AQ308" s="233"/>
      <c r="AR308" s="234">
        <f>_xlfn.XLOOKUP(D308,'Modelling New'!$D:$D,'Modelling New'!$N:$N)</f>
        <v>130</v>
      </c>
      <c r="AS308" s="234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29">
        <f>Table13[[#This Row],[Date]]-DAY(Table13[[#This Row],[Date]])+1</f>
        <v>46023</v>
      </c>
      <c r="E309" s="9">
        <f t="shared" si="25"/>
        <v>31</v>
      </c>
      <c r="F309" s="199" t="str">
        <f>IFERROR(_xlfn.XLOOKUP($A309,Input_Raw!$A:$A,Input_Raw!$FC:$FC),"")</f>
        <v/>
      </c>
      <c r="G309" s="185" t="str">
        <f>IFERROR(_xlfn.XLOOKUP($A309,Input_Raw!$A:$A,Input_Raw!$CY:$CY),"")</f>
        <v/>
      </c>
      <c r="H309" s="185" t="str">
        <f>IFERROR(_xlfn.XLOOKUP($A309,Input_Raw!$A:$A,Input_Raw!$DA:$DA),"")</f>
        <v/>
      </c>
      <c r="I309" s="185" t="str">
        <f>IFERROR(_xlfn.XLOOKUP($A309,Input_Raw!$A:$A,Input_Raw!$CX:$CX),"")</f>
        <v/>
      </c>
      <c r="J309" s="185" t="str">
        <f>IFERROR(_xlfn.XLOOKUP($A309,Input_Raw!$A:$A,Input_Raw!$CZ:$CZ),"")</f>
        <v/>
      </c>
      <c r="K309" s="201" t="str">
        <f>IFERROR(_xlfn.XLOOKUP($A309,Input_Raw!$A:$A,Input_Raw!$DB:$DB),"")</f>
        <v/>
      </c>
      <c r="L309" s="201" t="str">
        <f>IFERROR(_xlfn.XLOOKUP($A309,Input_Raw!$A:$A,Input_Raw!$DC:$DC),"")</f>
        <v/>
      </c>
      <c r="M309" s="200" t="str">
        <f>IFERROR(_xlfn.XLOOKUP($A309,Input_Raw!$A:$A,Input_Raw!$DF:$DF),"")</f>
        <v/>
      </c>
      <c r="N309" s="200" t="str">
        <f>IFERROR(_xlfn.XLOOKUP($A309,Input_Raw!$A:$A,Input_Raw!$DG:$DG),"")</f>
        <v/>
      </c>
      <c r="O309" s="230" t="str">
        <f>IFERROR(1-(SUMIF(Plant_BD!$B:$B,$A309,Plant_BD!$AL:$AL)/($AA309+SUMIF(Plant_BD!$B:$B,$A309,Plant_BD!$AL:$AL))),"")</f>
        <v/>
      </c>
      <c r="P309" s="230"/>
      <c r="Q309" s="231" t="str">
        <f>IFERROR(1-(SUMIF(Grid_BD!$B:$B,$A309,Grid_BD!$V:$V)/($AA309+SUMIF(Grid_BD!$B:$B,$A309,Grid_BD!$V:$V))),"")</f>
        <v/>
      </c>
      <c r="R309" s="230" t="str">
        <f>IFERROR(1-(SUMIF(Grid_BD!$B:$B,$A309,Grid_BD!$V:$V)/($AA309+SUMIF(Grid_BD!$B:$B,$A309,Grid_BD!$V:$V))),"")</f>
        <v/>
      </c>
      <c r="S309" s="9"/>
      <c r="T309" s="231"/>
      <c r="U309" s="232" t="str">
        <f t="shared" si="26"/>
        <v/>
      </c>
      <c r="V309" s="232" t="str">
        <f>IFERROR(_xlfn.XLOOKUP($A309,Input_Raw!$A:$A,Input_Raw!$FG:$FG),"")</f>
        <v/>
      </c>
      <c r="W309" s="233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85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33">
        <f>IFERROR(_xlfn.XLOOKUP($D309,'Modelling New'!$D:$D,'Modelling New'!O:O),"")</f>
        <v>0.85614594057129279</v>
      </c>
      <c r="AF309" s="233">
        <f>IFERROR(_xlfn.XLOOKUP($D309,'Modelling New'!$D:$D,'Modelling New'!W:W),"")</f>
        <v>0.19677547827646649</v>
      </c>
      <c r="AG309" s="233">
        <f>IFERROR(_xlfn.XLOOKUP($D309,'Modelling New'!$D:$D,'Modelling New'!AE:AE),"")</f>
        <v>0.995</v>
      </c>
      <c r="AH309" s="233">
        <f>IFERROR(_xlfn.XLOOKUP($D309,'Modelling New'!$D:$D,'Modelling New'!AF:AF),"")</f>
        <v>0.995</v>
      </c>
      <c r="AI309" s="9"/>
      <c r="AJ309" s="9"/>
      <c r="AK309" s="256"/>
      <c r="AL309" s="256"/>
      <c r="AM309" s="256"/>
      <c r="AN309" s="230"/>
      <c r="AO309" s="233"/>
      <c r="AP309" s="233"/>
      <c r="AQ309" s="233"/>
      <c r="AR309" s="234">
        <f>_xlfn.XLOOKUP(D309,'Modelling New'!$D:$D,'Modelling New'!$N:$N)</f>
        <v>130</v>
      </c>
      <c r="AS309" s="234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29">
        <f>Table13[[#This Row],[Date]]-DAY(Table13[[#This Row],[Date]])+1</f>
        <v>46023</v>
      </c>
      <c r="E310" s="9">
        <f t="shared" si="25"/>
        <v>31</v>
      </c>
      <c r="F310" s="199" t="str">
        <f>IFERROR(_xlfn.XLOOKUP($A310,Input_Raw!$A:$A,Input_Raw!$FC:$FC),"")</f>
        <v/>
      </c>
      <c r="G310" s="200" t="str">
        <f>IFERROR(_xlfn.XLOOKUP($A310,Input_Raw!$A:$A,Input_Raw!$CY:$CY),"")</f>
        <v/>
      </c>
      <c r="H310" s="200" t="str">
        <f>IFERROR(_xlfn.XLOOKUP($A310,Input_Raw!$A:$A,Input_Raw!$DA:$DA),"")</f>
        <v/>
      </c>
      <c r="I310" s="200" t="str">
        <f>IFERROR(_xlfn.XLOOKUP($A310,Input_Raw!$A:$A,Input_Raw!$CX:$CX),"")</f>
        <v/>
      </c>
      <c r="J310" s="200" t="str">
        <f>IFERROR(_xlfn.XLOOKUP($A310,Input_Raw!$A:$A,Input_Raw!$CZ:$CZ),"")</f>
        <v/>
      </c>
      <c r="K310" s="201" t="str">
        <f>IFERROR(_xlfn.XLOOKUP($A310,Input_Raw!$A:$A,Input_Raw!$DB:$DB),"")</f>
        <v/>
      </c>
      <c r="L310" s="201" t="str">
        <f>IFERROR(_xlfn.XLOOKUP($A310,Input_Raw!$A:$A,Input_Raw!$DC:$DC),"")</f>
        <v/>
      </c>
      <c r="M310" s="200" t="str">
        <f>IFERROR(_xlfn.XLOOKUP($A310,Input_Raw!$A:$A,Input_Raw!$DF:$DF),"")</f>
        <v/>
      </c>
      <c r="N310" s="200" t="str">
        <f>IFERROR(_xlfn.XLOOKUP($A310,Input_Raw!$A:$A,Input_Raw!$DG:$DG),"")</f>
        <v/>
      </c>
      <c r="O310" s="230" t="str">
        <f>IFERROR(1-(SUMIF(Plant_BD!$B:$B,$A310,Plant_BD!$AL:$AL)/($AA310+SUMIF(Plant_BD!$B:$B,$A310,Plant_BD!$AL:$AL))),"")</f>
        <v/>
      </c>
      <c r="P310" s="230"/>
      <c r="Q310" s="231" t="str">
        <f>IFERROR(1-(SUMIF(Grid_BD!$B:$B,$A310,Grid_BD!$V:$V)/($AA310+SUMIF(Grid_BD!$B:$B,$A310,Grid_BD!$V:$V))),"")</f>
        <v/>
      </c>
      <c r="R310" s="230" t="str">
        <f>IFERROR(1-(SUMIF(Grid_BD!$B:$B,$A310,Grid_BD!$V:$V)/($AA310+SUMIF(Grid_BD!$B:$B,$A310,Grid_BD!$V:$V))),"")</f>
        <v/>
      </c>
      <c r="S310" s="9"/>
      <c r="T310" s="231"/>
      <c r="U310" s="232" t="str">
        <f t="shared" si="26"/>
        <v/>
      </c>
      <c r="V310" s="232" t="str">
        <f>IFERROR(_xlfn.XLOOKUP($A310,Input_Raw!$A:$A,Input_Raw!$FG:$FG),"")</f>
        <v/>
      </c>
      <c r="W310" s="233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85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33">
        <f>IFERROR(_xlfn.XLOOKUP($D310,'Modelling New'!$D:$D,'Modelling New'!O:O),"")</f>
        <v>0.85614594057129279</v>
      </c>
      <c r="AF310" s="233">
        <f>IFERROR(_xlfn.XLOOKUP($D310,'Modelling New'!$D:$D,'Modelling New'!W:W),"")</f>
        <v>0.19677547827646649</v>
      </c>
      <c r="AG310" s="233">
        <f>IFERROR(_xlfn.XLOOKUP($D310,'Modelling New'!$D:$D,'Modelling New'!AE:AE),"")</f>
        <v>0.995</v>
      </c>
      <c r="AH310" s="233">
        <f>IFERROR(_xlfn.XLOOKUP($D310,'Modelling New'!$D:$D,'Modelling New'!AF:AF),"")</f>
        <v>0.995</v>
      </c>
      <c r="AI310" s="9"/>
      <c r="AJ310" s="9"/>
      <c r="AK310" s="256"/>
      <c r="AL310" s="256"/>
      <c r="AM310" s="256"/>
      <c r="AN310" s="230"/>
      <c r="AO310" s="233"/>
      <c r="AP310" s="233"/>
      <c r="AQ310" s="233"/>
      <c r="AR310" s="234">
        <f>_xlfn.XLOOKUP(D310,'Modelling New'!$D:$D,'Modelling New'!$N:$N)</f>
        <v>130</v>
      </c>
      <c r="AS310" s="234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29">
        <f>Table13[[#This Row],[Date]]-DAY(Table13[[#This Row],[Date]])+1</f>
        <v>46054</v>
      </c>
      <c r="E311" s="9">
        <f t="shared" si="25"/>
        <v>28</v>
      </c>
      <c r="F311" s="199" t="str">
        <f>IFERROR(_xlfn.XLOOKUP($A311,Input_Raw!$A:$A,Input_Raw!$FC:$FC),"")</f>
        <v/>
      </c>
      <c r="G311" s="185" t="str">
        <f>IFERROR(_xlfn.XLOOKUP($A311,Input_Raw!$A:$A,Input_Raw!$CY:$CY),"")</f>
        <v/>
      </c>
      <c r="H311" s="185" t="str">
        <f>IFERROR(_xlfn.XLOOKUP($A311,Input_Raw!$A:$A,Input_Raw!$DA:$DA),"")</f>
        <v/>
      </c>
      <c r="I311" s="185" t="str">
        <f>IFERROR(_xlfn.XLOOKUP($A311,Input_Raw!$A:$A,Input_Raw!$CX:$CX),"")</f>
        <v/>
      </c>
      <c r="J311" s="185" t="str">
        <f>IFERROR(_xlfn.XLOOKUP($A311,Input_Raw!$A:$A,Input_Raw!$CZ:$CZ),"")</f>
        <v/>
      </c>
      <c r="K311" s="201" t="str">
        <f>IFERROR(_xlfn.XLOOKUP($A311,Input_Raw!$A:$A,Input_Raw!$DB:$DB),"")</f>
        <v/>
      </c>
      <c r="L311" s="201" t="str">
        <f>IFERROR(_xlfn.XLOOKUP($A311,Input_Raw!$A:$A,Input_Raw!$DC:$DC),"")</f>
        <v/>
      </c>
      <c r="M311" s="200" t="str">
        <f>IFERROR(_xlfn.XLOOKUP($A311,Input_Raw!$A:$A,Input_Raw!$DF:$DF),"")</f>
        <v/>
      </c>
      <c r="N311" s="200" t="str">
        <f>IFERROR(_xlfn.XLOOKUP($A311,Input_Raw!$A:$A,Input_Raw!$DG:$DG),"")</f>
        <v/>
      </c>
      <c r="O311" s="230" t="str">
        <f>IFERROR(1-(SUMIF(Plant_BD!$B:$B,$A311,Plant_BD!$AL:$AL)/($AA311+SUMIF(Plant_BD!$B:$B,$A311,Plant_BD!$AL:$AL))),"")</f>
        <v/>
      </c>
      <c r="P311" s="230"/>
      <c r="Q311" s="231" t="str">
        <f>IFERROR(1-(SUMIF(Grid_BD!$B:$B,$A311,Grid_BD!$V:$V)/($AA311+SUMIF(Grid_BD!$B:$B,$A311,Grid_BD!$V:$V))),"")</f>
        <v/>
      </c>
      <c r="R311" s="230" t="str">
        <f>IFERROR(1-(SUMIF(Grid_BD!$B:$B,$A311,Grid_BD!$V:$V)/($AA311+SUMIF(Grid_BD!$B:$B,$A311,Grid_BD!$V:$V))),"")</f>
        <v/>
      </c>
      <c r="S311" s="9"/>
      <c r="T311" s="231"/>
      <c r="U311" s="232" t="str">
        <f t="shared" si="26"/>
        <v/>
      </c>
      <c r="V311" s="232" t="str">
        <f>IFERROR(_xlfn.XLOOKUP($A311,Input_Raw!$A:$A,Input_Raw!$FG:$FG),"")</f>
        <v/>
      </c>
      <c r="W311" s="233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85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33">
        <f>IFERROR(_xlfn.XLOOKUP($D311,'Modelling New'!$D:$D,'Modelling New'!O:O),"")</f>
        <v>0.8316109218354748</v>
      </c>
      <c r="AF311" s="233">
        <f>IFERROR(_xlfn.XLOOKUP($D311,'Modelling New'!$D:$D,'Modelling New'!W:W),"")</f>
        <v>0.21866912185763154</v>
      </c>
      <c r="AG311" s="233">
        <f>IFERROR(_xlfn.XLOOKUP($D311,'Modelling New'!$D:$D,'Modelling New'!AE:AE),"")</f>
        <v>0.995</v>
      </c>
      <c r="AH311" s="233">
        <f>IFERROR(_xlfn.XLOOKUP($D311,'Modelling New'!$D:$D,'Modelling New'!AF:AF),"")</f>
        <v>0.995</v>
      </c>
      <c r="AI311" s="9"/>
      <c r="AJ311" s="9"/>
      <c r="AK311" s="256"/>
      <c r="AL311" s="256"/>
      <c r="AM311" s="256"/>
      <c r="AN311" s="230"/>
      <c r="AO311" s="233"/>
      <c r="AP311" s="233"/>
      <c r="AQ311" s="233"/>
      <c r="AR311" s="234">
        <f>_xlfn.XLOOKUP(D311,'Modelling New'!$D:$D,'Modelling New'!$N:$N)</f>
        <v>130</v>
      </c>
      <c r="AS311" s="234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29">
        <f>Table13[[#This Row],[Date]]-DAY(Table13[[#This Row],[Date]])+1</f>
        <v>46054</v>
      </c>
      <c r="E312" s="9">
        <f t="shared" si="25"/>
        <v>28</v>
      </c>
      <c r="F312" s="199" t="str">
        <f>IFERROR(_xlfn.XLOOKUP($A312,Input_Raw!$A:$A,Input_Raw!$FC:$FC),"")</f>
        <v/>
      </c>
      <c r="G312" s="200" t="str">
        <f>IFERROR(_xlfn.XLOOKUP($A312,Input_Raw!$A:$A,Input_Raw!$CY:$CY),"")</f>
        <v/>
      </c>
      <c r="H312" s="200" t="str">
        <f>IFERROR(_xlfn.XLOOKUP($A312,Input_Raw!$A:$A,Input_Raw!$DA:$DA),"")</f>
        <v/>
      </c>
      <c r="I312" s="200" t="str">
        <f>IFERROR(_xlfn.XLOOKUP($A312,Input_Raw!$A:$A,Input_Raw!$CX:$CX),"")</f>
        <v/>
      </c>
      <c r="J312" s="200" t="str">
        <f>IFERROR(_xlfn.XLOOKUP($A312,Input_Raw!$A:$A,Input_Raw!$CZ:$CZ),"")</f>
        <v/>
      </c>
      <c r="K312" s="201" t="str">
        <f>IFERROR(_xlfn.XLOOKUP($A312,Input_Raw!$A:$A,Input_Raw!$DB:$DB),"")</f>
        <v/>
      </c>
      <c r="L312" s="201" t="str">
        <f>IFERROR(_xlfn.XLOOKUP($A312,Input_Raw!$A:$A,Input_Raw!$DC:$DC),"")</f>
        <v/>
      </c>
      <c r="M312" s="200" t="str">
        <f>IFERROR(_xlfn.XLOOKUP($A312,Input_Raw!$A:$A,Input_Raw!$DF:$DF),"")</f>
        <v/>
      </c>
      <c r="N312" s="200" t="str">
        <f>IFERROR(_xlfn.XLOOKUP($A312,Input_Raw!$A:$A,Input_Raw!$DG:$DG),"")</f>
        <v/>
      </c>
      <c r="O312" s="230" t="str">
        <f>IFERROR(1-(SUMIF(Plant_BD!$B:$B,$A312,Plant_BD!$AL:$AL)/($AA312+SUMIF(Plant_BD!$B:$B,$A312,Plant_BD!$AL:$AL))),"")</f>
        <v/>
      </c>
      <c r="P312" s="230"/>
      <c r="Q312" s="231" t="str">
        <f>IFERROR(1-(SUMIF(Grid_BD!$B:$B,$A312,Grid_BD!$V:$V)/($AA312+SUMIF(Grid_BD!$B:$B,$A312,Grid_BD!$V:$V))),"")</f>
        <v/>
      </c>
      <c r="R312" s="230" t="str">
        <f>IFERROR(1-(SUMIF(Grid_BD!$B:$B,$A312,Grid_BD!$V:$V)/($AA312+SUMIF(Grid_BD!$B:$B,$A312,Grid_BD!$V:$V))),"")</f>
        <v/>
      </c>
      <c r="S312" s="9"/>
      <c r="T312" s="231"/>
      <c r="U312" s="232" t="str">
        <f t="shared" si="26"/>
        <v/>
      </c>
      <c r="V312" s="232" t="str">
        <f>IFERROR(_xlfn.XLOOKUP($A312,Input_Raw!$A:$A,Input_Raw!$FG:$FG),"")</f>
        <v/>
      </c>
      <c r="W312" s="233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85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33">
        <f>IFERROR(_xlfn.XLOOKUP($D312,'Modelling New'!$D:$D,'Modelling New'!O:O),"")</f>
        <v>0.8316109218354748</v>
      </c>
      <c r="AF312" s="233">
        <f>IFERROR(_xlfn.XLOOKUP($D312,'Modelling New'!$D:$D,'Modelling New'!W:W),"")</f>
        <v>0.21866912185763154</v>
      </c>
      <c r="AG312" s="233">
        <f>IFERROR(_xlfn.XLOOKUP($D312,'Modelling New'!$D:$D,'Modelling New'!AE:AE),"")</f>
        <v>0.995</v>
      </c>
      <c r="AH312" s="233">
        <f>IFERROR(_xlfn.XLOOKUP($D312,'Modelling New'!$D:$D,'Modelling New'!AF:AF),"")</f>
        <v>0.995</v>
      </c>
      <c r="AI312" s="9"/>
      <c r="AJ312" s="9"/>
      <c r="AK312" s="256"/>
      <c r="AL312" s="256"/>
      <c r="AM312" s="256"/>
      <c r="AN312" s="230"/>
      <c r="AO312" s="233"/>
      <c r="AP312" s="233"/>
      <c r="AQ312" s="233"/>
      <c r="AR312" s="234">
        <f>_xlfn.XLOOKUP(D312,'Modelling New'!$D:$D,'Modelling New'!$N:$N)</f>
        <v>130</v>
      </c>
      <c r="AS312" s="234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29">
        <f>Table13[[#This Row],[Date]]-DAY(Table13[[#This Row],[Date]])+1</f>
        <v>46054</v>
      </c>
      <c r="E313" s="9">
        <f t="shared" si="25"/>
        <v>28</v>
      </c>
      <c r="F313" s="199" t="str">
        <f>IFERROR(_xlfn.XLOOKUP($A313,Input_Raw!$A:$A,Input_Raw!$FC:$FC),"")</f>
        <v/>
      </c>
      <c r="G313" s="185" t="str">
        <f>IFERROR(_xlfn.XLOOKUP($A313,Input_Raw!$A:$A,Input_Raw!$CY:$CY),"")</f>
        <v/>
      </c>
      <c r="H313" s="185" t="str">
        <f>IFERROR(_xlfn.XLOOKUP($A313,Input_Raw!$A:$A,Input_Raw!$DA:$DA),"")</f>
        <v/>
      </c>
      <c r="I313" s="185" t="str">
        <f>IFERROR(_xlfn.XLOOKUP($A313,Input_Raw!$A:$A,Input_Raw!$CX:$CX),"")</f>
        <v/>
      </c>
      <c r="J313" s="185" t="str">
        <f>IFERROR(_xlfn.XLOOKUP($A313,Input_Raw!$A:$A,Input_Raw!$CZ:$CZ),"")</f>
        <v/>
      </c>
      <c r="K313" s="201" t="str">
        <f>IFERROR(_xlfn.XLOOKUP($A313,Input_Raw!$A:$A,Input_Raw!$DB:$DB),"")</f>
        <v/>
      </c>
      <c r="L313" s="201" t="str">
        <f>IFERROR(_xlfn.XLOOKUP($A313,Input_Raw!$A:$A,Input_Raw!$DC:$DC),"")</f>
        <v/>
      </c>
      <c r="M313" s="200" t="str">
        <f>IFERROR(_xlfn.XLOOKUP($A313,Input_Raw!$A:$A,Input_Raw!$DF:$DF),"")</f>
        <v/>
      </c>
      <c r="N313" s="200" t="str">
        <f>IFERROR(_xlfn.XLOOKUP($A313,Input_Raw!$A:$A,Input_Raw!$DG:$DG),"")</f>
        <v/>
      </c>
      <c r="O313" s="230" t="str">
        <f>IFERROR(1-(SUMIF(Plant_BD!$B:$B,$A313,Plant_BD!$AL:$AL)/($AA313+SUMIF(Plant_BD!$B:$B,$A313,Plant_BD!$AL:$AL))),"")</f>
        <v/>
      </c>
      <c r="P313" s="230"/>
      <c r="Q313" s="231" t="str">
        <f>IFERROR(1-(SUMIF(Grid_BD!$B:$B,$A313,Grid_BD!$V:$V)/($AA313+SUMIF(Grid_BD!$B:$B,$A313,Grid_BD!$V:$V))),"")</f>
        <v/>
      </c>
      <c r="R313" s="230" t="str">
        <f>IFERROR(1-(SUMIF(Grid_BD!$B:$B,$A313,Grid_BD!$V:$V)/($AA313+SUMIF(Grid_BD!$B:$B,$A313,Grid_BD!$V:$V))),"")</f>
        <v/>
      </c>
      <c r="S313" s="9"/>
      <c r="T313" s="231"/>
      <c r="U313" s="232" t="str">
        <f t="shared" si="26"/>
        <v/>
      </c>
      <c r="V313" s="232" t="str">
        <f>IFERROR(_xlfn.XLOOKUP($A313,Input_Raw!$A:$A,Input_Raw!$FG:$FG),"")</f>
        <v/>
      </c>
      <c r="W313" s="233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85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33">
        <f>IFERROR(_xlfn.XLOOKUP($D313,'Modelling New'!$D:$D,'Modelling New'!O:O),"")</f>
        <v>0.8316109218354748</v>
      </c>
      <c r="AF313" s="233">
        <f>IFERROR(_xlfn.XLOOKUP($D313,'Modelling New'!$D:$D,'Modelling New'!W:W),"")</f>
        <v>0.21866912185763154</v>
      </c>
      <c r="AG313" s="233">
        <f>IFERROR(_xlfn.XLOOKUP($D313,'Modelling New'!$D:$D,'Modelling New'!AE:AE),"")</f>
        <v>0.995</v>
      </c>
      <c r="AH313" s="233">
        <f>IFERROR(_xlfn.XLOOKUP($D313,'Modelling New'!$D:$D,'Modelling New'!AF:AF),"")</f>
        <v>0.995</v>
      </c>
      <c r="AI313" s="9"/>
      <c r="AJ313" s="9"/>
      <c r="AK313" s="256"/>
      <c r="AL313" s="256"/>
      <c r="AM313" s="256"/>
      <c r="AN313" s="230"/>
      <c r="AO313" s="233"/>
      <c r="AP313" s="233"/>
      <c r="AQ313" s="233"/>
      <c r="AR313" s="234">
        <f>_xlfn.XLOOKUP(D313,'Modelling New'!$D:$D,'Modelling New'!$N:$N)</f>
        <v>130</v>
      </c>
      <c r="AS313" s="234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29">
        <f>Table13[[#This Row],[Date]]-DAY(Table13[[#This Row],[Date]])+1</f>
        <v>46054</v>
      </c>
      <c r="E314" s="9">
        <f t="shared" si="25"/>
        <v>28</v>
      </c>
      <c r="F314" s="199" t="str">
        <f>IFERROR(_xlfn.XLOOKUP($A314,Input_Raw!$A:$A,Input_Raw!$FC:$FC),"")</f>
        <v/>
      </c>
      <c r="G314" s="200" t="str">
        <f>IFERROR(_xlfn.XLOOKUP($A314,Input_Raw!$A:$A,Input_Raw!$CY:$CY),"")</f>
        <v/>
      </c>
      <c r="H314" s="200" t="str">
        <f>IFERROR(_xlfn.XLOOKUP($A314,Input_Raw!$A:$A,Input_Raw!$DA:$DA),"")</f>
        <v/>
      </c>
      <c r="I314" s="200" t="str">
        <f>IFERROR(_xlfn.XLOOKUP($A314,Input_Raw!$A:$A,Input_Raw!$CX:$CX),"")</f>
        <v/>
      </c>
      <c r="J314" s="200" t="str">
        <f>IFERROR(_xlfn.XLOOKUP($A314,Input_Raw!$A:$A,Input_Raw!$CZ:$CZ),"")</f>
        <v/>
      </c>
      <c r="K314" s="201" t="str">
        <f>IFERROR(_xlfn.XLOOKUP($A314,Input_Raw!$A:$A,Input_Raw!$DB:$DB),"")</f>
        <v/>
      </c>
      <c r="L314" s="201" t="str">
        <f>IFERROR(_xlfn.XLOOKUP($A314,Input_Raw!$A:$A,Input_Raw!$DC:$DC),"")</f>
        <v/>
      </c>
      <c r="M314" s="200" t="str">
        <f>IFERROR(_xlfn.XLOOKUP($A314,Input_Raw!$A:$A,Input_Raw!$DF:$DF),"")</f>
        <v/>
      </c>
      <c r="N314" s="200" t="str">
        <f>IFERROR(_xlfn.XLOOKUP($A314,Input_Raw!$A:$A,Input_Raw!$DG:$DG),"")</f>
        <v/>
      </c>
      <c r="O314" s="230" t="str">
        <f>IFERROR(1-(SUMIF(Plant_BD!$B:$B,$A314,Plant_BD!$AL:$AL)/($AA314+SUMIF(Plant_BD!$B:$B,$A314,Plant_BD!$AL:$AL))),"")</f>
        <v/>
      </c>
      <c r="P314" s="230"/>
      <c r="Q314" s="231" t="str">
        <f>IFERROR(1-(SUMIF(Grid_BD!$B:$B,$A314,Grid_BD!$V:$V)/($AA314+SUMIF(Grid_BD!$B:$B,$A314,Grid_BD!$V:$V))),"")</f>
        <v/>
      </c>
      <c r="R314" s="230" t="str">
        <f>IFERROR(1-(SUMIF(Grid_BD!$B:$B,$A314,Grid_BD!$V:$V)/($AA314+SUMIF(Grid_BD!$B:$B,$A314,Grid_BD!$V:$V))),"")</f>
        <v/>
      </c>
      <c r="S314" s="9"/>
      <c r="T314" s="231"/>
      <c r="U314" s="232" t="str">
        <f t="shared" si="26"/>
        <v/>
      </c>
      <c r="V314" s="232" t="str">
        <f>IFERROR(_xlfn.XLOOKUP($A314,Input_Raw!$A:$A,Input_Raw!$FG:$FG),"")</f>
        <v/>
      </c>
      <c r="W314" s="233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85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33">
        <f>IFERROR(_xlfn.XLOOKUP($D314,'Modelling New'!$D:$D,'Modelling New'!O:O),"")</f>
        <v>0.8316109218354748</v>
      </c>
      <c r="AF314" s="233">
        <f>IFERROR(_xlfn.XLOOKUP($D314,'Modelling New'!$D:$D,'Modelling New'!W:W),"")</f>
        <v>0.21866912185763154</v>
      </c>
      <c r="AG314" s="233">
        <f>IFERROR(_xlfn.XLOOKUP($D314,'Modelling New'!$D:$D,'Modelling New'!AE:AE),"")</f>
        <v>0.995</v>
      </c>
      <c r="AH314" s="233">
        <f>IFERROR(_xlfn.XLOOKUP($D314,'Modelling New'!$D:$D,'Modelling New'!AF:AF),"")</f>
        <v>0.995</v>
      </c>
      <c r="AI314" s="9"/>
      <c r="AJ314" s="9"/>
      <c r="AK314" s="256"/>
      <c r="AL314" s="256"/>
      <c r="AM314" s="256"/>
      <c r="AN314" s="230"/>
      <c r="AO314" s="233"/>
      <c r="AP314" s="233"/>
      <c r="AQ314" s="233"/>
      <c r="AR314" s="234">
        <f>_xlfn.XLOOKUP(D314,'Modelling New'!$D:$D,'Modelling New'!$N:$N)</f>
        <v>130</v>
      </c>
      <c r="AS314" s="234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29">
        <f>Table13[[#This Row],[Date]]-DAY(Table13[[#This Row],[Date]])+1</f>
        <v>46054</v>
      </c>
      <c r="E315" s="9">
        <f t="shared" si="25"/>
        <v>28</v>
      </c>
      <c r="F315" s="199" t="str">
        <f>IFERROR(_xlfn.XLOOKUP($A315,Input_Raw!$A:$A,Input_Raw!$FC:$FC),"")</f>
        <v/>
      </c>
      <c r="G315" s="185" t="str">
        <f>IFERROR(_xlfn.XLOOKUP($A315,Input_Raw!$A:$A,Input_Raw!$CY:$CY),"")</f>
        <v/>
      </c>
      <c r="H315" s="185" t="str">
        <f>IFERROR(_xlfn.XLOOKUP($A315,Input_Raw!$A:$A,Input_Raw!$DA:$DA),"")</f>
        <v/>
      </c>
      <c r="I315" s="185" t="str">
        <f>IFERROR(_xlfn.XLOOKUP($A315,Input_Raw!$A:$A,Input_Raw!$CX:$CX),"")</f>
        <v/>
      </c>
      <c r="J315" s="185" t="str">
        <f>IFERROR(_xlfn.XLOOKUP($A315,Input_Raw!$A:$A,Input_Raw!$CZ:$CZ),"")</f>
        <v/>
      </c>
      <c r="K315" s="201" t="str">
        <f>IFERROR(_xlfn.XLOOKUP($A315,Input_Raw!$A:$A,Input_Raw!$DB:$DB),"")</f>
        <v/>
      </c>
      <c r="L315" s="201" t="str">
        <f>IFERROR(_xlfn.XLOOKUP($A315,Input_Raw!$A:$A,Input_Raw!$DC:$DC),"")</f>
        <v/>
      </c>
      <c r="M315" s="200" t="str">
        <f>IFERROR(_xlfn.XLOOKUP($A315,Input_Raw!$A:$A,Input_Raw!$DF:$DF),"")</f>
        <v/>
      </c>
      <c r="N315" s="200" t="str">
        <f>IFERROR(_xlfn.XLOOKUP($A315,Input_Raw!$A:$A,Input_Raw!$DG:$DG),"")</f>
        <v/>
      </c>
      <c r="O315" s="230" t="str">
        <f>IFERROR(1-(SUMIF(Plant_BD!$B:$B,$A315,Plant_BD!$AL:$AL)/($AA315+SUMIF(Plant_BD!$B:$B,$A315,Plant_BD!$AL:$AL))),"")</f>
        <v/>
      </c>
      <c r="P315" s="230"/>
      <c r="Q315" s="231" t="str">
        <f>IFERROR(1-(SUMIF(Grid_BD!$B:$B,$A315,Grid_BD!$V:$V)/($AA315+SUMIF(Grid_BD!$B:$B,$A315,Grid_BD!$V:$V))),"")</f>
        <v/>
      </c>
      <c r="R315" s="230" t="str">
        <f>IFERROR(1-(SUMIF(Grid_BD!$B:$B,$A315,Grid_BD!$V:$V)/($AA315+SUMIF(Grid_BD!$B:$B,$A315,Grid_BD!$V:$V))),"")</f>
        <v/>
      </c>
      <c r="S315" s="9"/>
      <c r="T315" s="231"/>
      <c r="U315" s="232" t="str">
        <f t="shared" si="26"/>
        <v/>
      </c>
      <c r="V315" s="232" t="str">
        <f>IFERROR(_xlfn.XLOOKUP($A315,Input_Raw!$A:$A,Input_Raw!$FG:$FG),"")</f>
        <v/>
      </c>
      <c r="W315" s="233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85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33">
        <f>IFERROR(_xlfn.XLOOKUP($D315,'Modelling New'!$D:$D,'Modelling New'!O:O),"")</f>
        <v>0.8316109218354748</v>
      </c>
      <c r="AF315" s="233">
        <f>IFERROR(_xlfn.XLOOKUP($D315,'Modelling New'!$D:$D,'Modelling New'!W:W),"")</f>
        <v>0.21866912185763154</v>
      </c>
      <c r="AG315" s="233">
        <f>IFERROR(_xlfn.XLOOKUP($D315,'Modelling New'!$D:$D,'Modelling New'!AE:AE),"")</f>
        <v>0.995</v>
      </c>
      <c r="AH315" s="233">
        <f>IFERROR(_xlfn.XLOOKUP($D315,'Modelling New'!$D:$D,'Modelling New'!AF:AF),"")</f>
        <v>0.995</v>
      </c>
      <c r="AI315" s="9"/>
      <c r="AJ315" s="9"/>
      <c r="AK315" s="256"/>
      <c r="AL315" s="256"/>
      <c r="AM315" s="256"/>
      <c r="AN315" s="230"/>
      <c r="AO315" s="233"/>
      <c r="AP315" s="233"/>
      <c r="AQ315" s="233"/>
      <c r="AR315" s="234">
        <f>_xlfn.XLOOKUP(D315,'Modelling New'!$D:$D,'Modelling New'!$N:$N)</f>
        <v>130</v>
      </c>
      <c r="AS315" s="234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29">
        <f>Table13[[#This Row],[Date]]-DAY(Table13[[#This Row],[Date]])+1</f>
        <v>46054</v>
      </c>
      <c r="E316" s="9">
        <f t="shared" si="25"/>
        <v>28</v>
      </c>
      <c r="F316" s="199" t="str">
        <f>IFERROR(_xlfn.XLOOKUP($A316,Input_Raw!$A:$A,Input_Raw!$FC:$FC),"")</f>
        <v/>
      </c>
      <c r="G316" s="200" t="str">
        <f>IFERROR(_xlfn.XLOOKUP($A316,Input_Raw!$A:$A,Input_Raw!$CY:$CY),"")</f>
        <v/>
      </c>
      <c r="H316" s="200" t="str">
        <f>IFERROR(_xlfn.XLOOKUP($A316,Input_Raw!$A:$A,Input_Raw!$DA:$DA),"")</f>
        <v/>
      </c>
      <c r="I316" s="200" t="str">
        <f>IFERROR(_xlfn.XLOOKUP($A316,Input_Raw!$A:$A,Input_Raw!$CX:$CX),"")</f>
        <v/>
      </c>
      <c r="J316" s="200" t="str">
        <f>IFERROR(_xlfn.XLOOKUP($A316,Input_Raw!$A:$A,Input_Raw!$CZ:$CZ),"")</f>
        <v/>
      </c>
      <c r="K316" s="201" t="str">
        <f>IFERROR(_xlfn.XLOOKUP($A316,Input_Raw!$A:$A,Input_Raw!$DB:$DB),"")</f>
        <v/>
      </c>
      <c r="L316" s="201" t="str">
        <f>IFERROR(_xlfn.XLOOKUP($A316,Input_Raw!$A:$A,Input_Raw!$DC:$DC),"")</f>
        <v/>
      </c>
      <c r="M316" s="200" t="str">
        <f>IFERROR(_xlfn.XLOOKUP($A316,Input_Raw!$A:$A,Input_Raw!$DF:$DF),"")</f>
        <v/>
      </c>
      <c r="N316" s="200" t="str">
        <f>IFERROR(_xlfn.XLOOKUP($A316,Input_Raw!$A:$A,Input_Raw!$DG:$DG),"")</f>
        <v/>
      </c>
      <c r="O316" s="230" t="str">
        <f>IFERROR(1-(SUMIF(Plant_BD!$B:$B,$A316,Plant_BD!$AL:$AL)/($AA316+SUMIF(Plant_BD!$B:$B,$A316,Plant_BD!$AL:$AL))),"")</f>
        <v/>
      </c>
      <c r="P316" s="230"/>
      <c r="Q316" s="231" t="str">
        <f>IFERROR(1-(SUMIF(Grid_BD!$B:$B,$A316,Grid_BD!$V:$V)/($AA316+SUMIF(Grid_BD!$B:$B,$A316,Grid_BD!$V:$V))),"")</f>
        <v/>
      </c>
      <c r="R316" s="230" t="str">
        <f>IFERROR(1-(SUMIF(Grid_BD!$B:$B,$A316,Grid_BD!$V:$V)/($AA316+SUMIF(Grid_BD!$B:$B,$A316,Grid_BD!$V:$V))),"")</f>
        <v/>
      </c>
      <c r="S316" s="9"/>
      <c r="T316" s="231"/>
      <c r="U316" s="232" t="str">
        <f t="shared" si="26"/>
        <v/>
      </c>
      <c r="V316" s="232" t="str">
        <f>IFERROR(_xlfn.XLOOKUP($A316,Input_Raw!$A:$A,Input_Raw!$FG:$FG),"")</f>
        <v/>
      </c>
      <c r="W316" s="233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85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33">
        <f>IFERROR(_xlfn.XLOOKUP($D316,'Modelling New'!$D:$D,'Modelling New'!O:O),"")</f>
        <v>0.8316109218354748</v>
      </c>
      <c r="AF316" s="233">
        <f>IFERROR(_xlfn.XLOOKUP($D316,'Modelling New'!$D:$D,'Modelling New'!W:W),"")</f>
        <v>0.21866912185763154</v>
      </c>
      <c r="AG316" s="233">
        <f>IFERROR(_xlfn.XLOOKUP($D316,'Modelling New'!$D:$D,'Modelling New'!AE:AE),"")</f>
        <v>0.995</v>
      </c>
      <c r="AH316" s="233">
        <f>IFERROR(_xlfn.XLOOKUP($D316,'Modelling New'!$D:$D,'Modelling New'!AF:AF),"")</f>
        <v>0.995</v>
      </c>
      <c r="AI316" s="9"/>
      <c r="AJ316" s="9"/>
      <c r="AK316" s="256"/>
      <c r="AL316" s="256"/>
      <c r="AM316" s="256"/>
      <c r="AN316" s="230"/>
      <c r="AO316" s="233"/>
      <c r="AP316" s="233"/>
      <c r="AQ316" s="233"/>
      <c r="AR316" s="234">
        <f>_xlfn.XLOOKUP(D316,'Modelling New'!$D:$D,'Modelling New'!$N:$N)</f>
        <v>130</v>
      </c>
      <c r="AS316" s="234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29">
        <f>Table13[[#This Row],[Date]]-DAY(Table13[[#This Row],[Date]])+1</f>
        <v>46054</v>
      </c>
      <c r="E317" s="9">
        <f t="shared" si="25"/>
        <v>28</v>
      </c>
      <c r="F317" s="199" t="str">
        <f>IFERROR(_xlfn.XLOOKUP($A317,Input_Raw!$A:$A,Input_Raw!$FC:$FC),"")</f>
        <v/>
      </c>
      <c r="G317" s="185" t="str">
        <f>IFERROR(_xlfn.XLOOKUP($A317,Input_Raw!$A:$A,Input_Raw!$CY:$CY),"")</f>
        <v/>
      </c>
      <c r="H317" s="185" t="str">
        <f>IFERROR(_xlfn.XLOOKUP($A317,Input_Raw!$A:$A,Input_Raw!$DA:$DA),"")</f>
        <v/>
      </c>
      <c r="I317" s="185" t="str">
        <f>IFERROR(_xlfn.XLOOKUP($A317,Input_Raw!$A:$A,Input_Raw!$CX:$CX),"")</f>
        <v/>
      </c>
      <c r="J317" s="185" t="str">
        <f>IFERROR(_xlfn.XLOOKUP($A317,Input_Raw!$A:$A,Input_Raw!$CZ:$CZ),"")</f>
        <v/>
      </c>
      <c r="K317" s="201" t="str">
        <f>IFERROR(_xlfn.XLOOKUP($A317,Input_Raw!$A:$A,Input_Raw!$DB:$DB),"")</f>
        <v/>
      </c>
      <c r="L317" s="201" t="str">
        <f>IFERROR(_xlfn.XLOOKUP($A317,Input_Raw!$A:$A,Input_Raw!$DC:$DC),"")</f>
        <v/>
      </c>
      <c r="M317" s="200" t="str">
        <f>IFERROR(_xlfn.XLOOKUP($A317,Input_Raw!$A:$A,Input_Raw!$DF:$DF),"")</f>
        <v/>
      </c>
      <c r="N317" s="200" t="str">
        <f>IFERROR(_xlfn.XLOOKUP($A317,Input_Raw!$A:$A,Input_Raw!$DG:$DG),"")</f>
        <v/>
      </c>
      <c r="O317" s="230" t="str">
        <f>IFERROR(1-(SUMIF(Plant_BD!$B:$B,$A317,Plant_BD!$AL:$AL)/($AA317+SUMIF(Plant_BD!$B:$B,$A317,Plant_BD!$AL:$AL))),"")</f>
        <v/>
      </c>
      <c r="P317" s="230"/>
      <c r="Q317" s="231" t="str">
        <f>IFERROR(1-(SUMIF(Grid_BD!$B:$B,$A317,Grid_BD!$V:$V)/($AA317+SUMIF(Grid_BD!$B:$B,$A317,Grid_BD!$V:$V))),"")</f>
        <v/>
      </c>
      <c r="R317" s="230" t="str">
        <f>IFERROR(1-(SUMIF(Grid_BD!$B:$B,$A317,Grid_BD!$V:$V)/($AA317+SUMIF(Grid_BD!$B:$B,$A317,Grid_BD!$V:$V))),"")</f>
        <v/>
      </c>
      <c r="S317" s="9"/>
      <c r="T317" s="231"/>
      <c r="U317" s="232" t="str">
        <f t="shared" si="26"/>
        <v/>
      </c>
      <c r="V317" s="232" t="str">
        <f>IFERROR(_xlfn.XLOOKUP($A317,Input_Raw!$A:$A,Input_Raw!$FG:$FG),"")</f>
        <v/>
      </c>
      <c r="W317" s="233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85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33">
        <f>IFERROR(_xlfn.XLOOKUP($D317,'Modelling New'!$D:$D,'Modelling New'!O:O),"")</f>
        <v>0.8316109218354748</v>
      </c>
      <c r="AF317" s="233">
        <f>IFERROR(_xlfn.XLOOKUP($D317,'Modelling New'!$D:$D,'Modelling New'!W:W),"")</f>
        <v>0.21866912185763154</v>
      </c>
      <c r="AG317" s="233">
        <f>IFERROR(_xlfn.XLOOKUP($D317,'Modelling New'!$D:$D,'Modelling New'!AE:AE),"")</f>
        <v>0.995</v>
      </c>
      <c r="AH317" s="233">
        <f>IFERROR(_xlfn.XLOOKUP($D317,'Modelling New'!$D:$D,'Modelling New'!AF:AF),"")</f>
        <v>0.995</v>
      </c>
      <c r="AI317" s="9"/>
      <c r="AJ317" s="9"/>
      <c r="AK317" s="256"/>
      <c r="AL317" s="256"/>
      <c r="AM317" s="256"/>
      <c r="AN317" s="230"/>
      <c r="AO317" s="233"/>
      <c r="AP317" s="233"/>
      <c r="AQ317" s="233"/>
      <c r="AR317" s="234">
        <f>_xlfn.XLOOKUP(D317,'Modelling New'!$D:$D,'Modelling New'!$N:$N)</f>
        <v>130</v>
      </c>
      <c r="AS317" s="234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29">
        <f>Table13[[#This Row],[Date]]-DAY(Table13[[#This Row],[Date]])+1</f>
        <v>46054</v>
      </c>
      <c r="E318" s="9">
        <f t="shared" si="25"/>
        <v>28</v>
      </c>
      <c r="F318" s="199" t="str">
        <f>IFERROR(_xlfn.XLOOKUP($A318,Input_Raw!$A:$A,Input_Raw!$FC:$FC),"")</f>
        <v/>
      </c>
      <c r="G318" s="200" t="str">
        <f>IFERROR(_xlfn.XLOOKUP($A318,Input_Raw!$A:$A,Input_Raw!$CY:$CY),"")</f>
        <v/>
      </c>
      <c r="H318" s="200" t="str">
        <f>IFERROR(_xlfn.XLOOKUP($A318,Input_Raw!$A:$A,Input_Raw!$DA:$DA),"")</f>
        <v/>
      </c>
      <c r="I318" s="200" t="str">
        <f>IFERROR(_xlfn.XLOOKUP($A318,Input_Raw!$A:$A,Input_Raw!$CX:$CX),"")</f>
        <v/>
      </c>
      <c r="J318" s="200" t="str">
        <f>IFERROR(_xlfn.XLOOKUP($A318,Input_Raw!$A:$A,Input_Raw!$CZ:$CZ),"")</f>
        <v/>
      </c>
      <c r="K318" s="201" t="str">
        <f>IFERROR(_xlfn.XLOOKUP($A318,Input_Raw!$A:$A,Input_Raw!$DB:$DB),"")</f>
        <v/>
      </c>
      <c r="L318" s="201" t="str">
        <f>IFERROR(_xlfn.XLOOKUP($A318,Input_Raw!$A:$A,Input_Raw!$DC:$DC),"")</f>
        <v/>
      </c>
      <c r="M318" s="200" t="str">
        <f>IFERROR(_xlfn.XLOOKUP($A318,Input_Raw!$A:$A,Input_Raw!$DF:$DF),"")</f>
        <v/>
      </c>
      <c r="N318" s="200" t="str">
        <f>IFERROR(_xlfn.XLOOKUP($A318,Input_Raw!$A:$A,Input_Raw!$DG:$DG),"")</f>
        <v/>
      </c>
      <c r="O318" s="230" t="str">
        <f>IFERROR(1-(SUMIF(Plant_BD!$B:$B,$A318,Plant_BD!$AL:$AL)/($AA318+SUMIF(Plant_BD!$B:$B,$A318,Plant_BD!$AL:$AL))),"")</f>
        <v/>
      </c>
      <c r="P318" s="230"/>
      <c r="Q318" s="231" t="str">
        <f>IFERROR(1-(SUMIF(Grid_BD!$B:$B,$A318,Grid_BD!$V:$V)/($AA318+SUMIF(Grid_BD!$B:$B,$A318,Grid_BD!$V:$V))),"")</f>
        <v/>
      </c>
      <c r="R318" s="230" t="str">
        <f>IFERROR(1-(SUMIF(Grid_BD!$B:$B,$A318,Grid_BD!$V:$V)/($AA318+SUMIF(Grid_BD!$B:$B,$A318,Grid_BD!$V:$V))),"")</f>
        <v/>
      </c>
      <c r="S318" s="9"/>
      <c r="T318" s="231"/>
      <c r="U318" s="232" t="str">
        <f t="shared" si="26"/>
        <v/>
      </c>
      <c r="V318" s="232" t="str">
        <f>IFERROR(_xlfn.XLOOKUP($A318,Input_Raw!$A:$A,Input_Raw!$FG:$FG),"")</f>
        <v/>
      </c>
      <c r="W318" s="233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85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33">
        <f>IFERROR(_xlfn.XLOOKUP($D318,'Modelling New'!$D:$D,'Modelling New'!O:O),"")</f>
        <v>0.8316109218354748</v>
      </c>
      <c r="AF318" s="233">
        <f>IFERROR(_xlfn.XLOOKUP($D318,'Modelling New'!$D:$D,'Modelling New'!W:W),"")</f>
        <v>0.21866912185763154</v>
      </c>
      <c r="AG318" s="233">
        <f>IFERROR(_xlfn.XLOOKUP($D318,'Modelling New'!$D:$D,'Modelling New'!AE:AE),"")</f>
        <v>0.995</v>
      </c>
      <c r="AH318" s="233">
        <f>IFERROR(_xlfn.XLOOKUP($D318,'Modelling New'!$D:$D,'Modelling New'!AF:AF),"")</f>
        <v>0.995</v>
      </c>
      <c r="AI318" s="9"/>
      <c r="AJ318" s="9"/>
      <c r="AK318" s="256"/>
      <c r="AL318" s="256"/>
      <c r="AM318" s="256"/>
      <c r="AN318" s="230"/>
      <c r="AO318" s="233"/>
      <c r="AP318" s="233"/>
      <c r="AQ318" s="233"/>
      <c r="AR318" s="234">
        <f>_xlfn.XLOOKUP(D318,'Modelling New'!$D:$D,'Modelling New'!$N:$N)</f>
        <v>130</v>
      </c>
      <c r="AS318" s="234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29">
        <f>Table13[[#This Row],[Date]]-DAY(Table13[[#This Row],[Date]])+1</f>
        <v>46054</v>
      </c>
      <c r="E319" s="9">
        <f t="shared" si="25"/>
        <v>28</v>
      </c>
      <c r="F319" s="199" t="str">
        <f>IFERROR(_xlfn.XLOOKUP($A319,Input_Raw!$A:$A,Input_Raw!$FC:$FC),"")</f>
        <v/>
      </c>
      <c r="G319" s="185" t="str">
        <f>IFERROR(_xlfn.XLOOKUP($A319,Input_Raw!$A:$A,Input_Raw!$CY:$CY),"")</f>
        <v/>
      </c>
      <c r="H319" s="185" t="str">
        <f>IFERROR(_xlfn.XLOOKUP($A319,Input_Raw!$A:$A,Input_Raw!$DA:$DA),"")</f>
        <v/>
      </c>
      <c r="I319" s="185" t="str">
        <f>IFERROR(_xlfn.XLOOKUP($A319,Input_Raw!$A:$A,Input_Raw!$CX:$CX),"")</f>
        <v/>
      </c>
      <c r="J319" s="185" t="str">
        <f>IFERROR(_xlfn.XLOOKUP($A319,Input_Raw!$A:$A,Input_Raw!$CZ:$CZ),"")</f>
        <v/>
      </c>
      <c r="K319" s="201" t="str">
        <f>IFERROR(_xlfn.XLOOKUP($A319,Input_Raw!$A:$A,Input_Raw!$DB:$DB),"")</f>
        <v/>
      </c>
      <c r="L319" s="201" t="str">
        <f>IFERROR(_xlfn.XLOOKUP($A319,Input_Raw!$A:$A,Input_Raw!$DC:$DC),"")</f>
        <v/>
      </c>
      <c r="M319" s="200" t="str">
        <f>IFERROR(_xlfn.XLOOKUP($A319,Input_Raw!$A:$A,Input_Raw!$DF:$DF),"")</f>
        <v/>
      </c>
      <c r="N319" s="200" t="str">
        <f>IFERROR(_xlfn.XLOOKUP($A319,Input_Raw!$A:$A,Input_Raw!$DG:$DG),"")</f>
        <v/>
      </c>
      <c r="O319" s="230" t="str">
        <f>IFERROR(1-(SUMIF(Plant_BD!$B:$B,$A319,Plant_BD!$AL:$AL)/($AA319+SUMIF(Plant_BD!$B:$B,$A319,Plant_BD!$AL:$AL))),"")</f>
        <v/>
      </c>
      <c r="P319" s="230"/>
      <c r="Q319" s="231" t="str">
        <f>IFERROR(1-(SUMIF(Grid_BD!$B:$B,$A319,Grid_BD!$V:$V)/($AA319+SUMIF(Grid_BD!$B:$B,$A319,Grid_BD!$V:$V))),"")</f>
        <v/>
      </c>
      <c r="R319" s="230" t="str">
        <f>IFERROR(1-(SUMIF(Grid_BD!$B:$B,$A319,Grid_BD!$V:$V)/($AA319+SUMIF(Grid_BD!$B:$B,$A319,Grid_BD!$V:$V))),"")</f>
        <v/>
      </c>
      <c r="S319" s="9"/>
      <c r="T319" s="231"/>
      <c r="U319" s="232" t="str">
        <f t="shared" si="26"/>
        <v/>
      </c>
      <c r="V319" s="232" t="str">
        <f>IFERROR(_xlfn.XLOOKUP($A319,Input_Raw!$A:$A,Input_Raw!$FG:$FG),"")</f>
        <v/>
      </c>
      <c r="W319" s="233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85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33">
        <f>IFERROR(_xlfn.XLOOKUP($D319,'Modelling New'!$D:$D,'Modelling New'!O:O),"")</f>
        <v>0.8316109218354748</v>
      </c>
      <c r="AF319" s="233">
        <f>IFERROR(_xlfn.XLOOKUP($D319,'Modelling New'!$D:$D,'Modelling New'!W:W),"")</f>
        <v>0.21866912185763154</v>
      </c>
      <c r="AG319" s="233">
        <f>IFERROR(_xlfn.XLOOKUP($D319,'Modelling New'!$D:$D,'Modelling New'!AE:AE),"")</f>
        <v>0.995</v>
      </c>
      <c r="AH319" s="233">
        <f>IFERROR(_xlfn.XLOOKUP($D319,'Modelling New'!$D:$D,'Modelling New'!AF:AF),"")</f>
        <v>0.995</v>
      </c>
      <c r="AI319" s="9"/>
      <c r="AJ319" s="9"/>
      <c r="AK319" s="256"/>
      <c r="AL319" s="256"/>
      <c r="AM319" s="256"/>
      <c r="AN319" s="230"/>
      <c r="AO319" s="233"/>
      <c r="AP319" s="233"/>
      <c r="AQ319" s="233"/>
      <c r="AR319" s="234">
        <f>_xlfn.XLOOKUP(D319,'Modelling New'!$D:$D,'Modelling New'!$N:$N)</f>
        <v>130</v>
      </c>
      <c r="AS319" s="234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29">
        <f>Table13[[#This Row],[Date]]-DAY(Table13[[#This Row],[Date]])+1</f>
        <v>46054</v>
      </c>
      <c r="E320" s="9">
        <f t="shared" si="25"/>
        <v>28</v>
      </c>
      <c r="F320" s="199" t="str">
        <f>IFERROR(_xlfn.XLOOKUP($A320,Input_Raw!$A:$A,Input_Raw!$FC:$FC),"")</f>
        <v/>
      </c>
      <c r="G320" s="200" t="str">
        <f>IFERROR(_xlfn.XLOOKUP($A320,Input_Raw!$A:$A,Input_Raw!$CY:$CY),"")</f>
        <v/>
      </c>
      <c r="H320" s="200" t="str">
        <f>IFERROR(_xlfn.XLOOKUP($A320,Input_Raw!$A:$A,Input_Raw!$DA:$DA),"")</f>
        <v/>
      </c>
      <c r="I320" s="200" t="str">
        <f>IFERROR(_xlfn.XLOOKUP($A320,Input_Raw!$A:$A,Input_Raw!$CX:$CX),"")</f>
        <v/>
      </c>
      <c r="J320" s="200" t="str">
        <f>IFERROR(_xlfn.XLOOKUP($A320,Input_Raw!$A:$A,Input_Raw!$CZ:$CZ),"")</f>
        <v/>
      </c>
      <c r="K320" s="201" t="str">
        <f>IFERROR(_xlfn.XLOOKUP($A320,Input_Raw!$A:$A,Input_Raw!$DB:$DB),"")</f>
        <v/>
      </c>
      <c r="L320" s="201" t="str">
        <f>IFERROR(_xlfn.XLOOKUP($A320,Input_Raw!$A:$A,Input_Raw!$DC:$DC),"")</f>
        <v/>
      </c>
      <c r="M320" s="200" t="str">
        <f>IFERROR(_xlfn.XLOOKUP($A320,Input_Raw!$A:$A,Input_Raw!$DF:$DF),"")</f>
        <v/>
      </c>
      <c r="N320" s="200" t="str">
        <f>IFERROR(_xlfn.XLOOKUP($A320,Input_Raw!$A:$A,Input_Raw!$DG:$DG),"")</f>
        <v/>
      </c>
      <c r="O320" s="230" t="str">
        <f>IFERROR(1-(SUMIF(Plant_BD!$B:$B,$A320,Plant_BD!$AL:$AL)/($AA320+SUMIF(Plant_BD!$B:$B,$A320,Plant_BD!$AL:$AL))),"")</f>
        <v/>
      </c>
      <c r="P320" s="230"/>
      <c r="Q320" s="231" t="str">
        <f>IFERROR(1-(SUMIF(Grid_BD!$B:$B,$A320,Grid_BD!$V:$V)/($AA320+SUMIF(Grid_BD!$B:$B,$A320,Grid_BD!$V:$V))),"")</f>
        <v/>
      </c>
      <c r="R320" s="230" t="str">
        <f>IFERROR(1-(SUMIF(Grid_BD!$B:$B,$A320,Grid_BD!$V:$V)/($AA320+SUMIF(Grid_BD!$B:$B,$A320,Grid_BD!$V:$V))),"")</f>
        <v/>
      </c>
      <c r="S320" s="9"/>
      <c r="T320" s="231"/>
      <c r="U320" s="232" t="str">
        <f t="shared" si="26"/>
        <v/>
      </c>
      <c r="V320" s="232" t="str">
        <f>IFERROR(_xlfn.XLOOKUP($A320,Input_Raw!$A:$A,Input_Raw!$FG:$FG),"")</f>
        <v/>
      </c>
      <c r="W320" s="233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85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33">
        <f>IFERROR(_xlfn.XLOOKUP($D320,'Modelling New'!$D:$D,'Modelling New'!O:O),"")</f>
        <v>0.8316109218354748</v>
      </c>
      <c r="AF320" s="233">
        <f>IFERROR(_xlfn.XLOOKUP($D320,'Modelling New'!$D:$D,'Modelling New'!W:W),"")</f>
        <v>0.21866912185763154</v>
      </c>
      <c r="AG320" s="233">
        <f>IFERROR(_xlfn.XLOOKUP($D320,'Modelling New'!$D:$D,'Modelling New'!AE:AE),"")</f>
        <v>0.995</v>
      </c>
      <c r="AH320" s="233">
        <f>IFERROR(_xlfn.XLOOKUP($D320,'Modelling New'!$D:$D,'Modelling New'!AF:AF),"")</f>
        <v>0.995</v>
      </c>
      <c r="AI320" s="9"/>
      <c r="AJ320" s="9"/>
      <c r="AK320" s="256"/>
      <c r="AL320" s="256"/>
      <c r="AM320" s="256"/>
      <c r="AN320" s="230"/>
      <c r="AO320" s="233"/>
      <c r="AP320" s="233"/>
      <c r="AQ320" s="233"/>
      <c r="AR320" s="234">
        <f>_xlfn.XLOOKUP(D320,'Modelling New'!$D:$D,'Modelling New'!$N:$N)</f>
        <v>130</v>
      </c>
      <c r="AS320" s="234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29">
        <f>Table13[[#This Row],[Date]]-DAY(Table13[[#This Row],[Date]])+1</f>
        <v>46054</v>
      </c>
      <c r="E321" s="9">
        <f t="shared" si="25"/>
        <v>28</v>
      </c>
      <c r="F321" s="199" t="str">
        <f>IFERROR(_xlfn.XLOOKUP($A321,Input_Raw!$A:$A,Input_Raw!$FC:$FC),"")</f>
        <v/>
      </c>
      <c r="G321" s="185" t="str">
        <f>IFERROR(_xlfn.XLOOKUP($A321,Input_Raw!$A:$A,Input_Raw!$CY:$CY),"")</f>
        <v/>
      </c>
      <c r="H321" s="185" t="str">
        <f>IFERROR(_xlfn.XLOOKUP($A321,Input_Raw!$A:$A,Input_Raw!$DA:$DA),"")</f>
        <v/>
      </c>
      <c r="I321" s="185" t="str">
        <f>IFERROR(_xlfn.XLOOKUP($A321,Input_Raw!$A:$A,Input_Raw!$CX:$CX),"")</f>
        <v/>
      </c>
      <c r="J321" s="185" t="str">
        <f>IFERROR(_xlfn.XLOOKUP($A321,Input_Raw!$A:$A,Input_Raw!$CZ:$CZ),"")</f>
        <v/>
      </c>
      <c r="K321" s="201" t="str">
        <f>IFERROR(_xlfn.XLOOKUP($A321,Input_Raw!$A:$A,Input_Raw!$DB:$DB),"")</f>
        <v/>
      </c>
      <c r="L321" s="201" t="str">
        <f>IFERROR(_xlfn.XLOOKUP($A321,Input_Raw!$A:$A,Input_Raw!$DC:$DC),"")</f>
        <v/>
      </c>
      <c r="M321" s="200" t="str">
        <f>IFERROR(_xlfn.XLOOKUP($A321,Input_Raw!$A:$A,Input_Raw!$DF:$DF),"")</f>
        <v/>
      </c>
      <c r="N321" s="200" t="str">
        <f>IFERROR(_xlfn.XLOOKUP($A321,Input_Raw!$A:$A,Input_Raw!$DG:$DG),"")</f>
        <v/>
      </c>
      <c r="O321" s="230" t="str">
        <f>IFERROR(1-(SUMIF(Plant_BD!$B:$B,$A321,Plant_BD!$AL:$AL)/($AA321+SUMIF(Plant_BD!$B:$B,$A321,Plant_BD!$AL:$AL))),"")</f>
        <v/>
      </c>
      <c r="P321" s="230"/>
      <c r="Q321" s="231" t="str">
        <f>IFERROR(1-(SUMIF(Grid_BD!$B:$B,$A321,Grid_BD!$V:$V)/($AA321+SUMIF(Grid_BD!$B:$B,$A321,Grid_BD!$V:$V))),"")</f>
        <v/>
      </c>
      <c r="R321" s="230" t="str">
        <f>IFERROR(1-(SUMIF(Grid_BD!$B:$B,$A321,Grid_BD!$V:$V)/($AA321+SUMIF(Grid_BD!$B:$B,$A321,Grid_BD!$V:$V))),"")</f>
        <v/>
      </c>
      <c r="S321" s="9"/>
      <c r="T321" s="231"/>
      <c r="U321" s="232" t="str">
        <f t="shared" si="26"/>
        <v/>
      </c>
      <c r="V321" s="232" t="str">
        <f>IFERROR(_xlfn.XLOOKUP($A321,Input_Raw!$A:$A,Input_Raw!$FG:$FG),"")</f>
        <v/>
      </c>
      <c r="W321" s="233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85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33">
        <f>IFERROR(_xlfn.XLOOKUP($D321,'Modelling New'!$D:$D,'Modelling New'!O:O),"")</f>
        <v>0.8316109218354748</v>
      </c>
      <c r="AF321" s="233">
        <f>IFERROR(_xlfn.XLOOKUP($D321,'Modelling New'!$D:$D,'Modelling New'!W:W),"")</f>
        <v>0.21866912185763154</v>
      </c>
      <c r="AG321" s="233">
        <f>IFERROR(_xlfn.XLOOKUP($D321,'Modelling New'!$D:$D,'Modelling New'!AE:AE),"")</f>
        <v>0.995</v>
      </c>
      <c r="AH321" s="233">
        <f>IFERROR(_xlfn.XLOOKUP($D321,'Modelling New'!$D:$D,'Modelling New'!AF:AF),"")</f>
        <v>0.995</v>
      </c>
      <c r="AI321" s="9"/>
      <c r="AJ321" s="9"/>
      <c r="AK321" s="256"/>
      <c r="AL321" s="256"/>
      <c r="AM321" s="256"/>
      <c r="AN321" s="230"/>
      <c r="AO321" s="233"/>
      <c r="AP321" s="233"/>
      <c r="AQ321" s="233"/>
      <c r="AR321" s="234">
        <f>_xlfn.XLOOKUP(D321,'Modelling New'!$D:$D,'Modelling New'!$N:$N)</f>
        <v>130</v>
      </c>
      <c r="AS321" s="234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29">
        <f>Table13[[#This Row],[Date]]-DAY(Table13[[#This Row],[Date]])+1</f>
        <v>46054</v>
      </c>
      <c r="E322" s="9">
        <f t="shared" si="25"/>
        <v>28</v>
      </c>
      <c r="F322" s="199" t="str">
        <f>IFERROR(_xlfn.XLOOKUP($A322,Input_Raw!$A:$A,Input_Raw!$FC:$FC),"")</f>
        <v/>
      </c>
      <c r="G322" s="200" t="str">
        <f>IFERROR(_xlfn.XLOOKUP($A322,Input_Raw!$A:$A,Input_Raw!$CY:$CY),"")</f>
        <v/>
      </c>
      <c r="H322" s="200" t="str">
        <f>IFERROR(_xlfn.XLOOKUP($A322,Input_Raw!$A:$A,Input_Raw!$DA:$DA),"")</f>
        <v/>
      </c>
      <c r="I322" s="200" t="str">
        <f>IFERROR(_xlfn.XLOOKUP($A322,Input_Raw!$A:$A,Input_Raw!$CX:$CX),"")</f>
        <v/>
      </c>
      <c r="J322" s="200" t="str">
        <f>IFERROR(_xlfn.XLOOKUP($A322,Input_Raw!$A:$A,Input_Raw!$CZ:$CZ),"")</f>
        <v/>
      </c>
      <c r="K322" s="201" t="str">
        <f>IFERROR(_xlfn.XLOOKUP($A322,Input_Raw!$A:$A,Input_Raw!$DB:$DB),"")</f>
        <v/>
      </c>
      <c r="L322" s="201" t="str">
        <f>IFERROR(_xlfn.XLOOKUP($A322,Input_Raw!$A:$A,Input_Raw!$DC:$DC),"")</f>
        <v/>
      </c>
      <c r="M322" s="200" t="str">
        <f>IFERROR(_xlfn.XLOOKUP($A322,Input_Raw!$A:$A,Input_Raw!$DF:$DF),"")</f>
        <v/>
      </c>
      <c r="N322" s="200" t="str">
        <f>IFERROR(_xlfn.XLOOKUP($A322,Input_Raw!$A:$A,Input_Raw!$DG:$DG),"")</f>
        <v/>
      </c>
      <c r="O322" s="230" t="str">
        <f>IFERROR(1-(SUMIF(Plant_BD!$B:$B,$A322,Plant_BD!$AL:$AL)/($AA322+SUMIF(Plant_BD!$B:$B,$A322,Plant_BD!$AL:$AL))),"")</f>
        <v/>
      </c>
      <c r="P322" s="230"/>
      <c r="Q322" s="231" t="str">
        <f>IFERROR(1-(SUMIF(Grid_BD!$B:$B,$A322,Grid_BD!$V:$V)/($AA322+SUMIF(Grid_BD!$B:$B,$A322,Grid_BD!$V:$V))),"")</f>
        <v/>
      </c>
      <c r="R322" s="230" t="str">
        <f>IFERROR(1-(SUMIF(Grid_BD!$B:$B,$A322,Grid_BD!$V:$V)/($AA322+SUMIF(Grid_BD!$B:$B,$A322,Grid_BD!$V:$V))),"")</f>
        <v/>
      </c>
      <c r="S322" s="9"/>
      <c r="T322" s="231"/>
      <c r="U322" s="232" t="str">
        <f t="shared" si="26"/>
        <v/>
      </c>
      <c r="V322" s="232" t="str">
        <f>IFERROR(_xlfn.XLOOKUP($A322,Input_Raw!$A:$A,Input_Raw!$FG:$FG),"")</f>
        <v/>
      </c>
      <c r="W322" s="233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85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33">
        <f>IFERROR(_xlfn.XLOOKUP($D322,'Modelling New'!$D:$D,'Modelling New'!O:O),"")</f>
        <v>0.8316109218354748</v>
      </c>
      <c r="AF322" s="233">
        <f>IFERROR(_xlfn.XLOOKUP($D322,'Modelling New'!$D:$D,'Modelling New'!W:W),"")</f>
        <v>0.21866912185763154</v>
      </c>
      <c r="AG322" s="233">
        <f>IFERROR(_xlfn.XLOOKUP($D322,'Modelling New'!$D:$D,'Modelling New'!AE:AE),"")</f>
        <v>0.995</v>
      </c>
      <c r="AH322" s="233">
        <f>IFERROR(_xlfn.XLOOKUP($D322,'Modelling New'!$D:$D,'Modelling New'!AF:AF),"")</f>
        <v>0.995</v>
      </c>
      <c r="AI322" s="9"/>
      <c r="AJ322" s="9"/>
      <c r="AK322" s="256"/>
      <c r="AL322" s="256"/>
      <c r="AM322" s="256"/>
      <c r="AN322" s="230"/>
      <c r="AO322" s="233"/>
      <c r="AP322" s="233"/>
      <c r="AQ322" s="233"/>
      <c r="AR322" s="234">
        <f>_xlfn.XLOOKUP(D322,'Modelling New'!$D:$D,'Modelling New'!$N:$N)</f>
        <v>130</v>
      </c>
      <c r="AS322" s="234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29">
        <f>Table13[[#This Row],[Date]]-DAY(Table13[[#This Row],[Date]])+1</f>
        <v>46054</v>
      </c>
      <c r="E323" s="9">
        <f t="shared" si="25"/>
        <v>28</v>
      </c>
      <c r="F323" s="199" t="str">
        <f>IFERROR(_xlfn.XLOOKUP($A323,Input_Raw!$A:$A,Input_Raw!$FC:$FC),"")</f>
        <v/>
      </c>
      <c r="G323" s="185" t="str">
        <f>IFERROR(_xlfn.XLOOKUP($A323,Input_Raw!$A:$A,Input_Raw!$CY:$CY),"")</f>
        <v/>
      </c>
      <c r="H323" s="185" t="str">
        <f>IFERROR(_xlfn.XLOOKUP($A323,Input_Raw!$A:$A,Input_Raw!$DA:$DA),"")</f>
        <v/>
      </c>
      <c r="I323" s="185" t="str">
        <f>IFERROR(_xlfn.XLOOKUP($A323,Input_Raw!$A:$A,Input_Raw!$CX:$CX),"")</f>
        <v/>
      </c>
      <c r="J323" s="185" t="str">
        <f>IFERROR(_xlfn.XLOOKUP($A323,Input_Raw!$A:$A,Input_Raw!$CZ:$CZ),"")</f>
        <v/>
      </c>
      <c r="K323" s="201" t="str">
        <f>IFERROR(_xlfn.XLOOKUP($A323,Input_Raw!$A:$A,Input_Raw!$DB:$DB),"")</f>
        <v/>
      </c>
      <c r="L323" s="201" t="str">
        <f>IFERROR(_xlfn.XLOOKUP($A323,Input_Raw!$A:$A,Input_Raw!$DC:$DC),"")</f>
        <v/>
      </c>
      <c r="M323" s="200" t="str">
        <f>IFERROR(_xlfn.XLOOKUP($A323,Input_Raw!$A:$A,Input_Raw!$DF:$DF),"")</f>
        <v/>
      </c>
      <c r="N323" s="200" t="str">
        <f>IFERROR(_xlfn.XLOOKUP($A323,Input_Raw!$A:$A,Input_Raw!$DG:$DG),"")</f>
        <v/>
      </c>
      <c r="O323" s="230" t="str">
        <f>IFERROR(1-(SUMIF(Plant_BD!$B:$B,$A323,Plant_BD!$AL:$AL)/($AA323+SUMIF(Plant_BD!$B:$B,$A323,Plant_BD!$AL:$AL))),"")</f>
        <v/>
      </c>
      <c r="P323" s="230"/>
      <c r="Q323" s="231" t="str">
        <f>IFERROR(1-(SUMIF(Grid_BD!$B:$B,$A323,Grid_BD!$V:$V)/($AA323+SUMIF(Grid_BD!$B:$B,$A323,Grid_BD!$V:$V))),"")</f>
        <v/>
      </c>
      <c r="R323" s="230" t="str">
        <f>IFERROR(1-(SUMIF(Grid_BD!$B:$B,$A323,Grid_BD!$V:$V)/($AA323+SUMIF(Grid_BD!$B:$B,$A323,Grid_BD!$V:$V))),"")</f>
        <v/>
      </c>
      <c r="S323" s="9"/>
      <c r="T323" s="231"/>
      <c r="U323" s="232" t="str">
        <f t="shared" si="26"/>
        <v/>
      </c>
      <c r="V323" s="232" t="str">
        <f>IFERROR(_xlfn.XLOOKUP($A323,Input_Raw!$A:$A,Input_Raw!$FG:$FG),"")</f>
        <v/>
      </c>
      <c r="W323" s="233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85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33">
        <f>IFERROR(_xlfn.XLOOKUP($D323,'Modelling New'!$D:$D,'Modelling New'!O:O),"")</f>
        <v>0.8316109218354748</v>
      </c>
      <c r="AF323" s="233">
        <f>IFERROR(_xlfn.XLOOKUP($D323,'Modelling New'!$D:$D,'Modelling New'!W:W),"")</f>
        <v>0.21866912185763154</v>
      </c>
      <c r="AG323" s="233">
        <f>IFERROR(_xlfn.XLOOKUP($D323,'Modelling New'!$D:$D,'Modelling New'!AE:AE),"")</f>
        <v>0.995</v>
      </c>
      <c r="AH323" s="233">
        <f>IFERROR(_xlfn.XLOOKUP($D323,'Modelling New'!$D:$D,'Modelling New'!AF:AF),"")</f>
        <v>0.995</v>
      </c>
      <c r="AI323" s="9"/>
      <c r="AJ323" s="9"/>
      <c r="AK323" s="256"/>
      <c r="AL323" s="256"/>
      <c r="AM323" s="256"/>
      <c r="AN323" s="230"/>
      <c r="AO323" s="233"/>
      <c r="AP323" s="233"/>
      <c r="AQ323" s="233"/>
      <c r="AR323" s="234">
        <f>_xlfn.XLOOKUP(D323,'Modelling New'!$D:$D,'Modelling New'!$N:$N)</f>
        <v>130</v>
      </c>
      <c r="AS323" s="234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29">
        <f>Table13[[#This Row],[Date]]-DAY(Table13[[#This Row],[Date]])+1</f>
        <v>46054</v>
      </c>
      <c r="E324" s="9">
        <f t="shared" si="25"/>
        <v>28</v>
      </c>
      <c r="F324" s="199" t="str">
        <f>IFERROR(_xlfn.XLOOKUP($A324,Input_Raw!$A:$A,Input_Raw!$FC:$FC),"")</f>
        <v/>
      </c>
      <c r="G324" s="200" t="str">
        <f>IFERROR(_xlfn.XLOOKUP($A324,Input_Raw!$A:$A,Input_Raw!$CY:$CY),"")</f>
        <v/>
      </c>
      <c r="H324" s="200" t="str">
        <f>IFERROR(_xlfn.XLOOKUP($A324,Input_Raw!$A:$A,Input_Raw!$DA:$DA),"")</f>
        <v/>
      </c>
      <c r="I324" s="200" t="str">
        <f>IFERROR(_xlfn.XLOOKUP($A324,Input_Raw!$A:$A,Input_Raw!$CX:$CX),"")</f>
        <v/>
      </c>
      <c r="J324" s="200" t="str">
        <f>IFERROR(_xlfn.XLOOKUP($A324,Input_Raw!$A:$A,Input_Raw!$CZ:$CZ),"")</f>
        <v/>
      </c>
      <c r="K324" s="201" t="str">
        <f>IFERROR(_xlfn.XLOOKUP($A324,Input_Raw!$A:$A,Input_Raw!$DB:$DB),"")</f>
        <v/>
      </c>
      <c r="L324" s="201" t="str">
        <f>IFERROR(_xlfn.XLOOKUP($A324,Input_Raw!$A:$A,Input_Raw!$DC:$DC),"")</f>
        <v/>
      </c>
      <c r="M324" s="200" t="str">
        <f>IFERROR(_xlfn.XLOOKUP($A324,Input_Raw!$A:$A,Input_Raw!$DF:$DF),"")</f>
        <v/>
      </c>
      <c r="N324" s="200" t="str">
        <f>IFERROR(_xlfn.XLOOKUP($A324,Input_Raw!$A:$A,Input_Raw!$DG:$DG),"")</f>
        <v/>
      </c>
      <c r="O324" s="230" t="str">
        <f>IFERROR(1-(SUMIF(Plant_BD!$B:$B,$A324,Plant_BD!$AL:$AL)/($AA324+SUMIF(Plant_BD!$B:$B,$A324,Plant_BD!$AL:$AL))),"")</f>
        <v/>
      </c>
      <c r="P324" s="230"/>
      <c r="Q324" s="231" t="str">
        <f>IFERROR(1-(SUMIF(Grid_BD!$B:$B,$A324,Grid_BD!$V:$V)/($AA324+SUMIF(Grid_BD!$B:$B,$A324,Grid_BD!$V:$V))),"")</f>
        <v/>
      </c>
      <c r="R324" s="230" t="str">
        <f>IFERROR(1-(SUMIF(Grid_BD!$B:$B,$A324,Grid_BD!$V:$V)/($AA324+SUMIF(Grid_BD!$B:$B,$A324,Grid_BD!$V:$V))),"")</f>
        <v/>
      </c>
      <c r="S324" s="9"/>
      <c r="T324" s="231"/>
      <c r="U324" s="232" t="str">
        <f t="shared" si="26"/>
        <v/>
      </c>
      <c r="V324" s="232" t="str">
        <f>IFERROR(_xlfn.XLOOKUP($A324,Input_Raw!$A:$A,Input_Raw!$FG:$FG),"")</f>
        <v/>
      </c>
      <c r="W324" s="233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85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33">
        <f>IFERROR(_xlfn.XLOOKUP($D324,'Modelling New'!$D:$D,'Modelling New'!O:O),"")</f>
        <v>0.8316109218354748</v>
      </c>
      <c r="AF324" s="233">
        <f>IFERROR(_xlfn.XLOOKUP($D324,'Modelling New'!$D:$D,'Modelling New'!W:W),"")</f>
        <v>0.21866912185763154</v>
      </c>
      <c r="AG324" s="233">
        <f>IFERROR(_xlfn.XLOOKUP($D324,'Modelling New'!$D:$D,'Modelling New'!AE:AE),"")</f>
        <v>0.995</v>
      </c>
      <c r="AH324" s="233">
        <f>IFERROR(_xlfn.XLOOKUP($D324,'Modelling New'!$D:$D,'Modelling New'!AF:AF),"")</f>
        <v>0.995</v>
      </c>
      <c r="AI324" s="9"/>
      <c r="AJ324" s="9"/>
      <c r="AK324" s="256"/>
      <c r="AL324" s="256"/>
      <c r="AM324" s="256"/>
      <c r="AN324" s="230"/>
      <c r="AO324" s="233"/>
      <c r="AP324" s="233"/>
      <c r="AQ324" s="233"/>
      <c r="AR324" s="234">
        <f>_xlfn.XLOOKUP(D324,'Modelling New'!$D:$D,'Modelling New'!$N:$N)</f>
        <v>130</v>
      </c>
      <c r="AS324" s="234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29">
        <f>Table13[[#This Row],[Date]]-DAY(Table13[[#This Row],[Date]])+1</f>
        <v>46054</v>
      </c>
      <c r="E325" s="9">
        <f t="shared" si="25"/>
        <v>28</v>
      </c>
      <c r="F325" s="199" t="str">
        <f>IFERROR(_xlfn.XLOOKUP($A325,Input_Raw!$A:$A,Input_Raw!$FC:$FC),"")</f>
        <v/>
      </c>
      <c r="G325" s="185" t="str">
        <f>IFERROR(_xlfn.XLOOKUP($A325,Input_Raw!$A:$A,Input_Raw!$CY:$CY),"")</f>
        <v/>
      </c>
      <c r="H325" s="185" t="str">
        <f>IFERROR(_xlfn.XLOOKUP($A325,Input_Raw!$A:$A,Input_Raw!$DA:$DA),"")</f>
        <v/>
      </c>
      <c r="I325" s="185" t="str">
        <f>IFERROR(_xlfn.XLOOKUP($A325,Input_Raw!$A:$A,Input_Raw!$CX:$CX),"")</f>
        <v/>
      </c>
      <c r="J325" s="185" t="str">
        <f>IFERROR(_xlfn.XLOOKUP($A325,Input_Raw!$A:$A,Input_Raw!$CZ:$CZ),"")</f>
        <v/>
      </c>
      <c r="K325" s="201" t="str">
        <f>IFERROR(_xlfn.XLOOKUP($A325,Input_Raw!$A:$A,Input_Raw!$DB:$DB),"")</f>
        <v/>
      </c>
      <c r="L325" s="201" t="str">
        <f>IFERROR(_xlfn.XLOOKUP($A325,Input_Raw!$A:$A,Input_Raw!$DC:$DC),"")</f>
        <v/>
      </c>
      <c r="M325" s="200" t="str">
        <f>IFERROR(_xlfn.XLOOKUP($A325,Input_Raw!$A:$A,Input_Raw!$DF:$DF),"")</f>
        <v/>
      </c>
      <c r="N325" s="200" t="str">
        <f>IFERROR(_xlfn.XLOOKUP($A325,Input_Raw!$A:$A,Input_Raw!$DG:$DG),"")</f>
        <v/>
      </c>
      <c r="O325" s="230" t="str">
        <f>IFERROR(1-(SUMIF(Plant_BD!$B:$B,$A325,Plant_BD!$AL:$AL)/($AA325+SUMIF(Plant_BD!$B:$B,$A325,Plant_BD!$AL:$AL))),"")</f>
        <v/>
      </c>
      <c r="P325" s="230"/>
      <c r="Q325" s="231" t="str">
        <f>IFERROR(1-(SUMIF(Grid_BD!$B:$B,$A325,Grid_BD!$V:$V)/($AA325+SUMIF(Grid_BD!$B:$B,$A325,Grid_BD!$V:$V))),"")</f>
        <v/>
      </c>
      <c r="R325" s="230" t="str">
        <f>IFERROR(1-(SUMIF(Grid_BD!$B:$B,$A325,Grid_BD!$V:$V)/($AA325+SUMIF(Grid_BD!$B:$B,$A325,Grid_BD!$V:$V))),"")</f>
        <v/>
      </c>
      <c r="S325" s="9"/>
      <c r="T325" s="231"/>
      <c r="U325" s="232" t="str">
        <f t="shared" si="26"/>
        <v/>
      </c>
      <c r="V325" s="232" t="str">
        <f>IFERROR(_xlfn.XLOOKUP($A325,Input_Raw!$A:$A,Input_Raw!$FG:$FG),"")</f>
        <v/>
      </c>
      <c r="W325" s="233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85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33">
        <f>IFERROR(_xlfn.XLOOKUP($D325,'Modelling New'!$D:$D,'Modelling New'!O:O),"")</f>
        <v>0.8316109218354748</v>
      </c>
      <c r="AF325" s="233">
        <f>IFERROR(_xlfn.XLOOKUP($D325,'Modelling New'!$D:$D,'Modelling New'!W:W),"")</f>
        <v>0.21866912185763154</v>
      </c>
      <c r="AG325" s="233">
        <f>IFERROR(_xlfn.XLOOKUP($D325,'Modelling New'!$D:$D,'Modelling New'!AE:AE),"")</f>
        <v>0.995</v>
      </c>
      <c r="AH325" s="233">
        <f>IFERROR(_xlfn.XLOOKUP($D325,'Modelling New'!$D:$D,'Modelling New'!AF:AF),"")</f>
        <v>0.995</v>
      </c>
      <c r="AI325" s="9"/>
      <c r="AJ325" s="9"/>
      <c r="AK325" s="256"/>
      <c r="AL325" s="256"/>
      <c r="AM325" s="256"/>
      <c r="AN325" s="230"/>
      <c r="AO325" s="233"/>
      <c r="AP325" s="233"/>
      <c r="AQ325" s="233"/>
      <c r="AR325" s="234">
        <f>_xlfn.XLOOKUP(D325,'Modelling New'!$D:$D,'Modelling New'!$N:$N)</f>
        <v>130</v>
      </c>
      <c r="AS325" s="234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29">
        <f>Table13[[#This Row],[Date]]-DAY(Table13[[#This Row],[Date]])+1</f>
        <v>46054</v>
      </c>
      <c r="E326" s="9">
        <f t="shared" si="25"/>
        <v>28</v>
      </c>
      <c r="F326" s="199" t="str">
        <f>IFERROR(_xlfn.XLOOKUP($A326,Input_Raw!$A:$A,Input_Raw!$FC:$FC),"")</f>
        <v/>
      </c>
      <c r="G326" s="200" t="str">
        <f>IFERROR(_xlfn.XLOOKUP($A326,Input_Raw!$A:$A,Input_Raw!$CY:$CY),"")</f>
        <v/>
      </c>
      <c r="H326" s="200" t="str">
        <f>IFERROR(_xlfn.XLOOKUP($A326,Input_Raw!$A:$A,Input_Raw!$DA:$DA),"")</f>
        <v/>
      </c>
      <c r="I326" s="200" t="str">
        <f>IFERROR(_xlfn.XLOOKUP($A326,Input_Raw!$A:$A,Input_Raw!$CX:$CX),"")</f>
        <v/>
      </c>
      <c r="J326" s="200" t="str">
        <f>IFERROR(_xlfn.XLOOKUP($A326,Input_Raw!$A:$A,Input_Raw!$CZ:$CZ),"")</f>
        <v/>
      </c>
      <c r="K326" s="201" t="str">
        <f>IFERROR(_xlfn.XLOOKUP($A326,Input_Raw!$A:$A,Input_Raw!$DB:$DB),"")</f>
        <v/>
      </c>
      <c r="L326" s="201" t="str">
        <f>IFERROR(_xlfn.XLOOKUP($A326,Input_Raw!$A:$A,Input_Raw!$DC:$DC),"")</f>
        <v/>
      </c>
      <c r="M326" s="200" t="str">
        <f>IFERROR(_xlfn.XLOOKUP($A326,Input_Raw!$A:$A,Input_Raw!$DF:$DF),"")</f>
        <v/>
      </c>
      <c r="N326" s="200" t="str">
        <f>IFERROR(_xlfn.XLOOKUP($A326,Input_Raw!$A:$A,Input_Raw!$DG:$DG),"")</f>
        <v/>
      </c>
      <c r="O326" s="230" t="str">
        <f>IFERROR(1-(SUMIF(Plant_BD!$B:$B,$A326,Plant_BD!$AL:$AL)/($AA326+SUMIF(Plant_BD!$B:$B,$A326,Plant_BD!$AL:$AL))),"")</f>
        <v/>
      </c>
      <c r="P326" s="230"/>
      <c r="Q326" s="231" t="str">
        <f>IFERROR(1-(SUMIF(Grid_BD!$B:$B,$A326,Grid_BD!$V:$V)/($AA326+SUMIF(Grid_BD!$B:$B,$A326,Grid_BD!$V:$V))),"")</f>
        <v/>
      </c>
      <c r="R326" s="230" t="str">
        <f>IFERROR(1-(SUMIF(Grid_BD!$B:$B,$A326,Grid_BD!$V:$V)/($AA326+SUMIF(Grid_BD!$B:$B,$A326,Grid_BD!$V:$V))),"")</f>
        <v/>
      </c>
      <c r="S326" s="9"/>
      <c r="T326" s="231"/>
      <c r="U326" s="232" t="str">
        <f t="shared" si="26"/>
        <v/>
      </c>
      <c r="V326" s="232" t="str">
        <f>IFERROR(_xlfn.XLOOKUP($A326,Input_Raw!$A:$A,Input_Raw!$FG:$FG),"")</f>
        <v/>
      </c>
      <c r="W326" s="233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85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33">
        <f>IFERROR(_xlfn.XLOOKUP($D326,'Modelling New'!$D:$D,'Modelling New'!O:O),"")</f>
        <v>0.8316109218354748</v>
      </c>
      <c r="AF326" s="233">
        <f>IFERROR(_xlfn.XLOOKUP($D326,'Modelling New'!$D:$D,'Modelling New'!W:W),"")</f>
        <v>0.21866912185763154</v>
      </c>
      <c r="AG326" s="233">
        <f>IFERROR(_xlfn.XLOOKUP($D326,'Modelling New'!$D:$D,'Modelling New'!AE:AE),"")</f>
        <v>0.995</v>
      </c>
      <c r="AH326" s="233">
        <f>IFERROR(_xlfn.XLOOKUP($D326,'Modelling New'!$D:$D,'Modelling New'!AF:AF),"")</f>
        <v>0.995</v>
      </c>
      <c r="AI326" s="9"/>
      <c r="AJ326" s="9"/>
      <c r="AK326" s="256"/>
      <c r="AL326" s="256"/>
      <c r="AM326" s="256"/>
      <c r="AN326" s="230"/>
      <c r="AO326" s="233"/>
      <c r="AP326" s="233"/>
      <c r="AQ326" s="233"/>
      <c r="AR326" s="234">
        <f>_xlfn.XLOOKUP(D326,'Modelling New'!$D:$D,'Modelling New'!$N:$N)</f>
        <v>130</v>
      </c>
      <c r="AS326" s="234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29">
        <f>Table13[[#This Row],[Date]]-DAY(Table13[[#This Row],[Date]])+1</f>
        <v>46054</v>
      </c>
      <c r="E327" s="9">
        <f t="shared" si="25"/>
        <v>28</v>
      </c>
      <c r="F327" s="199" t="str">
        <f>IFERROR(_xlfn.XLOOKUP($A327,Input_Raw!$A:$A,Input_Raw!$FC:$FC),"")</f>
        <v/>
      </c>
      <c r="G327" s="185" t="str">
        <f>IFERROR(_xlfn.XLOOKUP($A327,Input_Raw!$A:$A,Input_Raw!$CY:$CY),"")</f>
        <v/>
      </c>
      <c r="H327" s="185" t="str">
        <f>IFERROR(_xlfn.XLOOKUP($A327,Input_Raw!$A:$A,Input_Raw!$DA:$DA),"")</f>
        <v/>
      </c>
      <c r="I327" s="185" t="str">
        <f>IFERROR(_xlfn.XLOOKUP($A327,Input_Raw!$A:$A,Input_Raw!$CX:$CX),"")</f>
        <v/>
      </c>
      <c r="J327" s="185" t="str">
        <f>IFERROR(_xlfn.XLOOKUP($A327,Input_Raw!$A:$A,Input_Raw!$CZ:$CZ),"")</f>
        <v/>
      </c>
      <c r="K327" s="201" t="str">
        <f>IFERROR(_xlfn.XLOOKUP($A327,Input_Raw!$A:$A,Input_Raw!$DB:$DB),"")</f>
        <v/>
      </c>
      <c r="L327" s="201" t="str">
        <f>IFERROR(_xlfn.XLOOKUP($A327,Input_Raw!$A:$A,Input_Raw!$DC:$DC),"")</f>
        <v/>
      </c>
      <c r="M327" s="200" t="str">
        <f>IFERROR(_xlfn.XLOOKUP($A327,Input_Raw!$A:$A,Input_Raw!$DF:$DF),"")</f>
        <v/>
      </c>
      <c r="N327" s="200" t="str">
        <f>IFERROR(_xlfn.XLOOKUP($A327,Input_Raw!$A:$A,Input_Raw!$DG:$DG),"")</f>
        <v/>
      </c>
      <c r="O327" s="230" t="str">
        <f>IFERROR(1-(SUMIF(Plant_BD!$B:$B,$A327,Plant_BD!$AL:$AL)/($AA327+SUMIF(Plant_BD!$B:$B,$A327,Plant_BD!$AL:$AL))),"")</f>
        <v/>
      </c>
      <c r="P327" s="230"/>
      <c r="Q327" s="231" t="str">
        <f>IFERROR(1-(SUMIF(Grid_BD!$B:$B,$A327,Grid_BD!$V:$V)/($AA327+SUMIF(Grid_BD!$B:$B,$A327,Grid_BD!$V:$V))),"")</f>
        <v/>
      </c>
      <c r="R327" s="230" t="str">
        <f>IFERROR(1-(SUMIF(Grid_BD!$B:$B,$A327,Grid_BD!$V:$V)/($AA327+SUMIF(Grid_BD!$B:$B,$A327,Grid_BD!$V:$V))),"")</f>
        <v/>
      </c>
      <c r="S327" s="9"/>
      <c r="T327" s="231"/>
      <c r="U327" s="232" t="str">
        <f t="shared" si="26"/>
        <v/>
      </c>
      <c r="V327" s="232" t="str">
        <f>IFERROR(_xlfn.XLOOKUP($A327,Input_Raw!$A:$A,Input_Raw!$FG:$FG),"")</f>
        <v/>
      </c>
      <c r="W327" s="233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85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33">
        <f>IFERROR(_xlfn.XLOOKUP($D327,'Modelling New'!$D:$D,'Modelling New'!O:O),"")</f>
        <v>0.8316109218354748</v>
      </c>
      <c r="AF327" s="233">
        <f>IFERROR(_xlfn.XLOOKUP($D327,'Modelling New'!$D:$D,'Modelling New'!W:W),"")</f>
        <v>0.21866912185763154</v>
      </c>
      <c r="AG327" s="233">
        <f>IFERROR(_xlfn.XLOOKUP($D327,'Modelling New'!$D:$D,'Modelling New'!AE:AE),"")</f>
        <v>0.995</v>
      </c>
      <c r="AH327" s="233">
        <f>IFERROR(_xlfn.XLOOKUP($D327,'Modelling New'!$D:$D,'Modelling New'!AF:AF),"")</f>
        <v>0.995</v>
      </c>
      <c r="AI327" s="9"/>
      <c r="AJ327" s="9"/>
      <c r="AK327" s="256"/>
      <c r="AL327" s="256"/>
      <c r="AM327" s="256"/>
      <c r="AN327" s="230"/>
      <c r="AO327" s="233"/>
      <c r="AP327" s="233"/>
      <c r="AQ327" s="233"/>
      <c r="AR327" s="234">
        <f>_xlfn.XLOOKUP(D327,'Modelling New'!$D:$D,'Modelling New'!$N:$N)</f>
        <v>130</v>
      </c>
      <c r="AS327" s="234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29">
        <f>Table13[[#This Row],[Date]]-DAY(Table13[[#This Row],[Date]])+1</f>
        <v>46054</v>
      </c>
      <c r="E328" s="9">
        <f t="shared" si="25"/>
        <v>28</v>
      </c>
      <c r="F328" s="199" t="str">
        <f>IFERROR(_xlfn.XLOOKUP($A328,Input_Raw!$A:$A,Input_Raw!$FC:$FC),"")</f>
        <v/>
      </c>
      <c r="G328" s="200" t="str">
        <f>IFERROR(_xlfn.XLOOKUP($A328,Input_Raw!$A:$A,Input_Raw!$CY:$CY),"")</f>
        <v/>
      </c>
      <c r="H328" s="200" t="str">
        <f>IFERROR(_xlfn.XLOOKUP($A328,Input_Raw!$A:$A,Input_Raw!$DA:$DA),"")</f>
        <v/>
      </c>
      <c r="I328" s="200" t="str">
        <f>IFERROR(_xlfn.XLOOKUP($A328,Input_Raw!$A:$A,Input_Raw!$CX:$CX),"")</f>
        <v/>
      </c>
      <c r="J328" s="200" t="str">
        <f>IFERROR(_xlfn.XLOOKUP($A328,Input_Raw!$A:$A,Input_Raw!$CZ:$CZ),"")</f>
        <v/>
      </c>
      <c r="K328" s="201" t="str">
        <f>IFERROR(_xlfn.XLOOKUP($A328,Input_Raw!$A:$A,Input_Raw!$DB:$DB),"")</f>
        <v/>
      </c>
      <c r="L328" s="201" t="str">
        <f>IFERROR(_xlfn.XLOOKUP($A328,Input_Raw!$A:$A,Input_Raw!$DC:$DC),"")</f>
        <v/>
      </c>
      <c r="M328" s="200" t="str">
        <f>IFERROR(_xlfn.XLOOKUP($A328,Input_Raw!$A:$A,Input_Raw!$DF:$DF),"")</f>
        <v/>
      </c>
      <c r="N328" s="200" t="str">
        <f>IFERROR(_xlfn.XLOOKUP($A328,Input_Raw!$A:$A,Input_Raw!$DG:$DG),"")</f>
        <v/>
      </c>
      <c r="O328" s="230" t="str">
        <f>IFERROR(1-(SUMIF(Plant_BD!$B:$B,$A328,Plant_BD!$AL:$AL)/($AA328+SUMIF(Plant_BD!$B:$B,$A328,Plant_BD!$AL:$AL))),"")</f>
        <v/>
      </c>
      <c r="P328" s="230"/>
      <c r="Q328" s="231" t="str">
        <f>IFERROR(1-(SUMIF(Grid_BD!$B:$B,$A328,Grid_BD!$V:$V)/($AA328+SUMIF(Grid_BD!$B:$B,$A328,Grid_BD!$V:$V))),"")</f>
        <v/>
      </c>
      <c r="R328" s="230" t="str">
        <f>IFERROR(1-(SUMIF(Grid_BD!$B:$B,$A328,Grid_BD!$V:$V)/($AA328+SUMIF(Grid_BD!$B:$B,$A328,Grid_BD!$V:$V))),"")</f>
        <v/>
      </c>
      <c r="S328" s="9"/>
      <c r="T328" s="231"/>
      <c r="U328" s="232" t="str">
        <f t="shared" si="26"/>
        <v/>
      </c>
      <c r="V328" s="232" t="str">
        <f>IFERROR(_xlfn.XLOOKUP($A328,Input_Raw!$A:$A,Input_Raw!$FG:$FG),"")</f>
        <v/>
      </c>
      <c r="W328" s="233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85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33">
        <f>IFERROR(_xlfn.XLOOKUP($D328,'Modelling New'!$D:$D,'Modelling New'!O:O),"")</f>
        <v>0.8316109218354748</v>
      </c>
      <c r="AF328" s="233">
        <f>IFERROR(_xlfn.XLOOKUP($D328,'Modelling New'!$D:$D,'Modelling New'!W:W),"")</f>
        <v>0.21866912185763154</v>
      </c>
      <c r="AG328" s="233">
        <f>IFERROR(_xlfn.XLOOKUP($D328,'Modelling New'!$D:$D,'Modelling New'!AE:AE),"")</f>
        <v>0.995</v>
      </c>
      <c r="AH328" s="233">
        <f>IFERROR(_xlfn.XLOOKUP($D328,'Modelling New'!$D:$D,'Modelling New'!AF:AF),"")</f>
        <v>0.995</v>
      </c>
      <c r="AI328" s="9"/>
      <c r="AJ328" s="9"/>
      <c r="AK328" s="256"/>
      <c r="AL328" s="256"/>
      <c r="AM328" s="256"/>
      <c r="AN328" s="230"/>
      <c r="AO328" s="233"/>
      <c r="AP328" s="233"/>
      <c r="AQ328" s="233"/>
      <c r="AR328" s="234">
        <f>_xlfn.XLOOKUP(D328,'Modelling New'!$D:$D,'Modelling New'!$N:$N)</f>
        <v>130</v>
      </c>
      <c r="AS328" s="234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29">
        <f>Table13[[#This Row],[Date]]-DAY(Table13[[#This Row],[Date]])+1</f>
        <v>46054</v>
      </c>
      <c r="E329" s="9">
        <f t="shared" si="25"/>
        <v>28</v>
      </c>
      <c r="F329" s="199" t="str">
        <f>IFERROR(_xlfn.XLOOKUP($A329,Input_Raw!$A:$A,Input_Raw!$FC:$FC),"")</f>
        <v/>
      </c>
      <c r="G329" s="185" t="str">
        <f>IFERROR(_xlfn.XLOOKUP($A329,Input_Raw!$A:$A,Input_Raw!$CY:$CY),"")</f>
        <v/>
      </c>
      <c r="H329" s="185" t="str">
        <f>IFERROR(_xlfn.XLOOKUP($A329,Input_Raw!$A:$A,Input_Raw!$DA:$DA),"")</f>
        <v/>
      </c>
      <c r="I329" s="185" t="str">
        <f>IFERROR(_xlfn.XLOOKUP($A329,Input_Raw!$A:$A,Input_Raw!$CX:$CX),"")</f>
        <v/>
      </c>
      <c r="J329" s="185" t="str">
        <f>IFERROR(_xlfn.XLOOKUP($A329,Input_Raw!$A:$A,Input_Raw!$CZ:$CZ),"")</f>
        <v/>
      </c>
      <c r="K329" s="201" t="str">
        <f>IFERROR(_xlfn.XLOOKUP($A329,Input_Raw!$A:$A,Input_Raw!$DB:$DB),"")</f>
        <v/>
      </c>
      <c r="L329" s="201" t="str">
        <f>IFERROR(_xlfn.XLOOKUP($A329,Input_Raw!$A:$A,Input_Raw!$DC:$DC),"")</f>
        <v/>
      </c>
      <c r="M329" s="200" t="str">
        <f>IFERROR(_xlfn.XLOOKUP($A329,Input_Raw!$A:$A,Input_Raw!$DF:$DF),"")</f>
        <v/>
      </c>
      <c r="N329" s="200" t="str">
        <f>IFERROR(_xlfn.XLOOKUP($A329,Input_Raw!$A:$A,Input_Raw!$DG:$DG),"")</f>
        <v/>
      </c>
      <c r="O329" s="230" t="str">
        <f>IFERROR(1-(SUMIF(Plant_BD!$B:$B,$A329,Plant_BD!$AL:$AL)/($AA329+SUMIF(Plant_BD!$B:$B,$A329,Plant_BD!$AL:$AL))),"")</f>
        <v/>
      </c>
      <c r="P329" s="230"/>
      <c r="Q329" s="231" t="str">
        <f>IFERROR(1-(SUMIF(Grid_BD!$B:$B,$A329,Grid_BD!$V:$V)/($AA329+SUMIF(Grid_BD!$B:$B,$A329,Grid_BD!$V:$V))),"")</f>
        <v/>
      </c>
      <c r="R329" s="230" t="str">
        <f>IFERROR(1-(SUMIF(Grid_BD!$B:$B,$A329,Grid_BD!$V:$V)/($AA329+SUMIF(Grid_BD!$B:$B,$A329,Grid_BD!$V:$V))),"")</f>
        <v/>
      </c>
      <c r="S329" s="9"/>
      <c r="T329" s="231"/>
      <c r="U329" s="232" t="str">
        <f t="shared" si="26"/>
        <v/>
      </c>
      <c r="V329" s="232" t="str">
        <f>IFERROR(_xlfn.XLOOKUP($A329,Input_Raw!$A:$A,Input_Raw!$FG:$FG),"")</f>
        <v/>
      </c>
      <c r="W329" s="233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85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33">
        <f>IFERROR(_xlfn.XLOOKUP($D329,'Modelling New'!$D:$D,'Modelling New'!O:O),"")</f>
        <v>0.8316109218354748</v>
      </c>
      <c r="AF329" s="233">
        <f>IFERROR(_xlfn.XLOOKUP($D329,'Modelling New'!$D:$D,'Modelling New'!W:W),"")</f>
        <v>0.21866912185763154</v>
      </c>
      <c r="AG329" s="233">
        <f>IFERROR(_xlfn.XLOOKUP($D329,'Modelling New'!$D:$D,'Modelling New'!AE:AE),"")</f>
        <v>0.995</v>
      </c>
      <c r="AH329" s="233">
        <f>IFERROR(_xlfn.XLOOKUP($D329,'Modelling New'!$D:$D,'Modelling New'!AF:AF),"")</f>
        <v>0.995</v>
      </c>
      <c r="AI329" s="9"/>
      <c r="AJ329" s="9"/>
      <c r="AK329" s="256"/>
      <c r="AL329" s="256"/>
      <c r="AM329" s="256"/>
      <c r="AN329" s="230"/>
      <c r="AO329" s="233"/>
      <c r="AP329" s="233"/>
      <c r="AQ329" s="233"/>
      <c r="AR329" s="234">
        <f>_xlfn.XLOOKUP(D329,'Modelling New'!$D:$D,'Modelling New'!$N:$N)</f>
        <v>130</v>
      </c>
      <c r="AS329" s="234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29">
        <f>Table13[[#This Row],[Date]]-DAY(Table13[[#This Row],[Date]])+1</f>
        <v>46054</v>
      </c>
      <c r="E330" s="9">
        <f t="shared" si="25"/>
        <v>28</v>
      </c>
      <c r="F330" s="199" t="str">
        <f>IFERROR(_xlfn.XLOOKUP($A330,Input_Raw!$A:$A,Input_Raw!$FC:$FC),"")</f>
        <v/>
      </c>
      <c r="G330" s="200" t="str">
        <f>IFERROR(_xlfn.XLOOKUP($A330,Input_Raw!$A:$A,Input_Raw!$CY:$CY),"")</f>
        <v/>
      </c>
      <c r="H330" s="200" t="str">
        <f>IFERROR(_xlfn.XLOOKUP($A330,Input_Raw!$A:$A,Input_Raw!$DA:$DA),"")</f>
        <v/>
      </c>
      <c r="I330" s="200" t="str">
        <f>IFERROR(_xlfn.XLOOKUP($A330,Input_Raw!$A:$A,Input_Raw!$CX:$CX),"")</f>
        <v/>
      </c>
      <c r="J330" s="200" t="str">
        <f>IFERROR(_xlfn.XLOOKUP($A330,Input_Raw!$A:$A,Input_Raw!$CZ:$CZ),"")</f>
        <v/>
      </c>
      <c r="K330" s="201" t="str">
        <f>IFERROR(_xlfn.XLOOKUP($A330,Input_Raw!$A:$A,Input_Raw!$DB:$DB),"")</f>
        <v/>
      </c>
      <c r="L330" s="201" t="str">
        <f>IFERROR(_xlfn.XLOOKUP($A330,Input_Raw!$A:$A,Input_Raw!$DC:$DC),"")</f>
        <v/>
      </c>
      <c r="M330" s="200" t="str">
        <f>IFERROR(_xlfn.XLOOKUP($A330,Input_Raw!$A:$A,Input_Raw!$DF:$DF),"")</f>
        <v/>
      </c>
      <c r="N330" s="200" t="str">
        <f>IFERROR(_xlfn.XLOOKUP($A330,Input_Raw!$A:$A,Input_Raw!$DG:$DG),"")</f>
        <v/>
      </c>
      <c r="O330" s="230" t="str">
        <f>IFERROR(1-(SUMIF(Plant_BD!$B:$B,$A330,Plant_BD!$AL:$AL)/($AA330+SUMIF(Plant_BD!$B:$B,$A330,Plant_BD!$AL:$AL))),"")</f>
        <v/>
      </c>
      <c r="P330" s="230"/>
      <c r="Q330" s="231" t="str">
        <f>IFERROR(1-(SUMIF(Grid_BD!$B:$B,$A330,Grid_BD!$V:$V)/($AA330+SUMIF(Grid_BD!$B:$B,$A330,Grid_BD!$V:$V))),"")</f>
        <v/>
      </c>
      <c r="R330" s="230" t="str">
        <f>IFERROR(1-(SUMIF(Grid_BD!$B:$B,$A330,Grid_BD!$V:$V)/($AA330+SUMIF(Grid_BD!$B:$B,$A330,Grid_BD!$V:$V))),"")</f>
        <v/>
      </c>
      <c r="S330" s="9"/>
      <c r="T330" s="231"/>
      <c r="U330" s="232" t="str">
        <f t="shared" si="26"/>
        <v/>
      </c>
      <c r="V330" s="232" t="str">
        <f>IFERROR(_xlfn.XLOOKUP($A330,Input_Raw!$A:$A,Input_Raw!$FG:$FG),"")</f>
        <v/>
      </c>
      <c r="W330" s="233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85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33">
        <f>IFERROR(_xlfn.XLOOKUP($D330,'Modelling New'!$D:$D,'Modelling New'!O:O),"")</f>
        <v>0.8316109218354748</v>
      </c>
      <c r="AF330" s="233">
        <f>IFERROR(_xlfn.XLOOKUP($D330,'Modelling New'!$D:$D,'Modelling New'!W:W),"")</f>
        <v>0.21866912185763154</v>
      </c>
      <c r="AG330" s="233">
        <f>IFERROR(_xlfn.XLOOKUP($D330,'Modelling New'!$D:$D,'Modelling New'!AE:AE),"")</f>
        <v>0.995</v>
      </c>
      <c r="AH330" s="233">
        <f>IFERROR(_xlfn.XLOOKUP($D330,'Modelling New'!$D:$D,'Modelling New'!AF:AF),"")</f>
        <v>0.995</v>
      </c>
      <c r="AI330" s="9"/>
      <c r="AJ330" s="9"/>
      <c r="AK330" s="256"/>
      <c r="AL330" s="256"/>
      <c r="AM330" s="256"/>
      <c r="AN330" s="230"/>
      <c r="AO330" s="233"/>
      <c r="AP330" s="233"/>
      <c r="AQ330" s="233"/>
      <c r="AR330" s="234">
        <f>_xlfn.XLOOKUP(D330,'Modelling New'!$D:$D,'Modelling New'!$N:$N)</f>
        <v>130</v>
      </c>
      <c r="AS330" s="234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29">
        <f>Table13[[#This Row],[Date]]-DAY(Table13[[#This Row],[Date]])+1</f>
        <v>46054</v>
      </c>
      <c r="E331" s="9">
        <f t="shared" si="25"/>
        <v>28</v>
      </c>
      <c r="F331" s="199" t="str">
        <f>IFERROR(_xlfn.XLOOKUP($A331,Input_Raw!$A:$A,Input_Raw!$FC:$FC),"")</f>
        <v/>
      </c>
      <c r="G331" s="185" t="str">
        <f>IFERROR(_xlfn.XLOOKUP($A331,Input_Raw!$A:$A,Input_Raw!$CY:$CY),"")</f>
        <v/>
      </c>
      <c r="H331" s="185" t="str">
        <f>IFERROR(_xlfn.XLOOKUP($A331,Input_Raw!$A:$A,Input_Raw!$DA:$DA),"")</f>
        <v/>
      </c>
      <c r="I331" s="185" t="str">
        <f>IFERROR(_xlfn.XLOOKUP($A331,Input_Raw!$A:$A,Input_Raw!$CX:$CX),"")</f>
        <v/>
      </c>
      <c r="J331" s="185" t="str">
        <f>IFERROR(_xlfn.XLOOKUP($A331,Input_Raw!$A:$A,Input_Raw!$CZ:$CZ),"")</f>
        <v/>
      </c>
      <c r="K331" s="201" t="str">
        <f>IFERROR(_xlfn.XLOOKUP($A331,Input_Raw!$A:$A,Input_Raw!$DB:$DB),"")</f>
        <v/>
      </c>
      <c r="L331" s="201" t="str">
        <f>IFERROR(_xlfn.XLOOKUP($A331,Input_Raw!$A:$A,Input_Raw!$DC:$DC),"")</f>
        <v/>
      </c>
      <c r="M331" s="200" t="str">
        <f>IFERROR(_xlfn.XLOOKUP($A331,Input_Raw!$A:$A,Input_Raw!$DF:$DF),"")</f>
        <v/>
      </c>
      <c r="N331" s="200" t="str">
        <f>IFERROR(_xlfn.XLOOKUP($A331,Input_Raw!$A:$A,Input_Raw!$DG:$DG),"")</f>
        <v/>
      </c>
      <c r="O331" s="230" t="str">
        <f>IFERROR(1-(SUMIF(Plant_BD!$B:$B,$A331,Plant_BD!$AL:$AL)/($AA331+SUMIF(Plant_BD!$B:$B,$A331,Plant_BD!$AL:$AL))),"")</f>
        <v/>
      </c>
      <c r="P331" s="230"/>
      <c r="Q331" s="231" t="str">
        <f>IFERROR(1-(SUMIF(Grid_BD!$B:$B,$A331,Grid_BD!$V:$V)/($AA331+SUMIF(Grid_BD!$B:$B,$A331,Grid_BD!$V:$V))),"")</f>
        <v/>
      </c>
      <c r="R331" s="230" t="str">
        <f>IFERROR(1-(SUMIF(Grid_BD!$B:$B,$A331,Grid_BD!$V:$V)/($AA331+SUMIF(Grid_BD!$B:$B,$A331,Grid_BD!$V:$V))),"")</f>
        <v/>
      </c>
      <c r="S331" s="9"/>
      <c r="T331" s="231"/>
      <c r="U331" s="232" t="str">
        <f t="shared" si="26"/>
        <v/>
      </c>
      <c r="V331" s="232" t="str">
        <f>IFERROR(_xlfn.XLOOKUP($A331,Input_Raw!$A:$A,Input_Raw!$FG:$FG),"")</f>
        <v/>
      </c>
      <c r="W331" s="233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85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33">
        <f>IFERROR(_xlfn.XLOOKUP($D331,'Modelling New'!$D:$D,'Modelling New'!O:O),"")</f>
        <v>0.8316109218354748</v>
      </c>
      <c r="AF331" s="233">
        <f>IFERROR(_xlfn.XLOOKUP($D331,'Modelling New'!$D:$D,'Modelling New'!W:W),"")</f>
        <v>0.21866912185763154</v>
      </c>
      <c r="AG331" s="233">
        <f>IFERROR(_xlfn.XLOOKUP($D331,'Modelling New'!$D:$D,'Modelling New'!AE:AE),"")</f>
        <v>0.995</v>
      </c>
      <c r="AH331" s="233">
        <f>IFERROR(_xlfn.XLOOKUP($D331,'Modelling New'!$D:$D,'Modelling New'!AF:AF),"")</f>
        <v>0.995</v>
      </c>
      <c r="AI331" s="9"/>
      <c r="AJ331" s="9"/>
      <c r="AK331" s="256"/>
      <c r="AL331" s="256"/>
      <c r="AM331" s="256"/>
      <c r="AN331" s="230"/>
      <c r="AO331" s="233"/>
      <c r="AP331" s="233"/>
      <c r="AQ331" s="233"/>
      <c r="AR331" s="234">
        <f>_xlfn.XLOOKUP(D331,'Modelling New'!$D:$D,'Modelling New'!$N:$N)</f>
        <v>130</v>
      </c>
      <c r="AS331" s="234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29">
        <f>Table13[[#This Row],[Date]]-DAY(Table13[[#This Row],[Date]])+1</f>
        <v>46054</v>
      </c>
      <c r="E332" s="9">
        <f t="shared" si="25"/>
        <v>28</v>
      </c>
      <c r="F332" s="199" t="str">
        <f>IFERROR(_xlfn.XLOOKUP($A332,Input_Raw!$A:$A,Input_Raw!$FC:$FC),"")</f>
        <v/>
      </c>
      <c r="G332" s="200" t="str">
        <f>IFERROR(_xlfn.XLOOKUP($A332,Input_Raw!$A:$A,Input_Raw!$CY:$CY),"")</f>
        <v/>
      </c>
      <c r="H332" s="200" t="str">
        <f>IFERROR(_xlfn.XLOOKUP($A332,Input_Raw!$A:$A,Input_Raw!$DA:$DA),"")</f>
        <v/>
      </c>
      <c r="I332" s="200" t="str">
        <f>IFERROR(_xlfn.XLOOKUP($A332,Input_Raw!$A:$A,Input_Raw!$CX:$CX),"")</f>
        <v/>
      </c>
      <c r="J332" s="200" t="str">
        <f>IFERROR(_xlfn.XLOOKUP($A332,Input_Raw!$A:$A,Input_Raw!$CZ:$CZ),"")</f>
        <v/>
      </c>
      <c r="K332" s="201" t="str">
        <f>IFERROR(_xlfn.XLOOKUP($A332,Input_Raw!$A:$A,Input_Raw!$DB:$DB),"")</f>
        <v/>
      </c>
      <c r="L332" s="201" t="str">
        <f>IFERROR(_xlfn.XLOOKUP($A332,Input_Raw!$A:$A,Input_Raw!$DC:$DC),"")</f>
        <v/>
      </c>
      <c r="M332" s="200" t="str">
        <f>IFERROR(_xlfn.XLOOKUP($A332,Input_Raw!$A:$A,Input_Raw!$DF:$DF),"")</f>
        <v/>
      </c>
      <c r="N332" s="200" t="str">
        <f>IFERROR(_xlfn.XLOOKUP($A332,Input_Raw!$A:$A,Input_Raw!$DG:$DG),"")</f>
        <v/>
      </c>
      <c r="O332" s="230" t="str">
        <f>IFERROR(1-(SUMIF(Plant_BD!$B:$B,$A332,Plant_BD!$AL:$AL)/($AA332+SUMIF(Plant_BD!$B:$B,$A332,Plant_BD!$AL:$AL))),"")</f>
        <v/>
      </c>
      <c r="P332" s="230"/>
      <c r="Q332" s="231" t="str">
        <f>IFERROR(1-(SUMIF(Grid_BD!$B:$B,$A332,Grid_BD!$V:$V)/($AA332+SUMIF(Grid_BD!$B:$B,$A332,Grid_BD!$V:$V))),"")</f>
        <v/>
      </c>
      <c r="R332" s="230" t="str">
        <f>IFERROR(1-(SUMIF(Grid_BD!$B:$B,$A332,Grid_BD!$V:$V)/($AA332+SUMIF(Grid_BD!$B:$B,$A332,Grid_BD!$V:$V))),"")</f>
        <v/>
      </c>
      <c r="S332" s="9"/>
      <c r="T332" s="231"/>
      <c r="U332" s="232" t="str">
        <f t="shared" si="26"/>
        <v/>
      </c>
      <c r="V332" s="232" t="str">
        <f>IFERROR(_xlfn.XLOOKUP($A332,Input_Raw!$A:$A,Input_Raw!$FG:$FG),"")</f>
        <v/>
      </c>
      <c r="W332" s="233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85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33">
        <f>IFERROR(_xlfn.XLOOKUP($D332,'Modelling New'!$D:$D,'Modelling New'!O:O),"")</f>
        <v>0.8316109218354748</v>
      </c>
      <c r="AF332" s="233">
        <f>IFERROR(_xlfn.XLOOKUP($D332,'Modelling New'!$D:$D,'Modelling New'!W:W),"")</f>
        <v>0.21866912185763154</v>
      </c>
      <c r="AG332" s="233">
        <f>IFERROR(_xlfn.XLOOKUP($D332,'Modelling New'!$D:$D,'Modelling New'!AE:AE),"")</f>
        <v>0.995</v>
      </c>
      <c r="AH332" s="233">
        <f>IFERROR(_xlfn.XLOOKUP($D332,'Modelling New'!$D:$D,'Modelling New'!AF:AF),"")</f>
        <v>0.995</v>
      </c>
      <c r="AI332" s="9"/>
      <c r="AJ332" s="9"/>
      <c r="AK332" s="256"/>
      <c r="AL332" s="256"/>
      <c r="AM332" s="256"/>
      <c r="AN332" s="230"/>
      <c r="AO332" s="233"/>
      <c r="AP332" s="233"/>
      <c r="AQ332" s="233"/>
      <c r="AR332" s="234">
        <f>_xlfn.XLOOKUP(D332,'Modelling New'!$D:$D,'Modelling New'!$N:$N)</f>
        <v>130</v>
      </c>
      <c r="AS332" s="234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29">
        <f>Table13[[#This Row],[Date]]-DAY(Table13[[#This Row],[Date]])+1</f>
        <v>46054</v>
      </c>
      <c r="E333" s="9">
        <f t="shared" si="25"/>
        <v>28</v>
      </c>
      <c r="F333" s="199" t="str">
        <f>IFERROR(_xlfn.XLOOKUP($A333,Input_Raw!$A:$A,Input_Raw!$FC:$FC),"")</f>
        <v/>
      </c>
      <c r="G333" s="185" t="str">
        <f>IFERROR(_xlfn.XLOOKUP($A333,Input_Raw!$A:$A,Input_Raw!$CY:$CY),"")</f>
        <v/>
      </c>
      <c r="H333" s="185" t="str">
        <f>IFERROR(_xlfn.XLOOKUP($A333,Input_Raw!$A:$A,Input_Raw!$DA:$DA),"")</f>
        <v/>
      </c>
      <c r="I333" s="185" t="str">
        <f>IFERROR(_xlfn.XLOOKUP($A333,Input_Raw!$A:$A,Input_Raw!$CX:$CX),"")</f>
        <v/>
      </c>
      <c r="J333" s="185" t="str">
        <f>IFERROR(_xlfn.XLOOKUP($A333,Input_Raw!$A:$A,Input_Raw!$CZ:$CZ),"")</f>
        <v/>
      </c>
      <c r="K333" s="201" t="str">
        <f>IFERROR(_xlfn.XLOOKUP($A333,Input_Raw!$A:$A,Input_Raw!$DB:$DB),"")</f>
        <v/>
      </c>
      <c r="L333" s="201" t="str">
        <f>IFERROR(_xlfn.XLOOKUP($A333,Input_Raw!$A:$A,Input_Raw!$DC:$DC),"")</f>
        <v/>
      </c>
      <c r="M333" s="200" t="str">
        <f>IFERROR(_xlfn.XLOOKUP($A333,Input_Raw!$A:$A,Input_Raw!$DF:$DF),"")</f>
        <v/>
      </c>
      <c r="N333" s="200" t="str">
        <f>IFERROR(_xlfn.XLOOKUP($A333,Input_Raw!$A:$A,Input_Raw!$DG:$DG),"")</f>
        <v/>
      </c>
      <c r="O333" s="230" t="str">
        <f>IFERROR(1-(SUMIF(Plant_BD!$B:$B,$A333,Plant_BD!$AL:$AL)/($AA333+SUMIF(Plant_BD!$B:$B,$A333,Plant_BD!$AL:$AL))),"")</f>
        <v/>
      </c>
      <c r="P333" s="230"/>
      <c r="Q333" s="231" t="str">
        <f>IFERROR(1-(SUMIF(Grid_BD!$B:$B,$A333,Grid_BD!$V:$V)/($AA333+SUMIF(Grid_BD!$B:$B,$A333,Grid_BD!$V:$V))),"")</f>
        <v/>
      </c>
      <c r="R333" s="230" t="str">
        <f>IFERROR(1-(SUMIF(Grid_BD!$B:$B,$A333,Grid_BD!$V:$V)/($AA333+SUMIF(Grid_BD!$B:$B,$A333,Grid_BD!$V:$V))),"")</f>
        <v/>
      </c>
      <c r="S333" s="9"/>
      <c r="T333" s="231"/>
      <c r="U333" s="232" t="str">
        <f t="shared" si="26"/>
        <v/>
      </c>
      <c r="V333" s="232" t="str">
        <f>IFERROR(_xlfn.XLOOKUP($A333,Input_Raw!$A:$A,Input_Raw!$FG:$FG),"")</f>
        <v/>
      </c>
      <c r="W333" s="233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85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33">
        <f>IFERROR(_xlfn.XLOOKUP($D333,'Modelling New'!$D:$D,'Modelling New'!O:O),"")</f>
        <v>0.8316109218354748</v>
      </c>
      <c r="AF333" s="233">
        <f>IFERROR(_xlfn.XLOOKUP($D333,'Modelling New'!$D:$D,'Modelling New'!W:W),"")</f>
        <v>0.21866912185763154</v>
      </c>
      <c r="AG333" s="233">
        <f>IFERROR(_xlfn.XLOOKUP($D333,'Modelling New'!$D:$D,'Modelling New'!AE:AE),"")</f>
        <v>0.995</v>
      </c>
      <c r="AH333" s="233">
        <f>IFERROR(_xlfn.XLOOKUP($D333,'Modelling New'!$D:$D,'Modelling New'!AF:AF),"")</f>
        <v>0.995</v>
      </c>
      <c r="AI333" s="9"/>
      <c r="AJ333" s="9"/>
      <c r="AK333" s="256"/>
      <c r="AL333" s="256"/>
      <c r="AM333" s="256"/>
      <c r="AN333" s="230"/>
      <c r="AO333" s="233"/>
      <c r="AP333" s="233"/>
      <c r="AQ333" s="233"/>
      <c r="AR333" s="234">
        <f>_xlfn.XLOOKUP(D333,'Modelling New'!$D:$D,'Modelling New'!$N:$N)</f>
        <v>130</v>
      </c>
      <c r="AS333" s="234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29">
        <f>Table13[[#This Row],[Date]]-DAY(Table13[[#This Row],[Date]])+1</f>
        <v>46054</v>
      </c>
      <c r="E334" s="9">
        <f t="shared" si="25"/>
        <v>28</v>
      </c>
      <c r="F334" s="199" t="str">
        <f>IFERROR(_xlfn.XLOOKUP($A334,Input_Raw!$A:$A,Input_Raw!$FC:$FC),"")</f>
        <v/>
      </c>
      <c r="G334" s="200" t="str">
        <f>IFERROR(_xlfn.XLOOKUP($A334,Input_Raw!$A:$A,Input_Raw!$CY:$CY),"")</f>
        <v/>
      </c>
      <c r="H334" s="200" t="str">
        <f>IFERROR(_xlfn.XLOOKUP($A334,Input_Raw!$A:$A,Input_Raw!$DA:$DA),"")</f>
        <v/>
      </c>
      <c r="I334" s="200" t="str">
        <f>IFERROR(_xlfn.XLOOKUP($A334,Input_Raw!$A:$A,Input_Raw!$CX:$CX),"")</f>
        <v/>
      </c>
      <c r="J334" s="200" t="str">
        <f>IFERROR(_xlfn.XLOOKUP($A334,Input_Raw!$A:$A,Input_Raw!$CZ:$CZ),"")</f>
        <v/>
      </c>
      <c r="K334" s="201" t="str">
        <f>IFERROR(_xlfn.XLOOKUP($A334,Input_Raw!$A:$A,Input_Raw!$DB:$DB),"")</f>
        <v/>
      </c>
      <c r="L334" s="201" t="str">
        <f>IFERROR(_xlfn.XLOOKUP($A334,Input_Raw!$A:$A,Input_Raw!$DC:$DC),"")</f>
        <v/>
      </c>
      <c r="M334" s="200" t="str">
        <f>IFERROR(_xlfn.XLOOKUP($A334,Input_Raw!$A:$A,Input_Raw!$DF:$DF),"")</f>
        <v/>
      </c>
      <c r="N334" s="200" t="str">
        <f>IFERROR(_xlfn.XLOOKUP($A334,Input_Raw!$A:$A,Input_Raw!$DG:$DG),"")</f>
        <v/>
      </c>
      <c r="O334" s="230" t="str">
        <f>IFERROR(1-(SUMIF(Plant_BD!$B:$B,$A334,Plant_BD!$AL:$AL)/($AA334+SUMIF(Plant_BD!$B:$B,$A334,Plant_BD!$AL:$AL))),"")</f>
        <v/>
      </c>
      <c r="P334" s="230"/>
      <c r="Q334" s="231" t="str">
        <f>IFERROR(1-(SUMIF(Grid_BD!$B:$B,$A334,Grid_BD!$V:$V)/($AA334+SUMIF(Grid_BD!$B:$B,$A334,Grid_BD!$V:$V))),"")</f>
        <v/>
      </c>
      <c r="R334" s="230" t="str">
        <f>IFERROR(1-(SUMIF(Grid_BD!$B:$B,$A334,Grid_BD!$V:$V)/($AA334+SUMIF(Grid_BD!$B:$B,$A334,Grid_BD!$V:$V))),"")</f>
        <v/>
      </c>
      <c r="S334" s="9"/>
      <c r="T334" s="231"/>
      <c r="U334" s="232" t="str">
        <f t="shared" si="26"/>
        <v/>
      </c>
      <c r="V334" s="232" t="str">
        <f>IFERROR(_xlfn.XLOOKUP($A334,Input_Raw!$A:$A,Input_Raw!$FG:$FG),"")</f>
        <v/>
      </c>
      <c r="W334" s="233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85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33">
        <f>IFERROR(_xlfn.XLOOKUP($D334,'Modelling New'!$D:$D,'Modelling New'!O:O),"")</f>
        <v>0.8316109218354748</v>
      </c>
      <c r="AF334" s="233">
        <f>IFERROR(_xlfn.XLOOKUP($D334,'Modelling New'!$D:$D,'Modelling New'!W:W),"")</f>
        <v>0.21866912185763154</v>
      </c>
      <c r="AG334" s="233">
        <f>IFERROR(_xlfn.XLOOKUP($D334,'Modelling New'!$D:$D,'Modelling New'!AE:AE),"")</f>
        <v>0.995</v>
      </c>
      <c r="AH334" s="233">
        <f>IFERROR(_xlfn.XLOOKUP($D334,'Modelling New'!$D:$D,'Modelling New'!AF:AF),"")</f>
        <v>0.995</v>
      </c>
      <c r="AI334" s="9"/>
      <c r="AJ334" s="9"/>
      <c r="AK334" s="256"/>
      <c r="AL334" s="256"/>
      <c r="AM334" s="256"/>
      <c r="AN334" s="230"/>
      <c r="AO334" s="233"/>
      <c r="AP334" s="233"/>
      <c r="AQ334" s="233"/>
      <c r="AR334" s="234">
        <f>_xlfn.XLOOKUP(D334,'Modelling New'!$D:$D,'Modelling New'!$N:$N)</f>
        <v>130</v>
      </c>
      <c r="AS334" s="234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29">
        <f>Table13[[#This Row],[Date]]-DAY(Table13[[#This Row],[Date]])+1</f>
        <v>46054</v>
      </c>
      <c r="E335" s="9">
        <f t="shared" si="25"/>
        <v>28</v>
      </c>
      <c r="F335" s="199" t="str">
        <f>IFERROR(_xlfn.XLOOKUP($A335,Input_Raw!$A:$A,Input_Raw!$FC:$FC),"")</f>
        <v/>
      </c>
      <c r="G335" s="185" t="str">
        <f>IFERROR(_xlfn.XLOOKUP($A335,Input_Raw!$A:$A,Input_Raw!$CY:$CY),"")</f>
        <v/>
      </c>
      <c r="H335" s="185" t="str">
        <f>IFERROR(_xlfn.XLOOKUP($A335,Input_Raw!$A:$A,Input_Raw!$DA:$DA),"")</f>
        <v/>
      </c>
      <c r="I335" s="185" t="str">
        <f>IFERROR(_xlfn.XLOOKUP($A335,Input_Raw!$A:$A,Input_Raw!$CX:$CX),"")</f>
        <v/>
      </c>
      <c r="J335" s="185" t="str">
        <f>IFERROR(_xlfn.XLOOKUP($A335,Input_Raw!$A:$A,Input_Raw!$CZ:$CZ),"")</f>
        <v/>
      </c>
      <c r="K335" s="201" t="str">
        <f>IFERROR(_xlfn.XLOOKUP($A335,Input_Raw!$A:$A,Input_Raw!$DB:$DB),"")</f>
        <v/>
      </c>
      <c r="L335" s="201" t="str">
        <f>IFERROR(_xlfn.XLOOKUP($A335,Input_Raw!$A:$A,Input_Raw!$DC:$DC),"")</f>
        <v/>
      </c>
      <c r="M335" s="200" t="str">
        <f>IFERROR(_xlfn.XLOOKUP($A335,Input_Raw!$A:$A,Input_Raw!$DF:$DF),"")</f>
        <v/>
      </c>
      <c r="N335" s="200" t="str">
        <f>IFERROR(_xlfn.XLOOKUP($A335,Input_Raw!$A:$A,Input_Raw!$DG:$DG),"")</f>
        <v/>
      </c>
      <c r="O335" s="230" t="str">
        <f>IFERROR(1-(SUMIF(Plant_BD!$B:$B,$A335,Plant_BD!$AL:$AL)/($AA335+SUMIF(Plant_BD!$B:$B,$A335,Plant_BD!$AL:$AL))),"")</f>
        <v/>
      </c>
      <c r="P335" s="230"/>
      <c r="Q335" s="231" t="str">
        <f>IFERROR(1-(SUMIF(Grid_BD!$B:$B,$A335,Grid_BD!$V:$V)/($AA335+SUMIF(Grid_BD!$B:$B,$A335,Grid_BD!$V:$V))),"")</f>
        <v/>
      </c>
      <c r="R335" s="230" t="str">
        <f>IFERROR(1-(SUMIF(Grid_BD!$B:$B,$A335,Grid_BD!$V:$V)/($AA335+SUMIF(Grid_BD!$B:$B,$A335,Grid_BD!$V:$V))),"")</f>
        <v/>
      </c>
      <c r="S335" s="9"/>
      <c r="T335" s="231"/>
      <c r="U335" s="232" t="str">
        <f t="shared" si="26"/>
        <v/>
      </c>
      <c r="V335" s="232" t="str">
        <f>IFERROR(_xlfn.XLOOKUP($A335,Input_Raw!$A:$A,Input_Raw!$FG:$FG),"")</f>
        <v/>
      </c>
      <c r="W335" s="233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85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33">
        <f>IFERROR(_xlfn.XLOOKUP($D335,'Modelling New'!$D:$D,'Modelling New'!O:O),"")</f>
        <v>0.8316109218354748</v>
      </c>
      <c r="AF335" s="233">
        <f>IFERROR(_xlfn.XLOOKUP($D335,'Modelling New'!$D:$D,'Modelling New'!W:W),"")</f>
        <v>0.21866912185763154</v>
      </c>
      <c r="AG335" s="233">
        <f>IFERROR(_xlfn.XLOOKUP($D335,'Modelling New'!$D:$D,'Modelling New'!AE:AE),"")</f>
        <v>0.995</v>
      </c>
      <c r="AH335" s="233">
        <f>IFERROR(_xlfn.XLOOKUP($D335,'Modelling New'!$D:$D,'Modelling New'!AF:AF),"")</f>
        <v>0.995</v>
      </c>
      <c r="AI335" s="9"/>
      <c r="AJ335" s="9"/>
      <c r="AK335" s="256"/>
      <c r="AL335" s="256"/>
      <c r="AM335" s="256"/>
      <c r="AN335" s="230"/>
      <c r="AO335" s="233"/>
      <c r="AP335" s="233"/>
      <c r="AQ335" s="233"/>
      <c r="AR335" s="234">
        <f>_xlfn.XLOOKUP(D335,'Modelling New'!$D:$D,'Modelling New'!$N:$N)</f>
        <v>130</v>
      </c>
      <c r="AS335" s="234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29">
        <f>Table13[[#This Row],[Date]]-DAY(Table13[[#This Row],[Date]])+1</f>
        <v>46054</v>
      </c>
      <c r="E336" s="9">
        <f t="shared" si="25"/>
        <v>28</v>
      </c>
      <c r="F336" s="199" t="str">
        <f>IFERROR(_xlfn.XLOOKUP($A336,Input_Raw!$A:$A,Input_Raw!$FC:$FC),"")</f>
        <v/>
      </c>
      <c r="G336" s="200" t="str">
        <f>IFERROR(_xlfn.XLOOKUP($A336,Input_Raw!$A:$A,Input_Raw!$CY:$CY),"")</f>
        <v/>
      </c>
      <c r="H336" s="200" t="str">
        <f>IFERROR(_xlfn.XLOOKUP($A336,Input_Raw!$A:$A,Input_Raw!$DA:$DA),"")</f>
        <v/>
      </c>
      <c r="I336" s="200" t="str">
        <f>IFERROR(_xlfn.XLOOKUP($A336,Input_Raw!$A:$A,Input_Raw!$CX:$CX),"")</f>
        <v/>
      </c>
      <c r="J336" s="200" t="str">
        <f>IFERROR(_xlfn.XLOOKUP($A336,Input_Raw!$A:$A,Input_Raw!$CZ:$CZ),"")</f>
        <v/>
      </c>
      <c r="K336" s="201" t="str">
        <f>IFERROR(_xlfn.XLOOKUP($A336,Input_Raw!$A:$A,Input_Raw!$DB:$DB),"")</f>
        <v/>
      </c>
      <c r="L336" s="201" t="str">
        <f>IFERROR(_xlfn.XLOOKUP($A336,Input_Raw!$A:$A,Input_Raw!$DC:$DC),"")</f>
        <v/>
      </c>
      <c r="M336" s="200" t="str">
        <f>IFERROR(_xlfn.XLOOKUP($A336,Input_Raw!$A:$A,Input_Raw!$DF:$DF),"")</f>
        <v/>
      </c>
      <c r="N336" s="200" t="str">
        <f>IFERROR(_xlfn.XLOOKUP($A336,Input_Raw!$A:$A,Input_Raw!$DG:$DG),"")</f>
        <v/>
      </c>
      <c r="O336" s="230" t="str">
        <f>IFERROR(1-(SUMIF(Plant_BD!$B:$B,$A336,Plant_BD!$AL:$AL)/($AA336+SUMIF(Plant_BD!$B:$B,$A336,Plant_BD!$AL:$AL))),"")</f>
        <v/>
      </c>
      <c r="P336" s="230"/>
      <c r="Q336" s="231" t="str">
        <f>IFERROR(1-(SUMIF(Grid_BD!$B:$B,$A336,Grid_BD!$V:$V)/($AA336+SUMIF(Grid_BD!$B:$B,$A336,Grid_BD!$V:$V))),"")</f>
        <v/>
      </c>
      <c r="R336" s="230" t="str">
        <f>IFERROR(1-(SUMIF(Grid_BD!$B:$B,$A336,Grid_BD!$V:$V)/($AA336+SUMIF(Grid_BD!$B:$B,$A336,Grid_BD!$V:$V))),"")</f>
        <v/>
      </c>
      <c r="S336" s="9"/>
      <c r="T336" s="231"/>
      <c r="U336" s="232" t="str">
        <f t="shared" si="26"/>
        <v/>
      </c>
      <c r="V336" s="232" t="str">
        <f>IFERROR(_xlfn.XLOOKUP($A336,Input_Raw!$A:$A,Input_Raw!$FG:$FG),"")</f>
        <v/>
      </c>
      <c r="W336" s="233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85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33">
        <f>IFERROR(_xlfn.XLOOKUP($D336,'Modelling New'!$D:$D,'Modelling New'!O:O),"")</f>
        <v>0.8316109218354748</v>
      </c>
      <c r="AF336" s="233">
        <f>IFERROR(_xlfn.XLOOKUP($D336,'Modelling New'!$D:$D,'Modelling New'!W:W),"")</f>
        <v>0.21866912185763154</v>
      </c>
      <c r="AG336" s="233">
        <f>IFERROR(_xlfn.XLOOKUP($D336,'Modelling New'!$D:$D,'Modelling New'!AE:AE),"")</f>
        <v>0.995</v>
      </c>
      <c r="AH336" s="233">
        <f>IFERROR(_xlfn.XLOOKUP($D336,'Modelling New'!$D:$D,'Modelling New'!AF:AF),"")</f>
        <v>0.995</v>
      </c>
      <c r="AI336" s="9"/>
      <c r="AJ336" s="9"/>
      <c r="AK336" s="256"/>
      <c r="AL336" s="256"/>
      <c r="AM336" s="256"/>
      <c r="AN336" s="230"/>
      <c r="AO336" s="233"/>
      <c r="AP336" s="233"/>
      <c r="AQ336" s="233"/>
      <c r="AR336" s="234">
        <f>_xlfn.XLOOKUP(D336,'Modelling New'!$D:$D,'Modelling New'!$N:$N)</f>
        <v>130</v>
      </c>
      <c r="AS336" s="234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29">
        <f>Table13[[#This Row],[Date]]-DAY(Table13[[#This Row],[Date]])+1</f>
        <v>46054</v>
      </c>
      <c r="E337" s="9">
        <f t="shared" si="25"/>
        <v>28</v>
      </c>
      <c r="F337" s="199" t="str">
        <f>IFERROR(_xlfn.XLOOKUP($A337,Input_Raw!$A:$A,Input_Raw!$FC:$FC),"")</f>
        <v/>
      </c>
      <c r="G337" s="185" t="str">
        <f>IFERROR(_xlfn.XLOOKUP($A337,Input_Raw!$A:$A,Input_Raw!$CY:$CY),"")</f>
        <v/>
      </c>
      <c r="H337" s="185" t="str">
        <f>IFERROR(_xlfn.XLOOKUP($A337,Input_Raw!$A:$A,Input_Raw!$DA:$DA),"")</f>
        <v/>
      </c>
      <c r="I337" s="185" t="str">
        <f>IFERROR(_xlfn.XLOOKUP($A337,Input_Raw!$A:$A,Input_Raw!$CX:$CX),"")</f>
        <v/>
      </c>
      <c r="J337" s="185" t="str">
        <f>IFERROR(_xlfn.XLOOKUP($A337,Input_Raw!$A:$A,Input_Raw!$CZ:$CZ),"")</f>
        <v/>
      </c>
      <c r="K337" s="201" t="str">
        <f>IFERROR(_xlfn.XLOOKUP($A337,Input_Raw!$A:$A,Input_Raw!$DB:$DB),"")</f>
        <v/>
      </c>
      <c r="L337" s="201" t="str">
        <f>IFERROR(_xlfn.XLOOKUP($A337,Input_Raw!$A:$A,Input_Raw!$DC:$DC),"")</f>
        <v/>
      </c>
      <c r="M337" s="200" t="str">
        <f>IFERROR(_xlfn.XLOOKUP($A337,Input_Raw!$A:$A,Input_Raw!$DF:$DF),"")</f>
        <v/>
      </c>
      <c r="N337" s="200" t="str">
        <f>IFERROR(_xlfn.XLOOKUP($A337,Input_Raw!$A:$A,Input_Raw!$DG:$DG),"")</f>
        <v/>
      </c>
      <c r="O337" s="230" t="str">
        <f>IFERROR(1-(SUMIF(Plant_BD!$B:$B,$A337,Plant_BD!$AL:$AL)/($AA337+SUMIF(Plant_BD!$B:$B,$A337,Plant_BD!$AL:$AL))),"")</f>
        <v/>
      </c>
      <c r="P337" s="230"/>
      <c r="Q337" s="231" t="str">
        <f>IFERROR(1-(SUMIF(Grid_BD!$B:$B,$A337,Grid_BD!$V:$V)/($AA337+SUMIF(Grid_BD!$B:$B,$A337,Grid_BD!$V:$V))),"")</f>
        <v/>
      </c>
      <c r="R337" s="230" t="str">
        <f>IFERROR(1-(SUMIF(Grid_BD!$B:$B,$A337,Grid_BD!$V:$V)/($AA337+SUMIF(Grid_BD!$B:$B,$A337,Grid_BD!$V:$V))),"")</f>
        <v/>
      </c>
      <c r="S337" s="9"/>
      <c r="T337" s="231"/>
      <c r="U337" s="232" t="str">
        <f t="shared" si="26"/>
        <v/>
      </c>
      <c r="V337" s="232" t="str">
        <f>IFERROR(_xlfn.XLOOKUP($A337,Input_Raw!$A:$A,Input_Raw!$FG:$FG),"")</f>
        <v/>
      </c>
      <c r="W337" s="233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85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33">
        <f>IFERROR(_xlfn.XLOOKUP($D337,'Modelling New'!$D:$D,'Modelling New'!O:O),"")</f>
        <v>0.8316109218354748</v>
      </c>
      <c r="AF337" s="233">
        <f>IFERROR(_xlfn.XLOOKUP($D337,'Modelling New'!$D:$D,'Modelling New'!W:W),"")</f>
        <v>0.21866912185763154</v>
      </c>
      <c r="AG337" s="233">
        <f>IFERROR(_xlfn.XLOOKUP($D337,'Modelling New'!$D:$D,'Modelling New'!AE:AE),"")</f>
        <v>0.995</v>
      </c>
      <c r="AH337" s="233">
        <f>IFERROR(_xlfn.XLOOKUP($D337,'Modelling New'!$D:$D,'Modelling New'!AF:AF),"")</f>
        <v>0.995</v>
      </c>
      <c r="AI337" s="9"/>
      <c r="AJ337" s="9"/>
      <c r="AK337" s="256"/>
      <c r="AL337" s="256"/>
      <c r="AM337" s="256"/>
      <c r="AN337" s="230"/>
      <c r="AO337" s="233"/>
      <c r="AP337" s="233"/>
      <c r="AQ337" s="233"/>
      <c r="AR337" s="234">
        <f>_xlfn.XLOOKUP(D337,'Modelling New'!$D:$D,'Modelling New'!$N:$N)</f>
        <v>130</v>
      </c>
      <c r="AS337" s="234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29">
        <f>Table13[[#This Row],[Date]]-DAY(Table13[[#This Row],[Date]])+1</f>
        <v>46054</v>
      </c>
      <c r="E338" s="9">
        <f t="shared" si="25"/>
        <v>28</v>
      </c>
      <c r="F338" s="199" t="str">
        <f>IFERROR(_xlfn.XLOOKUP($A338,Input_Raw!$A:$A,Input_Raw!$FC:$FC),"")</f>
        <v/>
      </c>
      <c r="G338" s="200" t="str">
        <f>IFERROR(_xlfn.XLOOKUP($A338,Input_Raw!$A:$A,Input_Raw!$CY:$CY),"")</f>
        <v/>
      </c>
      <c r="H338" s="200" t="str">
        <f>IFERROR(_xlfn.XLOOKUP($A338,Input_Raw!$A:$A,Input_Raw!$DA:$DA),"")</f>
        <v/>
      </c>
      <c r="I338" s="200" t="str">
        <f>IFERROR(_xlfn.XLOOKUP($A338,Input_Raw!$A:$A,Input_Raw!$CX:$CX),"")</f>
        <v/>
      </c>
      <c r="J338" s="200" t="str">
        <f>IFERROR(_xlfn.XLOOKUP($A338,Input_Raw!$A:$A,Input_Raw!$CZ:$CZ),"")</f>
        <v/>
      </c>
      <c r="K338" s="201" t="str">
        <f>IFERROR(_xlfn.XLOOKUP($A338,Input_Raw!$A:$A,Input_Raw!$DB:$DB),"")</f>
        <v/>
      </c>
      <c r="L338" s="201" t="str">
        <f>IFERROR(_xlfn.XLOOKUP($A338,Input_Raw!$A:$A,Input_Raw!$DC:$DC),"")</f>
        <v/>
      </c>
      <c r="M338" s="200" t="str">
        <f>IFERROR(_xlfn.XLOOKUP($A338,Input_Raw!$A:$A,Input_Raw!$DF:$DF),"")</f>
        <v/>
      </c>
      <c r="N338" s="200" t="str">
        <f>IFERROR(_xlfn.XLOOKUP($A338,Input_Raw!$A:$A,Input_Raw!$DG:$DG),"")</f>
        <v/>
      </c>
      <c r="O338" s="230" t="str">
        <f>IFERROR(1-(SUMIF(Plant_BD!$B:$B,$A338,Plant_BD!$AL:$AL)/($AA338+SUMIF(Plant_BD!$B:$B,$A338,Plant_BD!$AL:$AL))),"")</f>
        <v/>
      </c>
      <c r="P338" s="230"/>
      <c r="Q338" s="231" t="str">
        <f>IFERROR(1-(SUMIF(Grid_BD!$B:$B,$A338,Grid_BD!$V:$V)/($AA338+SUMIF(Grid_BD!$B:$B,$A338,Grid_BD!$V:$V))),"")</f>
        <v/>
      </c>
      <c r="R338" s="230" t="str">
        <f>IFERROR(1-(SUMIF(Grid_BD!$B:$B,$A338,Grid_BD!$V:$V)/($AA338+SUMIF(Grid_BD!$B:$B,$A338,Grid_BD!$V:$V))),"")</f>
        <v/>
      </c>
      <c r="S338" s="9"/>
      <c r="T338" s="231"/>
      <c r="U338" s="232" t="str">
        <f t="shared" si="26"/>
        <v/>
      </c>
      <c r="V338" s="232" t="str">
        <f>IFERROR(_xlfn.XLOOKUP($A338,Input_Raw!$A:$A,Input_Raw!$FG:$FG),"")</f>
        <v/>
      </c>
      <c r="W338" s="233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85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33">
        <f>IFERROR(_xlfn.XLOOKUP($D338,'Modelling New'!$D:$D,'Modelling New'!O:O),"")</f>
        <v>0.8316109218354748</v>
      </c>
      <c r="AF338" s="233">
        <f>IFERROR(_xlfn.XLOOKUP($D338,'Modelling New'!$D:$D,'Modelling New'!W:W),"")</f>
        <v>0.21866912185763154</v>
      </c>
      <c r="AG338" s="233">
        <f>IFERROR(_xlfn.XLOOKUP($D338,'Modelling New'!$D:$D,'Modelling New'!AE:AE),"")</f>
        <v>0.995</v>
      </c>
      <c r="AH338" s="233">
        <f>IFERROR(_xlfn.XLOOKUP($D338,'Modelling New'!$D:$D,'Modelling New'!AF:AF),"")</f>
        <v>0.995</v>
      </c>
      <c r="AI338" s="9"/>
      <c r="AJ338" s="9"/>
      <c r="AK338" s="256"/>
      <c r="AL338" s="256"/>
      <c r="AM338" s="256"/>
      <c r="AN338" s="230"/>
      <c r="AO338" s="233"/>
      <c r="AP338" s="233"/>
      <c r="AQ338" s="233"/>
      <c r="AR338" s="234">
        <f>_xlfn.XLOOKUP(D338,'Modelling New'!$D:$D,'Modelling New'!$N:$N)</f>
        <v>130</v>
      </c>
      <c r="AS338" s="234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29">
        <f>Table13[[#This Row],[Date]]-DAY(Table13[[#This Row],[Date]])+1</f>
        <v>46082</v>
      </c>
      <c r="E339" s="9">
        <f t="shared" si="25"/>
        <v>31</v>
      </c>
      <c r="F339" s="199" t="str">
        <f>IFERROR(_xlfn.XLOOKUP($A339,Input_Raw!$A:$A,Input_Raw!$FC:$FC),"")</f>
        <v/>
      </c>
      <c r="G339" s="185" t="str">
        <f>IFERROR(_xlfn.XLOOKUP($A339,Input_Raw!$A:$A,Input_Raw!$CY:$CY),"")</f>
        <v/>
      </c>
      <c r="H339" s="185" t="str">
        <f>IFERROR(_xlfn.XLOOKUP($A339,Input_Raw!$A:$A,Input_Raw!$DA:$DA),"")</f>
        <v/>
      </c>
      <c r="I339" s="185" t="str">
        <f>IFERROR(_xlfn.XLOOKUP($A339,Input_Raw!$A:$A,Input_Raw!$CX:$CX),"")</f>
        <v/>
      </c>
      <c r="J339" s="185" t="str">
        <f>IFERROR(_xlfn.XLOOKUP($A339,Input_Raw!$A:$A,Input_Raw!$CZ:$CZ),"")</f>
        <v/>
      </c>
      <c r="K339" s="201" t="str">
        <f>IFERROR(_xlfn.XLOOKUP($A339,Input_Raw!$A:$A,Input_Raw!$DB:$DB),"")</f>
        <v/>
      </c>
      <c r="L339" s="201" t="str">
        <f>IFERROR(_xlfn.XLOOKUP($A339,Input_Raw!$A:$A,Input_Raw!$DC:$DC),"")</f>
        <v/>
      </c>
      <c r="M339" s="200" t="str">
        <f>IFERROR(_xlfn.XLOOKUP($A339,Input_Raw!$A:$A,Input_Raw!$DF:$DF),"")</f>
        <v/>
      </c>
      <c r="N339" s="200" t="str">
        <f>IFERROR(_xlfn.XLOOKUP($A339,Input_Raw!$A:$A,Input_Raw!$DG:$DG),"")</f>
        <v/>
      </c>
      <c r="O339" s="230" t="str">
        <f>IFERROR(1-(SUMIF(Plant_BD!$B:$B,$A339,Plant_BD!$AL:$AL)/($AA339+SUMIF(Plant_BD!$B:$B,$A339,Plant_BD!$AL:$AL))),"")</f>
        <v/>
      </c>
      <c r="P339" s="230"/>
      <c r="Q339" s="231" t="str">
        <f>IFERROR(1-(SUMIF(Grid_BD!$B:$B,$A339,Grid_BD!$V:$V)/($AA339+SUMIF(Grid_BD!$B:$B,$A339,Grid_BD!$V:$V))),"")</f>
        <v/>
      </c>
      <c r="R339" s="230" t="str">
        <f>IFERROR(1-(SUMIF(Grid_BD!$B:$B,$A339,Grid_BD!$V:$V)/($AA339+SUMIF(Grid_BD!$B:$B,$A339,Grid_BD!$V:$V))),"")</f>
        <v/>
      </c>
      <c r="S339" s="9"/>
      <c r="T339" s="231"/>
      <c r="U339" s="232" t="str">
        <f t="shared" si="26"/>
        <v/>
      </c>
      <c r="V339" s="232" t="str">
        <f>IFERROR(_xlfn.XLOOKUP($A339,Input_Raw!$A:$A,Input_Raw!$FG:$FG),"")</f>
        <v/>
      </c>
      <c r="W339" s="233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85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33">
        <f>IFERROR(_xlfn.XLOOKUP($D339,'Modelling New'!$D:$D,'Modelling New'!O:O),"")</f>
        <v>0.80591076761496216</v>
      </c>
      <c r="AF339" s="233">
        <f>IFERROR(_xlfn.XLOOKUP($D339,'Modelling New'!$D:$D,'Modelling New'!W:W),"")</f>
        <v>0.23245759506743396</v>
      </c>
      <c r="AG339" s="233">
        <f>IFERROR(_xlfn.XLOOKUP($D339,'Modelling New'!$D:$D,'Modelling New'!AE:AE),"")</f>
        <v>0.995</v>
      </c>
      <c r="AH339" s="233">
        <f>IFERROR(_xlfn.XLOOKUP($D339,'Modelling New'!$D:$D,'Modelling New'!AF:AF),"")</f>
        <v>0.995</v>
      </c>
      <c r="AI339" s="9"/>
      <c r="AJ339" s="9"/>
      <c r="AK339" s="256"/>
      <c r="AL339" s="256"/>
      <c r="AM339" s="256"/>
      <c r="AN339" s="230"/>
      <c r="AO339" s="233"/>
      <c r="AP339" s="233"/>
      <c r="AQ339" s="233"/>
      <c r="AR339" s="234">
        <f>_xlfn.XLOOKUP(D339,'Modelling New'!$D:$D,'Modelling New'!$N:$N)</f>
        <v>130</v>
      </c>
      <c r="AS339" s="234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29">
        <f>Table13[[#This Row],[Date]]-DAY(Table13[[#This Row],[Date]])+1</f>
        <v>46082</v>
      </c>
      <c r="E340" s="9">
        <f t="shared" si="25"/>
        <v>31</v>
      </c>
      <c r="F340" s="199" t="str">
        <f>IFERROR(_xlfn.XLOOKUP($A340,Input_Raw!$A:$A,Input_Raw!$FC:$FC),"")</f>
        <v/>
      </c>
      <c r="G340" s="200" t="str">
        <f>IFERROR(_xlfn.XLOOKUP($A340,Input_Raw!$A:$A,Input_Raw!$CY:$CY),"")</f>
        <v/>
      </c>
      <c r="H340" s="200" t="str">
        <f>IFERROR(_xlfn.XLOOKUP($A340,Input_Raw!$A:$A,Input_Raw!$DA:$DA),"")</f>
        <v/>
      </c>
      <c r="I340" s="200" t="str">
        <f>IFERROR(_xlfn.XLOOKUP($A340,Input_Raw!$A:$A,Input_Raw!$CX:$CX),"")</f>
        <v/>
      </c>
      <c r="J340" s="200" t="str">
        <f>IFERROR(_xlfn.XLOOKUP($A340,Input_Raw!$A:$A,Input_Raw!$CZ:$CZ),"")</f>
        <v/>
      </c>
      <c r="K340" s="201" t="str">
        <f>IFERROR(_xlfn.XLOOKUP($A340,Input_Raw!$A:$A,Input_Raw!$DB:$DB),"")</f>
        <v/>
      </c>
      <c r="L340" s="201" t="str">
        <f>IFERROR(_xlfn.XLOOKUP($A340,Input_Raw!$A:$A,Input_Raw!$DC:$DC),"")</f>
        <v/>
      </c>
      <c r="M340" s="200" t="str">
        <f>IFERROR(_xlfn.XLOOKUP($A340,Input_Raw!$A:$A,Input_Raw!$DF:$DF),"")</f>
        <v/>
      </c>
      <c r="N340" s="200" t="str">
        <f>IFERROR(_xlfn.XLOOKUP($A340,Input_Raw!$A:$A,Input_Raw!$DG:$DG),"")</f>
        <v/>
      </c>
      <c r="O340" s="230" t="str">
        <f>IFERROR(1-(SUMIF(Plant_BD!$B:$B,$A340,Plant_BD!$AL:$AL)/($AA340+SUMIF(Plant_BD!$B:$B,$A340,Plant_BD!$AL:$AL))),"")</f>
        <v/>
      </c>
      <c r="P340" s="230"/>
      <c r="Q340" s="231" t="str">
        <f>IFERROR(1-(SUMIF(Grid_BD!$B:$B,$A340,Grid_BD!$V:$V)/($AA340+SUMIF(Grid_BD!$B:$B,$A340,Grid_BD!$V:$V))),"")</f>
        <v/>
      </c>
      <c r="R340" s="230" t="str">
        <f>IFERROR(1-(SUMIF(Grid_BD!$B:$B,$A340,Grid_BD!$V:$V)/($AA340+SUMIF(Grid_BD!$B:$B,$A340,Grid_BD!$V:$V))),"")</f>
        <v/>
      </c>
      <c r="S340" s="9"/>
      <c r="T340" s="231"/>
      <c r="U340" s="232" t="str">
        <f t="shared" si="26"/>
        <v/>
      </c>
      <c r="V340" s="232" t="str">
        <f>IFERROR(_xlfn.XLOOKUP($A340,Input_Raw!$A:$A,Input_Raw!$FG:$FG),"")</f>
        <v/>
      </c>
      <c r="W340" s="233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85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33">
        <f>IFERROR(_xlfn.XLOOKUP($D340,'Modelling New'!$D:$D,'Modelling New'!O:O),"")</f>
        <v>0.80591076761496216</v>
      </c>
      <c r="AF340" s="233">
        <f>IFERROR(_xlfn.XLOOKUP($D340,'Modelling New'!$D:$D,'Modelling New'!W:W),"")</f>
        <v>0.23245759506743396</v>
      </c>
      <c r="AG340" s="233">
        <f>IFERROR(_xlfn.XLOOKUP($D340,'Modelling New'!$D:$D,'Modelling New'!AE:AE),"")</f>
        <v>0.995</v>
      </c>
      <c r="AH340" s="233">
        <f>IFERROR(_xlfn.XLOOKUP($D340,'Modelling New'!$D:$D,'Modelling New'!AF:AF),"")</f>
        <v>0.995</v>
      </c>
      <c r="AI340" s="9"/>
      <c r="AJ340" s="9"/>
      <c r="AK340" s="256"/>
      <c r="AL340" s="256"/>
      <c r="AM340" s="256"/>
      <c r="AN340" s="230"/>
      <c r="AO340" s="233"/>
      <c r="AP340" s="233"/>
      <c r="AQ340" s="233"/>
      <c r="AR340" s="234">
        <f>_xlfn.XLOOKUP(D340,'Modelling New'!$D:$D,'Modelling New'!$N:$N)</f>
        <v>130</v>
      </c>
      <c r="AS340" s="234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29">
        <f>Table13[[#This Row],[Date]]-DAY(Table13[[#This Row],[Date]])+1</f>
        <v>46082</v>
      </c>
      <c r="E341" s="9">
        <f t="shared" si="25"/>
        <v>31</v>
      </c>
      <c r="F341" s="199" t="str">
        <f>IFERROR(_xlfn.XLOOKUP($A341,Input_Raw!$A:$A,Input_Raw!$FC:$FC),"")</f>
        <v/>
      </c>
      <c r="G341" s="185" t="str">
        <f>IFERROR(_xlfn.XLOOKUP($A341,Input_Raw!$A:$A,Input_Raw!$CY:$CY),"")</f>
        <v/>
      </c>
      <c r="H341" s="185" t="str">
        <f>IFERROR(_xlfn.XLOOKUP($A341,Input_Raw!$A:$A,Input_Raw!$DA:$DA),"")</f>
        <v/>
      </c>
      <c r="I341" s="185" t="str">
        <f>IFERROR(_xlfn.XLOOKUP($A341,Input_Raw!$A:$A,Input_Raw!$CX:$CX),"")</f>
        <v/>
      </c>
      <c r="J341" s="185" t="str">
        <f>IFERROR(_xlfn.XLOOKUP($A341,Input_Raw!$A:$A,Input_Raw!$CZ:$CZ),"")</f>
        <v/>
      </c>
      <c r="K341" s="201" t="str">
        <f>IFERROR(_xlfn.XLOOKUP($A341,Input_Raw!$A:$A,Input_Raw!$DB:$DB),"")</f>
        <v/>
      </c>
      <c r="L341" s="201" t="str">
        <f>IFERROR(_xlfn.XLOOKUP($A341,Input_Raw!$A:$A,Input_Raw!$DC:$DC),"")</f>
        <v/>
      </c>
      <c r="M341" s="200" t="str">
        <f>IFERROR(_xlfn.XLOOKUP($A341,Input_Raw!$A:$A,Input_Raw!$DF:$DF),"")</f>
        <v/>
      </c>
      <c r="N341" s="200" t="str">
        <f>IFERROR(_xlfn.XLOOKUP($A341,Input_Raw!$A:$A,Input_Raw!$DG:$DG),"")</f>
        <v/>
      </c>
      <c r="O341" s="230" t="str">
        <f>IFERROR(1-(SUMIF(Plant_BD!$B:$B,$A341,Plant_BD!$AL:$AL)/($AA341+SUMIF(Plant_BD!$B:$B,$A341,Plant_BD!$AL:$AL))),"")</f>
        <v/>
      </c>
      <c r="P341" s="230"/>
      <c r="Q341" s="231" t="str">
        <f>IFERROR(1-(SUMIF(Grid_BD!$B:$B,$A341,Grid_BD!$V:$V)/($AA341+SUMIF(Grid_BD!$B:$B,$A341,Grid_BD!$V:$V))),"")</f>
        <v/>
      </c>
      <c r="R341" s="230" t="str">
        <f>IFERROR(1-(SUMIF(Grid_BD!$B:$B,$A341,Grid_BD!$V:$V)/($AA341+SUMIF(Grid_BD!$B:$B,$A341,Grid_BD!$V:$V))),"")</f>
        <v/>
      </c>
      <c r="S341" s="9"/>
      <c r="T341" s="231"/>
      <c r="U341" s="232" t="str">
        <f t="shared" si="26"/>
        <v/>
      </c>
      <c r="V341" s="232" t="str">
        <f>IFERROR(_xlfn.XLOOKUP($A341,Input_Raw!$A:$A,Input_Raw!$FG:$FG),"")</f>
        <v/>
      </c>
      <c r="W341" s="233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85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33">
        <f>IFERROR(_xlfn.XLOOKUP($D341,'Modelling New'!$D:$D,'Modelling New'!O:O),"")</f>
        <v>0.80591076761496216</v>
      </c>
      <c r="AF341" s="233">
        <f>IFERROR(_xlfn.XLOOKUP($D341,'Modelling New'!$D:$D,'Modelling New'!W:W),"")</f>
        <v>0.23245759506743396</v>
      </c>
      <c r="AG341" s="233">
        <f>IFERROR(_xlfn.XLOOKUP($D341,'Modelling New'!$D:$D,'Modelling New'!AE:AE),"")</f>
        <v>0.995</v>
      </c>
      <c r="AH341" s="233">
        <f>IFERROR(_xlfn.XLOOKUP($D341,'Modelling New'!$D:$D,'Modelling New'!AF:AF),"")</f>
        <v>0.995</v>
      </c>
      <c r="AI341" s="9"/>
      <c r="AJ341" s="9"/>
      <c r="AK341" s="256"/>
      <c r="AL341" s="256"/>
      <c r="AM341" s="256"/>
      <c r="AN341" s="230"/>
      <c r="AO341" s="233"/>
      <c r="AP341" s="233"/>
      <c r="AQ341" s="233"/>
      <c r="AR341" s="234">
        <f>_xlfn.XLOOKUP(D341,'Modelling New'!$D:$D,'Modelling New'!$N:$N)</f>
        <v>130</v>
      </c>
      <c r="AS341" s="234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29">
        <f>Table13[[#This Row],[Date]]-DAY(Table13[[#This Row],[Date]])+1</f>
        <v>46082</v>
      </c>
      <c r="E342" s="9">
        <f t="shared" si="25"/>
        <v>31</v>
      </c>
      <c r="F342" s="199" t="str">
        <f>IFERROR(_xlfn.XLOOKUP($A342,Input_Raw!$A:$A,Input_Raw!$FC:$FC),"")</f>
        <v/>
      </c>
      <c r="G342" s="200" t="str">
        <f>IFERROR(_xlfn.XLOOKUP($A342,Input_Raw!$A:$A,Input_Raw!$CY:$CY),"")</f>
        <v/>
      </c>
      <c r="H342" s="200" t="str">
        <f>IFERROR(_xlfn.XLOOKUP($A342,Input_Raw!$A:$A,Input_Raw!$DA:$DA),"")</f>
        <v/>
      </c>
      <c r="I342" s="200" t="str">
        <f>IFERROR(_xlfn.XLOOKUP($A342,Input_Raw!$A:$A,Input_Raw!$CX:$CX),"")</f>
        <v/>
      </c>
      <c r="J342" s="200" t="str">
        <f>IFERROR(_xlfn.XLOOKUP($A342,Input_Raw!$A:$A,Input_Raw!$CZ:$CZ),"")</f>
        <v/>
      </c>
      <c r="K342" s="201" t="str">
        <f>IFERROR(_xlfn.XLOOKUP($A342,Input_Raw!$A:$A,Input_Raw!$DB:$DB),"")</f>
        <v/>
      </c>
      <c r="L342" s="201" t="str">
        <f>IFERROR(_xlfn.XLOOKUP($A342,Input_Raw!$A:$A,Input_Raw!$DC:$DC),"")</f>
        <v/>
      </c>
      <c r="M342" s="200" t="str">
        <f>IFERROR(_xlfn.XLOOKUP($A342,Input_Raw!$A:$A,Input_Raw!$DF:$DF),"")</f>
        <v/>
      </c>
      <c r="N342" s="200" t="str">
        <f>IFERROR(_xlfn.XLOOKUP($A342,Input_Raw!$A:$A,Input_Raw!$DG:$DG),"")</f>
        <v/>
      </c>
      <c r="O342" s="230" t="str">
        <f>IFERROR(1-(SUMIF(Plant_BD!$B:$B,$A342,Plant_BD!$AL:$AL)/($AA342+SUMIF(Plant_BD!$B:$B,$A342,Plant_BD!$AL:$AL))),"")</f>
        <v/>
      </c>
      <c r="P342" s="230"/>
      <c r="Q342" s="231" t="str">
        <f>IFERROR(1-(SUMIF(Grid_BD!$B:$B,$A342,Grid_BD!$V:$V)/($AA342+SUMIF(Grid_BD!$B:$B,$A342,Grid_BD!$V:$V))),"")</f>
        <v/>
      </c>
      <c r="R342" s="230" t="str">
        <f>IFERROR(1-(SUMIF(Grid_BD!$B:$B,$A342,Grid_BD!$V:$V)/($AA342+SUMIF(Grid_BD!$B:$B,$A342,Grid_BD!$V:$V))),"")</f>
        <v/>
      </c>
      <c r="S342" s="9"/>
      <c r="T342" s="231"/>
      <c r="U342" s="232" t="str">
        <f t="shared" si="26"/>
        <v/>
      </c>
      <c r="V342" s="232" t="str">
        <f>IFERROR(_xlfn.XLOOKUP($A342,Input_Raw!$A:$A,Input_Raw!$FG:$FG),"")</f>
        <v/>
      </c>
      <c r="W342" s="233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85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33">
        <f>IFERROR(_xlfn.XLOOKUP($D342,'Modelling New'!$D:$D,'Modelling New'!O:O),"")</f>
        <v>0.80591076761496216</v>
      </c>
      <c r="AF342" s="233">
        <f>IFERROR(_xlfn.XLOOKUP($D342,'Modelling New'!$D:$D,'Modelling New'!W:W),"")</f>
        <v>0.23245759506743396</v>
      </c>
      <c r="AG342" s="233">
        <f>IFERROR(_xlfn.XLOOKUP($D342,'Modelling New'!$D:$D,'Modelling New'!AE:AE),"")</f>
        <v>0.995</v>
      </c>
      <c r="AH342" s="233">
        <f>IFERROR(_xlfn.XLOOKUP($D342,'Modelling New'!$D:$D,'Modelling New'!AF:AF),"")</f>
        <v>0.995</v>
      </c>
      <c r="AI342" s="9"/>
      <c r="AJ342" s="9"/>
      <c r="AK342" s="256"/>
      <c r="AL342" s="256"/>
      <c r="AM342" s="256"/>
      <c r="AN342" s="230"/>
      <c r="AO342" s="233"/>
      <c r="AP342" s="233"/>
      <c r="AQ342" s="233"/>
      <c r="AR342" s="234">
        <f>_xlfn.XLOOKUP(D342,'Modelling New'!$D:$D,'Modelling New'!$N:$N)</f>
        <v>130</v>
      </c>
      <c r="AS342" s="234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29">
        <f>Table13[[#This Row],[Date]]-DAY(Table13[[#This Row],[Date]])+1</f>
        <v>46082</v>
      </c>
      <c r="E343" s="9">
        <f t="shared" si="25"/>
        <v>31</v>
      </c>
      <c r="F343" s="199" t="str">
        <f>IFERROR(_xlfn.XLOOKUP($A343,Input_Raw!$A:$A,Input_Raw!$FC:$FC),"")</f>
        <v/>
      </c>
      <c r="G343" s="185" t="str">
        <f>IFERROR(_xlfn.XLOOKUP($A343,Input_Raw!$A:$A,Input_Raw!$CY:$CY),"")</f>
        <v/>
      </c>
      <c r="H343" s="185" t="str">
        <f>IFERROR(_xlfn.XLOOKUP($A343,Input_Raw!$A:$A,Input_Raw!$DA:$DA),"")</f>
        <v/>
      </c>
      <c r="I343" s="185" t="str">
        <f>IFERROR(_xlfn.XLOOKUP($A343,Input_Raw!$A:$A,Input_Raw!$CX:$CX),"")</f>
        <v/>
      </c>
      <c r="J343" s="185" t="str">
        <f>IFERROR(_xlfn.XLOOKUP($A343,Input_Raw!$A:$A,Input_Raw!$CZ:$CZ),"")</f>
        <v/>
      </c>
      <c r="K343" s="201" t="str">
        <f>IFERROR(_xlfn.XLOOKUP($A343,Input_Raw!$A:$A,Input_Raw!$DB:$DB),"")</f>
        <v/>
      </c>
      <c r="L343" s="201" t="str">
        <f>IFERROR(_xlfn.XLOOKUP($A343,Input_Raw!$A:$A,Input_Raw!$DC:$DC),"")</f>
        <v/>
      </c>
      <c r="M343" s="200" t="str">
        <f>IFERROR(_xlfn.XLOOKUP($A343,Input_Raw!$A:$A,Input_Raw!$DF:$DF),"")</f>
        <v/>
      </c>
      <c r="N343" s="200" t="str">
        <f>IFERROR(_xlfn.XLOOKUP($A343,Input_Raw!$A:$A,Input_Raw!$DG:$DG),"")</f>
        <v/>
      </c>
      <c r="O343" s="230" t="str">
        <f>IFERROR(1-(SUMIF(Plant_BD!$B:$B,$A343,Plant_BD!$AL:$AL)/($AA343+SUMIF(Plant_BD!$B:$B,$A343,Plant_BD!$AL:$AL))),"")</f>
        <v/>
      </c>
      <c r="P343" s="230"/>
      <c r="Q343" s="231" t="str">
        <f>IFERROR(1-(SUMIF(Grid_BD!$B:$B,$A343,Grid_BD!$V:$V)/($AA343+SUMIF(Grid_BD!$B:$B,$A343,Grid_BD!$V:$V))),"")</f>
        <v/>
      </c>
      <c r="R343" s="230" t="str">
        <f>IFERROR(1-(SUMIF(Grid_BD!$B:$B,$A343,Grid_BD!$V:$V)/($AA343+SUMIF(Grid_BD!$B:$B,$A343,Grid_BD!$V:$V))),"")</f>
        <v/>
      </c>
      <c r="S343" s="9"/>
      <c r="T343" s="231"/>
      <c r="U343" s="232" t="str">
        <f t="shared" si="26"/>
        <v/>
      </c>
      <c r="V343" s="232" t="str">
        <f>IFERROR(_xlfn.XLOOKUP($A343,Input_Raw!$A:$A,Input_Raw!$FG:$FG),"")</f>
        <v/>
      </c>
      <c r="W343" s="233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85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33">
        <f>IFERROR(_xlfn.XLOOKUP($D343,'Modelling New'!$D:$D,'Modelling New'!O:O),"")</f>
        <v>0.80591076761496216</v>
      </c>
      <c r="AF343" s="233">
        <f>IFERROR(_xlfn.XLOOKUP($D343,'Modelling New'!$D:$D,'Modelling New'!W:W),"")</f>
        <v>0.23245759506743396</v>
      </c>
      <c r="AG343" s="233">
        <f>IFERROR(_xlfn.XLOOKUP($D343,'Modelling New'!$D:$D,'Modelling New'!AE:AE),"")</f>
        <v>0.995</v>
      </c>
      <c r="AH343" s="233">
        <f>IFERROR(_xlfn.XLOOKUP($D343,'Modelling New'!$D:$D,'Modelling New'!AF:AF),"")</f>
        <v>0.995</v>
      </c>
      <c r="AI343" s="9"/>
      <c r="AJ343" s="9"/>
      <c r="AK343" s="256"/>
      <c r="AL343" s="256"/>
      <c r="AM343" s="256"/>
      <c r="AN343" s="230"/>
      <c r="AO343" s="233"/>
      <c r="AP343" s="233"/>
      <c r="AQ343" s="233"/>
      <c r="AR343" s="234">
        <f>_xlfn.XLOOKUP(D343,'Modelling New'!$D:$D,'Modelling New'!$N:$N)</f>
        <v>130</v>
      </c>
      <c r="AS343" s="234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29">
        <f>Table13[[#This Row],[Date]]-DAY(Table13[[#This Row],[Date]])+1</f>
        <v>46082</v>
      </c>
      <c r="E344" s="9">
        <f t="shared" si="25"/>
        <v>31</v>
      </c>
      <c r="F344" s="199" t="str">
        <f>IFERROR(_xlfn.XLOOKUP($A344,Input_Raw!$A:$A,Input_Raw!$FC:$FC),"")</f>
        <v/>
      </c>
      <c r="G344" s="200" t="str">
        <f>IFERROR(_xlfn.XLOOKUP($A344,Input_Raw!$A:$A,Input_Raw!$CY:$CY),"")</f>
        <v/>
      </c>
      <c r="H344" s="200" t="str">
        <f>IFERROR(_xlfn.XLOOKUP($A344,Input_Raw!$A:$A,Input_Raw!$DA:$DA),"")</f>
        <v/>
      </c>
      <c r="I344" s="200" t="str">
        <f>IFERROR(_xlfn.XLOOKUP($A344,Input_Raw!$A:$A,Input_Raw!$CX:$CX),"")</f>
        <v/>
      </c>
      <c r="J344" s="200" t="str">
        <f>IFERROR(_xlfn.XLOOKUP($A344,Input_Raw!$A:$A,Input_Raw!$CZ:$CZ),"")</f>
        <v/>
      </c>
      <c r="K344" s="201" t="str">
        <f>IFERROR(_xlfn.XLOOKUP($A344,Input_Raw!$A:$A,Input_Raw!$DB:$DB),"")</f>
        <v/>
      </c>
      <c r="L344" s="201" t="str">
        <f>IFERROR(_xlfn.XLOOKUP($A344,Input_Raw!$A:$A,Input_Raw!$DC:$DC),"")</f>
        <v/>
      </c>
      <c r="M344" s="200" t="str">
        <f>IFERROR(_xlfn.XLOOKUP($A344,Input_Raw!$A:$A,Input_Raw!$DF:$DF),"")</f>
        <v/>
      </c>
      <c r="N344" s="200" t="str">
        <f>IFERROR(_xlfn.XLOOKUP($A344,Input_Raw!$A:$A,Input_Raw!$DG:$DG),"")</f>
        <v/>
      </c>
      <c r="O344" s="230" t="str">
        <f>IFERROR(1-(SUMIF(Plant_BD!$B:$B,$A344,Plant_BD!$AL:$AL)/($AA344+SUMIF(Plant_BD!$B:$B,$A344,Plant_BD!$AL:$AL))),"")</f>
        <v/>
      </c>
      <c r="P344" s="230"/>
      <c r="Q344" s="231" t="str">
        <f>IFERROR(1-(SUMIF(Grid_BD!$B:$B,$A344,Grid_BD!$V:$V)/($AA344+SUMIF(Grid_BD!$B:$B,$A344,Grid_BD!$V:$V))),"")</f>
        <v/>
      </c>
      <c r="R344" s="230" t="str">
        <f>IFERROR(1-(SUMIF(Grid_BD!$B:$B,$A344,Grid_BD!$V:$V)/($AA344+SUMIF(Grid_BD!$B:$B,$A344,Grid_BD!$V:$V))),"")</f>
        <v/>
      </c>
      <c r="S344" s="9"/>
      <c r="T344" s="231"/>
      <c r="U344" s="232" t="str">
        <f t="shared" si="26"/>
        <v/>
      </c>
      <c r="V344" s="232" t="str">
        <f>IFERROR(_xlfn.XLOOKUP($A344,Input_Raw!$A:$A,Input_Raw!$FG:$FG),"")</f>
        <v/>
      </c>
      <c r="W344" s="233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85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33">
        <f>IFERROR(_xlfn.XLOOKUP($D344,'Modelling New'!$D:$D,'Modelling New'!O:O),"")</f>
        <v>0.80591076761496216</v>
      </c>
      <c r="AF344" s="233">
        <f>IFERROR(_xlfn.XLOOKUP($D344,'Modelling New'!$D:$D,'Modelling New'!W:W),"")</f>
        <v>0.23245759506743396</v>
      </c>
      <c r="AG344" s="233">
        <f>IFERROR(_xlfn.XLOOKUP($D344,'Modelling New'!$D:$D,'Modelling New'!AE:AE),"")</f>
        <v>0.995</v>
      </c>
      <c r="AH344" s="233">
        <f>IFERROR(_xlfn.XLOOKUP($D344,'Modelling New'!$D:$D,'Modelling New'!AF:AF),"")</f>
        <v>0.995</v>
      </c>
      <c r="AI344" s="9"/>
      <c r="AJ344" s="9"/>
      <c r="AK344" s="256"/>
      <c r="AL344" s="256"/>
      <c r="AM344" s="256"/>
      <c r="AN344" s="230"/>
      <c r="AO344" s="233"/>
      <c r="AP344" s="233"/>
      <c r="AQ344" s="233"/>
      <c r="AR344" s="234">
        <f>_xlfn.XLOOKUP(D344,'Modelling New'!$D:$D,'Modelling New'!$N:$N)</f>
        <v>130</v>
      </c>
      <c r="AS344" s="234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29">
        <f>Table13[[#This Row],[Date]]-DAY(Table13[[#This Row],[Date]])+1</f>
        <v>46082</v>
      </c>
      <c r="E345" s="9">
        <f t="shared" si="25"/>
        <v>31</v>
      </c>
      <c r="F345" s="199" t="str">
        <f>IFERROR(_xlfn.XLOOKUP($A345,Input_Raw!$A:$A,Input_Raw!$FC:$FC),"")</f>
        <v/>
      </c>
      <c r="G345" s="185" t="str">
        <f>IFERROR(_xlfn.XLOOKUP($A345,Input_Raw!$A:$A,Input_Raw!$CY:$CY),"")</f>
        <v/>
      </c>
      <c r="H345" s="185" t="str">
        <f>IFERROR(_xlfn.XLOOKUP($A345,Input_Raw!$A:$A,Input_Raw!$DA:$DA),"")</f>
        <v/>
      </c>
      <c r="I345" s="185" t="str">
        <f>IFERROR(_xlfn.XLOOKUP($A345,Input_Raw!$A:$A,Input_Raw!$CX:$CX),"")</f>
        <v/>
      </c>
      <c r="J345" s="185" t="str">
        <f>IFERROR(_xlfn.XLOOKUP($A345,Input_Raw!$A:$A,Input_Raw!$CZ:$CZ),"")</f>
        <v/>
      </c>
      <c r="K345" s="201" t="str">
        <f>IFERROR(_xlfn.XLOOKUP($A345,Input_Raw!$A:$A,Input_Raw!$DB:$DB),"")</f>
        <v/>
      </c>
      <c r="L345" s="201" t="str">
        <f>IFERROR(_xlfn.XLOOKUP($A345,Input_Raw!$A:$A,Input_Raw!$DC:$DC),"")</f>
        <v/>
      </c>
      <c r="M345" s="200" t="str">
        <f>IFERROR(_xlfn.XLOOKUP($A345,Input_Raw!$A:$A,Input_Raw!$DF:$DF),"")</f>
        <v/>
      </c>
      <c r="N345" s="200" t="str">
        <f>IFERROR(_xlfn.XLOOKUP($A345,Input_Raw!$A:$A,Input_Raw!$DG:$DG),"")</f>
        <v/>
      </c>
      <c r="O345" s="230" t="str">
        <f>IFERROR(1-(SUMIF(Plant_BD!$B:$B,$A345,Plant_BD!$AL:$AL)/($AA345+SUMIF(Plant_BD!$B:$B,$A345,Plant_BD!$AL:$AL))),"")</f>
        <v/>
      </c>
      <c r="P345" s="230"/>
      <c r="Q345" s="231" t="str">
        <f>IFERROR(1-(SUMIF(Grid_BD!$B:$B,$A345,Grid_BD!$V:$V)/($AA345+SUMIF(Grid_BD!$B:$B,$A345,Grid_BD!$V:$V))),"")</f>
        <v/>
      </c>
      <c r="R345" s="230" t="str">
        <f>IFERROR(1-(SUMIF(Grid_BD!$B:$B,$A345,Grid_BD!$V:$V)/($AA345+SUMIF(Grid_BD!$B:$B,$A345,Grid_BD!$V:$V))),"")</f>
        <v/>
      </c>
      <c r="S345" s="9"/>
      <c r="T345" s="231"/>
      <c r="U345" s="232" t="str">
        <f t="shared" si="26"/>
        <v/>
      </c>
      <c r="V345" s="232" t="str">
        <f>IFERROR(_xlfn.XLOOKUP($A345,Input_Raw!$A:$A,Input_Raw!$FG:$FG),"")</f>
        <v/>
      </c>
      <c r="W345" s="233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85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33">
        <f>IFERROR(_xlfn.XLOOKUP($D345,'Modelling New'!$D:$D,'Modelling New'!O:O),"")</f>
        <v>0.80591076761496216</v>
      </c>
      <c r="AF345" s="233">
        <f>IFERROR(_xlfn.XLOOKUP($D345,'Modelling New'!$D:$D,'Modelling New'!W:W),"")</f>
        <v>0.23245759506743396</v>
      </c>
      <c r="AG345" s="233">
        <f>IFERROR(_xlfn.XLOOKUP($D345,'Modelling New'!$D:$D,'Modelling New'!AE:AE),"")</f>
        <v>0.995</v>
      </c>
      <c r="AH345" s="233">
        <f>IFERROR(_xlfn.XLOOKUP($D345,'Modelling New'!$D:$D,'Modelling New'!AF:AF),"")</f>
        <v>0.995</v>
      </c>
      <c r="AI345" s="9"/>
      <c r="AJ345" s="9"/>
      <c r="AK345" s="256"/>
      <c r="AL345" s="256"/>
      <c r="AM345" s="256"/>
      <c r="AN345" s="230"/>
      <c r="AO345" s="233"/>
      <c r="AP345" s="233"/>
      <c r="AQ345" s="233"/>
      <c r="AR345" s="234">
        <f>_xlfn.XLOOKUP(D345,'Modelling New'!$D:$D,'Modelling New'!$N:$N)</f>
        <v>130</v>
      </c>
      <c r="AS345" s="234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29">
        <f>Table13[[#This Row],[Date]]-DAY(Table13[[#This Row],[Date]])+1</f>
        <v>46082</v>
      </c>
      <c r="E346" s="9">
        <f t="shared" si="25"/>
        <v>31</v>
      </c>
      <c r="F346" s="199" t="str">
        <f>IFERROR(_xlfn.XLOOKUP($A346,Input_Raw!$A:$A,Input_Raw!$FC:$FC),"")</f>
        <v/>
      </c>
      <c r="G346" s="200" t="str">
        <f>IFERROR(_xlfn.XLOOKUP($A346,Input_Raw!$A:$A,Input_Raw!$CY:$CY),"")</f>
        <v/>
      </c>
      <c r="H346" s="200" t="str">
        <f>IFERROR(_xlfn.XLOOKUP($A346,Input_Raw!$A:$A,Input_Raw!$DA:$DA),"")</f>
        <v/>
      </c>
      <c r="I346" s="200" t="str">
        <f>IFERROR(_xlfn.XLOOKUP($A346,Input_Raw!$A:$A,Input_Raw!$CX:$CX),"")</f>
        <v/>
      </c>
      <c r="J346" s="200" t="str">
        <f>IFERROR(_xlfn.XLOOKUP($A346,Input_Raw!$A:$A,Input_Raw!$CZ:$CZ),"")</f>
        <v/>
      </c>
      <c r="K346" s="201" t="str">
        <f>IFERROR(_xlfn.XLOOKUP($A346,Input_Raw!$A:$A,Input_Raw!$DB:$DB),"")</f>
        <v/>
      </c>
      <c r="L346" s="201" t="str">
        <f>IFERROR(_xlfn.XLOOKUP($A346,Input_Raw!$A:$A,Input_Raw!$DC:$DC),"")</f>
        <v/>
      </c>
      <c r="M346" s="200" t="str">
        <f>IFERROR(_xlfn.XLOOKUP($A346,Input_Raw!$A:$A,Input_Raw!$DF:$DF),"")</f>
        <v/>
      </c>
      <c r="N346" s="200" t="str">
        <f>IFERROR(_xlfn.XLOOKUP($A346,Input_Raw!$A:$A,Input_Raw!$DG:$DG),"")</f>
        <v/>
      </c>
      <c r="O346" s="230" t="str">
        <f>IFERROR(1-(SUMIF(Plant_BD!$B:$B,$A346,Plant_BD!$AL:$AL)/($AA346+SUMIF(Plant_BD!$B:$B,$A346,Plant_BD!$AL:$AL))),"")</f>
        <v/>
      </c>
      <c r="P346" s="230"/>
      <c r="Q346" s="231" t="str">
        <f>IFERROR(1-(SUMIF(Grid_BD!$B:$B,$A346,Grid_BD!$V:$V)/($AA346+SUMIF(Grid_BD!$B:$B,$A346,Grid_BD!$V:$V))),"")</f>
        <v/>
      </c>
      <c r="R346" s="230" t="str">
        <f>IFERROR(1-(SUMIF(Grid_BD!$B:$B,$A346,Grid_BD!$V:$V)/($AA346+SUMIF(Grid_BD!$B:$B,$A346,Grid_BD!$V:$V))),"")</f>
        <v/>
      </c>
      <c r="S346" s="9"/>
      <c r="T346" s="231"/>
      <c r="U346" s="232" t="str">
        <f t="shared" si="26"/>
        <v/>
      </c>
      <c r="V346" s="232" t="str">
        <f>IFERROR(_xlfn.XLOOKUP($A346,Input_Raw!$A:$A,Input_Raw!$FG:$FG),"")</f>
        <v/>
      </c>
      <c r="W346" s="233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85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33">
        <f>IFERROR(_xlfn.XLOOKUP($D346,'Modelling New'!$D:$D,'Modelling New'!O:O),"")</f>
        <v>0.80591076761496216</v>
      </c>
      <c r="AF346" s="233">
        <f>IFERROR(_xlfn.XLOOKUP($D346,'Modelling New'!$D:$D,'Modelling New'!W:W),"")</f>
        <v>0.23245759506743396</v>
      </c>
      <c r="AG346" s="233">
        <f>IFERROR(_xlfn.XLOOKUP($D346,'Modelling New'!$D:$D,'Modelling New'!AE:AE),"")</f>
        <v>0.995</v>
      </c>
      <c r="AH346" s="233">
        <f>IFERROR(_xlfn.XLOOKUP($D346,'Modelling New'!$D:$D,'Modelling New'!AF:AF),"")</f>
        <v>0.995</v>
      </c>
      <c r="AI346" s="9"/>
      <c r="AJ346" s="9"/>
      <c r="AK346" s="256"/>
      <c r="AL346" s="256"/>
      <c r="AM346" s="256"/>
      <c r="AN346" s="230"/>
      <c r="AO346" s="233"/>
      <c r="AP346" s="233"/>
      <c r="AQ346" s="233"/>
      <c r="AR346" s="234">
        <f>_xlfn.XLOOKUP(D346,'Modelling New'!$D:$D,'Modelling New'!$N:$N)</f>
        <v>130</v>
      </c>
      <c r="AS346" s="234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29">
        <f>Table13[[#This Row],[Date]]-DAY(Table13[[#This Row],[Date]])+1</f>
        <v>46082</v>
      </c>
      <c r="E347" s="9">
        <f t="shared" si="25"/>
        <v>31</v>
      </c>
      <c r="F347" s="199" t="str">
        <f>IFERROR(_xlfn.XLOOKUP($A347,Input_Raw!$A:$A,Input_Raw!$FC:$FC),"")</f>
        <v/>
      </c>
      <c r="G347" s="185" t="str">
        <f>IFERROR(_xlfn.XLOOKUP($A347,Input_Raw!$A:$A,Input_Raw!$CY:$CY),"")</f>
        <v/>
      </c>
      <c r="H347" s="185" t="str">
        <f>IFERROR(_xlfn.XLOOKUP($A347,Input_Raw!$A:$A,Input_Raw!$DA:$DA),"")</f>
        <v/>
      </c>
      <c r="I347" s="185" t="str">
        <f>IFERROR(_xlfn.XLOOKUP($A347,Input_Raw!$A:$A,Input_Raw!$CX:$CX),"")</f>
        <v/>
      </c>
      <c r="J347" s="185" t="str">
        <f>IFERROR(_xlfn.XLOOKUP($A347,Input_Raw!$A:$A,Input_Raw!$CZ:$CZ),"")</f>
        <v/>
      </c>
      <c r="K347" s="201" t="str">
        <f>IFERROR(_xlfn.XLOOKUP($A347,Input_Raw!$A:$A,Input_Raw!$DB:$DB),"")</f>
        <v/>
      </c>
      <c r="L347" s="201" t="str">
        <f>IFERROR(_xlfn.XLOOKUP($A347,Input_Raw!$A:$A,Input_Raw!$DC:$DC),"")</f>
        <v/>
      </c>
      <c r="M347" s="200" t="str">
        <f>IFERROR(_xlfn.XLOOKUP($A347,Input_Raw!$A:$A,Input_Raw!$DF:$DF),"")</f>
        <v/>
      </c>
      <c r="N347" s="200" t="str">
        <f>IFERROR(_xlfn.XLOOKUP($A347,Input_Raw!$A:$A,Input_Raw!$DG:$DG),"")</f>
        <v/>
      </c>
      <c r="O347" s="230" t="str">
        <f>IFERROR(1-(SUMIF(Plant_BD!$B:$B,$A347,Plant_BD!$AL:$AL)/($AA347+SUMIF(Plant_BD!$B:$B,$A347,Plant_BD!$AL:$AL))),"")</f>
        <v/>
      </c>
      <c r="P347" s="230"/>
      <c r="Q347" s="231" t="str">
        <f>IFERROR(1-(SUMIF(Grid_BD!$B:$B,$A347,Grid_BD!$V:$V)/($AA347+SUMIF(Grid_BD!$B:$B,$A347,Grid_BD!$V:$V))),"")</f>
        <v/>
      </c>
      <c r="R347" s="230" t="str">
        <f>IFERROR(1-(SUMIF(Grid_BD!$B:$B,$A347,Grid_BD!$V:$V)/($AA347+SUMIF(Grid_BD!$B:$B,$A347,Grid_BD!$V:$V))),"")</f>
        <v/>
      </c>
      <c r="S347" s="9"/>
      <c r="T347" s="231"/>
      <c r="U347" s="232" t="str">
        <f t="shared" si="26"/>
        <v/>
      </c>
      <c r="V347" s="232" t="str">
        <f>IFERROR(_xlfn.XLOOKUP($A347,Input_Raw!$A:$A,Input_Raw!$FG:$FG),"")</f>
        <v/>
      </c>
      <c r="W347" s="233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85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33">
        <f>IFERROR(_xlfn.XLOOKUP($D347,'Modelling New'!$D:$D,'Modelling New'!O:O),"")</f>
        <v>0.80591076761496216</v>
      </c>
      <c r="AF347" s="233">
        <f>IFERROR(_xlfn.XLOOKUP($D347,'Modelling New'!$D:$D,'Modelling New'!W:W),"")</f>
        <v>0.23245759506743396</v>
      </c>
      <c r="AG347" s="233">
        <f>IFERROR(_xlfn.XLOOKUP($D347,'Modelling New'!$D:$D,'Modelling New'!AE:AE),"")</f>
        <v>0.995</v>
      </c>
      <c r="AH347" s="233">
        <f>IFERROR(_xlfn.XLOOKUP($D347,'Modelling New'!$D:$D,'Modelling New'!AF:AF),"")</f>
        <v>0.995</v>
      </c>
      <c r="AI347" s="9"/>
      <c r="AJ347" s="9"/>
      <c r="AK347" s="256"/>
      <c r="AL347" s="256"/>
      <c r="AM347" s="256"/>
      <c r="AN347" s="230"/>
      <c r="AO347" s="233"/>
      <c r="AP347" s="233"/>
      <c r="AQ347" s="233"/>
      <c r="AR347" s="234">
        <f>_xlfn.XLOOKUP(D347,'Modelling New'!$D:$D,'Modelling New'!$N:$N)</f>
        <v>130</v>
      </c>
      <c r="AS347" s="234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29">
        <f>Table13[[#This Row],[Date]]-DAY(Table13[[#This Row],[Date]])+1</f>
        <v>46082</v>
      </c>
      <c r="E348" s="9">
        <f t="shared" si="25"/>
        <v>31</v>
      </c>
      <c r="F348" s="199" t="str">
        <f>IFERROR(_xlfn.XLOOKUP($A348,Input_Raw!$A:$A,Input_Raw!$FC:$FC),"")</f>
        <v/>
      </c>
      <c r="G348" s="200" t="str">
        <f>IFERROR(_xlfn.XLOOKUP($A348,Input_Raw!$A:$A,Input_Raw!$CY:$CY),"")</f>
        <v/>
      </c>
      <c r="H348" s="200" t="str">
        <f>IFERROR(_xlfn.XLOOKUP($A348,Input_Raw!$A:$A,Input_Raw!$DA:$DA),"")</f>
        <v/>
      </c>
      <c r="I348" s="200" t="str">
        <f>IFERROR(_xlfn.XLOOKUP($A348,Input_Raw!$A:$A,Input_Raw!$CX:$CX),"")</f>
        <v/>
      </c>
      <c r="J348" s="200" t="str">
        <f>IFERROR(_xlfn.XLOOKUP($A348,Input_Raw!$A:$A,Input_Raw!$CZ:$CZ),"")</f>
        <v/>
      </c>
      <c r="K348" s="201" t="str">
        <f>IFERROR(_xlfn.XLOOKUP($A348,Input_Raw!$A:$A,Input_Raw!$DB:$DB),"")</f>
        <v/>
      </c>
      <c r="L348" s="201" t="str">
        <f>IFERROR(_xlfn.XLOOKUP($A348,Input_Raw!$A:$A,Input_Raw!$DC:$DC),"")</f>
        <v/>
      </c>
      <c r="M348" s="200" t="str">
        <f>IFERROR(_xlfn.XLOOKUP($A348,Input_Raw!$A:$A,Input_Raw!$DF:$DF),"")</f>
        <v/>
      </c>
      <c r="N348" s="200" t="str">
        <f>IFERROR(_xlfn.XLOOKUP($A348,Input_Raw!$A:$A,Input_Raw!$DG:$DG),"")</f>
        <v/>
      </c>
      <c r="O348" s="230" t="str">
        <f>IFERROR(1-(SUMIF(Plant_BD!$B:$B,$A348,Plant_BD!$AL:$AL)/($AA348+SUMIF(Plant_BD!$B:$B,$A348,Plant_BD!$AL:$AL))),"")</f>
        <v/>
      </c>
      <c r="P348" s="230"/>
      <c r="Q348" s="231" t="str">
        <f>IFERROR(1-(SUMIF(Grid_BD!$B:$B,$A348,Grid_BD!$V:$V)/($AA348+SUMIF(Grid_BD!$B:$B,$A348,Grid_BD!$V:$V))),"")</f>
        <v/>
      </c>
      <c r="R348" s="230" t="str">
        <f>IFERROR(1-(SUMIF(Grid_BD!$B:$B,$A348,Grid_BD!$V:$V)/($AA348+SUMIF(Grid_BD!$B:$B,$A348,Grid_BD!$V:$V))),"")</f>
        <v/>
      </c>
      <c r="S348" s="9"/>
      <c r="T348" s="231"/>
      <c r="U348" s="232" t="str">
        <f t="shared" si="26"/>
        <v/>
      </c>
      <c r="V348" s="232" t="str">
        <f>IFERROR(_xlfn.XLOOKUP($A348,Input_Raw!$A:$A,Input_Raw!$FG:$FG),"")</f>
        <v/>
      </c>
      <c r="W348" s="233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85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33">
        <f>IFERROR(_xlfn.XLOOKUP($D348,'Modelling New'!$D:$D,'Modelling New'!O:O),"")</f>
        <v>0.80591076761496216</v>
      </c>
      <c r="AF348" s="233">
        <f>IFERROR(_xlfn.XLOOKUP($D348,'Modelling New'!$D:$D,'Modelling New'!W:W),"")</f>
        <v>0.23245759506743396</v>
      </c>
      <c r="AG348" s="233">
        <f>IFERROR(_xlfn.XLOOKUP($D348,'Modelling New'!$D:$D,'Modelling New'!AE:AE),"")</f>
        <v>0.995</v>
      </c>
      <c r="AH348" s="233">
        <f>IFERROR(_xlfn.XLOOKUP($D348,'Modelling New'!$D:$D,'Modelling New'!AF:AF),"")</f>
        <v>0.995</v>
      </c>
      <c r="AI348" s="9"/>
      <c r="AJ348" s="9"/>
      <c r="AK348" s="256"/>
      <c r="AL348" s="256"/>
      <c r="AM348" s="256"/>
      <c r="AN348" s="230"/>
      <c r="AO348" s="233"/>
      <c r="AP348" s="233"/>
      <c r="AQ348" s="233"/>
      <c r="AR348" s="234">
        <f>_xlfn.XLOOKUP(D348,'Modelling New'!$D:$D,'Modelling New'!$N:$N)</f>
        <v>130</v>
      </c>
      <c r="AS348" s="234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29">
        <f>Table13[[#This Row],[Date]]-DAY(Table13[[#This Row],[Date]])+1</f>
        <v>46082</v>
      </c>
      <c r="E349" s="9">
        <f t="shared" si="25"/>
        <v>31</v>
      </c>
      <c r="F349" s="199" t="str">
        <f>IFERROR(_xlfn.XLOOKUP($A349,Input_Raw!$A:$A,Input_Raw!$FC:$FC),"")</f>
        <v/>
      </c>
      <c r="G349" s="185" t="str">
        <f>IFERROR(_xlfn.XLOOKUP($A349,Input_Raw!$A:$A,Input_Raw!$CY:$CY),"")</f>
        <v/>
      </c>
      <c r="H349" s="185" t="str">
        <f>IFERROR(_xlfn.XLOOKUP($A349,Input_Raw!$A:$A,Input_Raw!$DA:$DA),"")</f>
        <v/>
      </c>
      <c r="I349" s="185" t="str">
        <f>IFERROR(_xlfn.XLOOKUP($A349,Input_Raw!$A:$A,Input_Raw!$CX:$CX),"")</f>
        <v/>
      </c>
      <c r="J349" s="185" t="str">
        <f>IFERROR(_xlfn.XLOOKUP($A349,Input_Raw!$A:$A,Input_Raw!$CZ:$CZ),"")</f>
        <v/>
      </c>
      <c r="K349" s="201" t="str">
        <f>IFERROR(_xlfn.XLOOKUP($A349,Input_Raw!$A:$A,Input_Raw!$DB:$DB),"")</f>
        <v/>
      </c>
      <c r="L349" s="201" t="str">
        <f>IFERROR(_xlfn.XLOOKUP($A349,Input_Raw!$A:$A,Input_Raw!$DC:$DC),"")</f>
        <v/>
      </c>
      <c r="M349" s="200" t="str">
        <f>IFERROR(_xlfn.XLOOKUP($A349,Input_Raw!$A:$A,Input_Raw!$DF:$DF),"")</f>
        <v/>
      </c>
      <c r="N349" s="200" t="str">
        <f>IFERROR(_xlfn.XLOOKUP($A349,Input_Raw!$A:$A,Input_Raw!$DG:$DG),"")</f>
        <v/>
      </c>
      <c r="O349" s="230" t="str">
        <f>IFERROR(1-(SUMIF(Plant_BD!$B:$B,$A349,Plant_BD!$AL:$AL)/($AA349+SUMIF(Plant_BD!$B:$B,$A349,Plant_BD!$AL:$AL))),"")</f>
        <v/>
      </c>
      <c r="P349" s="230"/>
      <c r="Q349" s="231" t="str">
        <f>IFERROR(1-(SUMIF(Grid_BD!$B:$B,$A349,Grid_BD!$V:$V)/($AA349+SUMIF(Grid_BD!$B:$B,$A349,Grid_BD!$V:$V))),"")</f>
        <v/>
      </c>
      <c r="R349" s="230" t="str">
        <f>IFERROR(1-(SUMIF(Grid_BD!$B:$B,$A349,Grid_BD!$V:$V)/($AA349+SUMIF(Grid_BD!$B:$B,$A349,Grid_BD!$V:$V))),"")</f>
        <v/>
      </c>
      <c r="S349" s="9"/>
      <c r="T349" s="231"/>
      <c r="U349" s="232" t="str">
        <f t="shared" si="26"/>
        <v/>
      </c>
      <c r="V349" s="232" t="str">
        <f>IFERROR(_xlfn.XLOOKUP($A349,Input_Raw!$A:$A,Input_Raw!$FG:$FG),"")</f>
        <v/>
      </c>
      <c r="W349" s="233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85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33">
        <f>IFERROR(_xlfn.XLOOKUP($D349,'Modelling New'!$D:$D,'Modelling New'!O:O),"")</f>
        <v>0.80591076761496216</v>
      </c>
      <c r="AF349" s="233">
        <f>IFERROR(_xlfn.XLOOKUP($D349,'Modelling New'!$D:$D,'Modelling New'!W:W),"")</f>
        <v>0.23245759506743396</v>
      </c>
      <c r="AG349" s="233">
        <f>IFERROR(_xlfn.XLOOKUP($D349,'Modelling New'!$D:$D,'Modelling New'!AE:AE),"")</f>
        <v>0.995</v>
      </c>
      <c r="AH349" s="233">
        <f>IFERROR(_xlfn.XLOOKUP($D349,'Modelling New'!$D:$D,'Modelling New'!AF:AF),"")</f>
        <v>0.995</v>
      </c>
      <c r="AI349" s="9"/>
      <c r="AJ349" s="9"/>
      <c r="AK349" s="256"/>
      <c r="AL349" s="256"/>
      <c r="AM349" s="256"/>
      <c r="AN349" s="230"/>
      <c r="AO349" s="233"/>
      <c r="AP349" s="233"/>
      <c r="AQ349" s="233"/>
      <c r="AR349" s="234">
        <f>_xlfn.XLOOKUP(D349,'Modelling New'!$D:$D,'Modelling New'!$N:$N)</f>
        <v>130</v>
      </c>
      <c r="AS349" s="234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29">
        <f>Table13[[#This Row],[Date]]-DAY(Table13[[#This Row],[Date]])+1</f>
        <v>46082</v>
      </c>
      <c r="E350" s="9">
        <f t="shared" si="25"/>
        <v>31</v>
      </c>
      <c r="F350" s="199" t="str">
        <f>IFERROR(_xlfn.XLOOKUP($A350,Input_Raw!$A:$A,Input_Raw!$FC:$FC),"")</f>
        <v/>
      </c>
      <c r="G350" s="200" t="str">
        <f>IFERROR(_xlfn.XLOOKUP($A350,Input_Raw!$A:$A,Input_Raw!$CY:$CY),"")</f>
        <v/>
      </c>
      <c r="H350" s="200" t="str">
        <f>IFERROR(_xlfn.XLOOKUP($A350,Input_Raw!$A:$A,Input_Raw!$DA:$DA),"")</f>
        <v/>
      </c>
      <c r="I350" s="200" t="str">
        <f>IFERROR(_xlfn.XLOOKUP($A350,Input_Raw!$A:$A,Input_Raw!$CX:$CX),"")</f>
        <v/>
      </c>
      <c r="J350" s="200" t="str">
        <f>IFERROR(_xlfn.XLOOKUP($A350,Input_Raw!$A:$A,Input_Raw!$CZ:$CZ),"")</f>
        <v/>
      </c>
      <c r="K350" s="201" t="str">
        <f>IFERROR(_xlfn.XLOOKUP($A350,Input_Raw!$A:$A,Input_Raw!$DB:$DB),"")</f>
        <v/>
      </c>
      <c r="L350" s="201" t="str">
        <f>IFERROR(_xlfn.XLOOKUP($A350,Input_Raw!$A:$A,Input_Raw!$DC:$DC),"")</f>
        <v/>
      </c>
      <c r="M350" s="200" t="str">
        <f>IFERROR(_xlfn.XLOOKUP($A350,Input_Raw!$A:$A,Input_Raw!$DF:$DF),"")</f>
        <v/>
      </c>
      <c r="N350" s="200" t="str">
        <f>IFERROR(_xlfn.XLOOKUP($A350,Input_Raw!$A:$A,Input_Raw!$DG:$DG),"")</f>
        <v/>
      </c>
      <c r="O350" s="230" t="str">
        <f>IFERROR(1-(SUMIF(Plant_BD!$B:$B,$A350,Plant_BD!$AL:$AL)/($AA350+SUMIF(Plant_BD!$B:$B,$A350,Plant_BD!$AL:$AL))),"")</f>
        <v/>
      </c>
      <c r="P350" s="230"/>
      <c r="Q350" s="231" t="str">
        <f>IFERROR(1-(SUMIF(Grid_BD!$B:$B,$A350,Grid_BD!$V:$V)/($AA350+SUMIF(Grid_BD!$B:$B,$A350,Grid_BD!$V:$V))),"")</f>
        <v/>
      </c>
      <c r="R350" s="230" t="str">
        <f>IFERROR(1-(SUMIF(Grid_BD!$B:$B,$A350,Grid_BD!$V:$V)/($AA350+SUMIF(Grid_BD!$B:$B,$A350,Grid_BD!$V:$V))),"")</f>
        <v/>
      </c>
      <c r="S350" s="9"/>
      <c r="T350" s="231"/>
      <c r="U350" s="232" t="str">
        <f t="shared" si="26"/>
        <v/>
      </c>
      <c r="V350" s="232" t="str">
        <f>IFERROR(_xlfn.XLOOKUP($A350,Input_Raw!$A:$A,Input_Raw!$FG:$FG),"")</f>
        <v/>
      </c>
      <c r="W350" s="233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85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33">
        <f>IFERROR(_xlfn.XLOOKUP($D350,'Modelling New'!$D:$D,'Modelling New'!O:O),"")</f>
        <v>0.80591076761496216</v>
      </c>
      <c r="AF350" s="233">
        <f>IFERROR(_xlfn.XLOOKUP($D350,'Modelling New'!$D:$D,'Modelling New'!W:W),"")</f>
        <v>0.23245759506743396</v>
      </c>
      <c r="AG350" s="233">
        <f>IFERROR(_xlfn.XLOOKUP($D350,'Modelling New'!$D:$D,'Modelling New'!AE:AE),"")</f>
        <v>0.995</v>
      </c>
      <c r="AH350" s="233">
        <f>IFERROR(_xlfn.XLOOKUP($D350,'Modelling New'!$D:$D,'Modelling New'!AF:AF),"")</f>
        <v>0.995</v>
      </c>
      <c r="AI350" s="9"/>
      <c r="AJ350" s="9"/>
      <c r="AK350" s="256"/>
      <c r="AL350" s="256"/>
      <c r="AM350" s="256"/>
      <c r="AN350" s="230"/>
      <c r="AO350" s="233"/>
      <c r="AP350" s="233"/>
      <c r="AQ350" s="233"/>
      <c r="AR350" s="234">
        <f>_xlfn.XLOOKUP(D350,'Modelling New'!$D:$D,'Modelling New'!$N:$N)</f>
        <v>130</v>
      </c>
      <c r="AS350" s="234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29">
        <f>Table13[[#This Row],[Date]]-DAY(Table13[[#This Row],[Date]])+1</f>
        <v>46082</v>
      </c>
      <c r="E351" s="9">
        <f t="shared" si="25"/>
        <v>31</v>
      </c>
      <c r="F351" s="199" t="str">
        <f>IFERROR(_xlfn.XLOOKUP($A351,Input_Raw!$A:$A,Input_Raw!$FC:$FC),"")</f>
        <v/>
      </c>
      <c r="G351" s="185" t="str">
        <f>IFERROR(_xlfn.XLOOKUP($A351,Input_Raw!$A:$A,Input_Raw!$CY:$CY),"")</f>
        <v/>
      </c>
      <c r="H351" s="185" t="str">
        <f>IFERROR(_xlfn.XLOOKUP($A351,Input_Raw!$A:$A,Input_Raw!$DA:$DA),"")</f>
        <v/>
      </c>
      <c r="I351" s="185" t="str">
        <f>IFERROR(_xlfn.XLOOKUP($A351,Input_Raw!$A:$A,Input_Raw!$CX:$CX),"")</f>
        <v/>
      </c>
      <c r="J351" s="185" t="str">
        <f>IFERROR(_xlfn.XLOOKUP($A351,Input_Raw!$A:$A,Input_Raw!$CZ:$CZ),"")</f>
        <v/>
      </c>
      <c r="K351" s="201" t="str">
        <f>IFERROR(_xlfn.XLOOKUP($A351,Input_Raw!$A:$A,Input_Raw!$DB:$DB),"")</f>
        <v/>
      </c>
      <c r="L351" s="201" t="str">
        <f>IFERROR(_xlfn.XLOOKUP($A351,Input_Raw!$A:$A,Input_Raw!$DC:$DC),"")</f>
        <v/>
      </c>
      <c r="M351" s="200" t="str">
        <f>IFERROR(_xlfn.XLOOKUP($A351,Input_Raw!$A:$A,Input_Raw!$DF:$DF),"")</f>
        <v/>
      </c>
      <c r="N351" s="200" t="str">
        <f>IFERROR(_xlfn.XLOOKUP($A351,Input_Raw!$A:$A,Input_Raw!$DG:$DG),"")</f>
        <v/>
      </c>
      <c r="O351" s="230" t="str">
        <f>IFERROR(1-(SUMIF(Plant_BD!$B:$B,$A351,Plant_BD!$AL:$AL)/($AA351+SUMIF(Plant_BD!$B:$B,$A351,Plant_BD!$AL:$AL))),"")</f>
        <v/>
      </c>
      <c r="P351" s="230"/>
      <c r="Q351" s="231" t="str">
        <f>IFERROR(1-(SUMIF(Grid_BD!$B:$B,$A351,Grid_BD!$V:$V)/($AA351+SUMIF(Grid_BD!$B:$B,$A351,Grid_BD!$V:$V))),"")</f>
        <v/>
      </c>
      <c r="R351" s="230" t="str">
        <f>IFERROR(1-(SUMIF(Grid_BD!$B:$B,$A351,Grid_BD!$V:$V)/($AA351+SUMIF(Grid_BD!$B:$B,$A351,Grid_BD!$V:$V))),"")</f>
        <v/>
      </c>
      <c r="S351" s="9"/>
      <c r="T351" s="231"/>
      <c r="U351" s="232" t="str">
        <f t="shared" si="26"/>
        <v/>
      </c>
      <c r="V351" s="232" t="str">
        <f>IFERROR(_xlfn.XLOOKUP($A351,Input_Raw!$A:$A,Input_Raw!$FG:$FG),"")</f>
        <v/>
      </c>
      <c r="W351" s="233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85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33">
        <f>IFERROR(_xlfn.XLOOKUP($D351,'Modelling New'!$D:$D,'Modelling New'!O:O),"")</f>
        <v>0.80591076761496216</v>
      </c>
      <c r="AF351" s="233">
        <f>IFERROR(_xlfn.XLOOKUP($D351,'Modelling New'!$D:$D,'Modelling New'!W:W),"")</f>
        <v>0.23245759506743396</v>
      </c>
      <c r="AG351" s="233">
        <f>IFERROR(_xlfn.XLOOKUP($D351,'Modelling New'!$D:$D,'Modelling New'!AE:AE),"")</f>
        <v>0.995</v>
      </c>
      <c r="AH351" s="233">
        <f>IFERROR(_xlfn.XLOOKUP($D351,'Modelling New'!$D:$D,'Modelling New'!AF:AF),"")</f>
        <v>0.995</v>
      </c>
      <c r="AI351" s="9"/>
      <c r="AJ351" s="9"/>
      <c r="AK351" s="256"/>
      <c r="AL351" s="256"/>
      <c r="AM351" s="256"/>
      <c r="AN351" s="230"/>
      <c r="AO351" s="233"/>
      <c r="AP351" s="233"/>
      <c r="AQ351" s="233"/>
      <c r="AR351" s="234">
        <f>_xlfn.XLOOKUP(D351,'Modelling New'!$D:$D,'Modelling New'!$N:$N)</f>
        <v>130</v>
      </c>
      <c r="AS351" s="234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29">
        <f>Table13[[#This Row],[Date]]-DAY(Table13[[#This Row],[Date]])+1</f>
        <v>46082</v>
      </c>
      <c r="E352" s="9">
        <f t="shared" si="25"/>
        <v>31</v>
      </c>
      <c r="F352" s="199" t="str">
        <f>IFERROR(_xlfn.XLOOKUP($A352,Input_Raw!$A:$A,Input_Raw!$FC:$FC),"")</f>
        <v/>
      </c>
      <c r="G352" s="200" t="str">
        <f>IFERROR(_xlfn.XLOOKUP($A352,Input_Raw!$A:$A,Input_Raw!$CY:$CY),"")</f>
        <v/>
      </c>
      <c r="H352" s="200" t="str">
        <f>IFERROR(_xlfn.XLOOKUP($A352,Input_Raw!$A:$A,Input_Raw!$DA:$DA),"")</f>
        <v/>
      </c>
      <c r="I352" s="200" t="str">
        <f>IFERROR(_xlfn.XLOOKUP($A352,Input_Raw!$A:$A,Input_Raw!$CX:$CX),"")</f>
        <v/>
      </c>
      <c r="J352" s="200" t="str">
        <f>IFERROR(_xlfn.XLOOKUP($A352,Input_Raw!$A:$A,Input_Raw!$CZ:$CZ),"")</f>
        <v/>
      </c>
      <c r="K352" s="201" t="str">
        <f>IFERROR(_xlfn.XLOOKUP($A352,Input_Raw!$A:$A,Input_Raw!$DB:$DB),"")</f>
        <v/>
      </c>
      <c r="L352" s="201" t="str">
        <f>IFERROR(_xlfn.XLOOKUP($A352,Input_Raw!$A:$A,Input_Raw!$DC:$DC),"")</f>
        <v/>
      </c>
      <c r="M352" s="200" t="str">
        <f>IFERROR(_xlfn.XLOOKUP($A352,Input_Raw!$A:$A,Input_Raw!$DF:$DF),"")</f>
        <v/>
      </c>
      <c r="N352" s="200" t="str">
        <f>IFERROR(_xlfn.XLOOKUP($A352,Input_Raw!$A:$A,Input_Raw!$DG:$DG),"")</f>
        <v/>
      </c>
      <c r="O352" s="230" t="str">
        <f>IFERROR(1-(SUMIF(Plant_BD!$B:$B,$A352,Plant_BD!$AL:$AL)/($AA352+SUMIF(Plant_BD!$B:$B,$A352,Plant_BD!$AL:$AL))),"")</f>
        <v/>
      </c>
      <c r="P352" s="230"/>
      <c r="Q352" s="231" t="str">
        <f>IFERROR(1-(SUMIF(Grid_BD!$B:$B,$A352,Grid_BD!$V:$V)/($AA352+SUMIF(Grid_BD!$B:$B,$A352,Grid_BD!$V:$V))),"")</f>
        <v/>
      </c>
      <c r="R352" s="230" t="str">
        <f>IFERROR(1-(SUMIF(Grid_BD!$B:$B,$A352,Grid_BD!$V:$V)/($AA352+SUMIF(Grid_BD!$B:$B,$A352,Grid_BD!$V:$V))),"")</f>
        <v/>
      </c>
      <c r="S352" s="9"/>
      <c r="T352" s="231"/>
      <c r="U352" s="232" t="str">
        <f t="shared" si="26"/>
        <v/>
      </c>
      <c r="V352" s="232" t="str">
        <f>IFERROR(_xlfn.XLOOKUP($A352,Input_Raw!$A:$A,Input_Raw!$FG:$FG),"")</f>
        <v/>
      </c>
      <c r="W352" s="233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85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33">
        <f>IFERROR(_xlfn.XLOOKUP($D352,'Modelling New'!$D:$D,'Modelling New'!O:O),"")</f>
        <v>0.80591076761496216</v>
      </c>
      <c r="AF352" s="233">
        <f>IFERROR(_xlfn.XLOOKUP($D352,'Modelling New'!$D:$D,'Modelling New'!W:W),"")</f>
        <v>0.23245759506743396</v>
      </c>
      <c r="AG352" s="233">
        <f>IFERROR(_xlfn.XLOOKUP($D352,'Modelling New'!$D:$D,'Modelling New'!AE:AE),"")</f>
        <v>0.995</v>
      </c>
      <c r="AH352" s="233">
        <f>IFERROR(_xlfn.XLOOKUP($D352,'Modelling New'!$D:$D,'Modelling New'!AF:AF),"")</f>
        <v>0.995</v>
      </c>
      <c r="AI352" s="9"/>
      <c r="AJ352" s="9"/>
      <c r="AK352" s="256"/>
      <c r="AL352" s="256"/>
      <c r="AM352" s="256"/>
      <c r="AN352" s="230"/>
      <c r="AO352" s="233"/>
      <c r="AP352" s="233"/>
      <c r="AQ352" s="233"/>
      <c r="AR352" s="234">
        <f>_xlfn.XLOOKUP(D352,'Modelling New'!$D:$D,'Modelling New'!$N:$N)</f>
        <v>130</v>
      </c>
      <c r="AS352" s="234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29">
        <f>Table13[[#This Row],[Date]]-DAY(Table13[[#This Row],[Date]])+1</f>
        <v>46082</v>
      </c>
      <c r="E353" s="9">
        <f t="shared" si="25"/>
        <v>31</v>
      </c>
      <c r="F353" s="199" t="str">
        <f>IFERROR(_xlfn.XLOOKUP($A353,Input_Raw!$A:$A,Input_Raw!$FC:$FC),"")</f>
        <v/>
      </c>
      <c r="G353" s="185" t="str">
        <f>IFERROR(_xlfn.XLOOKUP($A353,Input_Raw!$A:$A,Input_Raw!$CY:$CY),"")</f>
        <v/>
      </c>
      <c r="H353" s="185" t="str">
        <f>IFERROR(_xlfn.XLOOKUP($A353,Input_Raw!$A:$A,Input_Raw!$DA:$DA),"")</f>
        <v/>
      </c>
      <c r="I353" s="185" t="str">
        <f>IFERROR(_xlfn.XLOOKUP($A353,Input_Raw!$A:$A,Input_Raw!$CX:$CX),"")</f>
        <v/>
      </c>
      <c r="J353" s="185" t="str">
        <f>IFERROR(_xlfn.XLOOKUP($A353,Input_Raw!$A:$A,Input_Raw!$CZ:$CZ),"")</f>
        <v/>
      </c>
      <c r="K353" s="201" t="str">
        <f>IFERROR(_xlfn.XLOOKUP($A353,Input_Raw!$A:$A,Input_Raw!$DB:$DB),"")</f>
        <v/>
      </c>
      <c r="L353" s="201" t="str">
        <f>IFERROR(_xlfn.XLOOKUP($A353,Input_Raw!$A:$A,Input_Raw!$DC:$DC),"")</f>
        <v/>
      </c>
      <c r="M353" s="200" t="str">
        <f>IFERROR(_xlfn.XLOOKUP($A353,Input_Raw!$A:$A,Input_Raw!$DF:$DF),"")</f>
        <v/>
      </c>
      <c r="N353" s="200" t="str">
        <f>IFERROR(_xlfn.XLOOKUP($A353,Input_Raw!$A:$A,Input_Raw!$DG:$DG),"")</f>
        <v/>
      </c>
      <c r="O353" s="230" t="str">
        <f>IFERROR(1-(SUMIF(Plant_BD!$B:$B,$A353,Plant_BD!$AL:$AL)/($AA353+SUMIF(Plant_BD!$B:$B,$A353,Plant_BD!$AL:$AL))),"")</f>
        <v/>
      </c>
      <c r="P353" s="230"/>
      <c r="Q353" s="231" t="str">
        <f>IFERROR(1-(SUMIF(Grid_BD!$B:$B,$A353,Grid_BD!$V:$V)/($AA353+SUMIF(Grid_BD!$B:$B,$A353,Grid_BD!$V:$V))),"")</f>
        <v/>
      </c>
      <c r="R353" s="230" t="str">
        <f>IFERROR(1-(SUMIF(Grid_BD!$B:$B,$A353,Grid_BD!$V:$V)/($AA353+SUMIF(Grid_BD!$B:$B,$A353,Grid_BD!$V:$V))),"")</f>
        <v/>
      </c>
      <c r="S353" s="9"/>
      <c r="T353" s="231"/>
      <c r="U353" s="232" t="str">
        <f t="shared" si="26"/>
        <v/>
      </c>
      <c r="V353" s="232" t="str">
        <f>IFERROR(_xlfn.XLOOKUP($A353,Input_Raw!$A:$A,Input_Raw!$FG:$FG),"")</f>
        <v/>
      </c>
      <c r="W353" s="233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85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33">
        <f>IFERROR(_xlfn.XLOOKUP($D353,'Modelling New'!$D:$D,'Modelling New'!O:O),"")</f>
        <v>0.80591076761496216</v>
      </c>
      <c r="AF353" s="233">
        <f>IFERROR(_xlfn.XLOOKUP($D353,'Modelling New'!$D:$D,'Modelling New'!W:W),"")</f>
        <v>0.23245759506743396</v>
      </c>
      <c r="AG353" s="233">
        <f>IFERROR(_xlfn.XLOOKUP($D353,'Modelling New'!$D:$D,'Modelling New'!AE:AE),"")</f>
        <v>0.995</v>
      </c>
      <c r="AH353" s="233">
        <f>IFERROR(_xlfn.XLOOKUP($D353,'Modelling New'!$D:$D,'Modelling New'!AF:AF),"")</f>
        <v>0.995</v>
      </c>
      <c r="AI353" s="9"/>
      <c r="AJ353" s="9"/>
      <c r="AK353" s="256"/>
      <c r="AL353" s="256"/>
      <c r="AM353" s="256"/>
      <c r="AN353" s="230"/>
      <c r="AO353" s="233"/>
      <c r="AP353" s="233"/>
      <c r="AQ353" s="233"/>
      <c r="AR353" s="234">
        <f>_xlfn.XLOOKUP(D353,'Modelling New'!$D:$D,'Modelling New'!$N:$N)</f>
        <v>130</v>
      </c>
      <c r="AS353" s="234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29">
        <f>Table13[[#This Row],[Date]]-DAY(Table13[[#This Row],[Date]])+1</f>
        <v>46082</v>
      </c>
      <c r="E354" s="9">
        <f t="shared" si="25"/>
        <v>31</v>
      </c>
      <c r="F354" s="199" t="str">
        <f>IFERROR(_xlfn.XLOOKUP($A354,Input_Raw!$A:$A,Input_Raw!$FC:$FC),"")</f>
        <v/>
      </c>
      <c r="G354" s="200" t="str">
        <f>IFERROR(_xlfn.XLOOKUP($A354,Input_Raw!$A:$A,Input_Raw!$CY:$CY),"")</f>
        <v/>
      </c>
      <c r="H354" s="200" t="str">
        <f>IFERROR(_xlfn.XLOOKUP($A354,Input_Raw!$A:$A,Input_Raw!$DA:$DA),"")</f>
        <v/>
      </c>
      <c r="I354" s="200" t="str">
        <f>IFERROR(_xlfn.XLOOKUP($A354,Input_Raw!$A:$A,Input_Raw!$CX:$CX),"")</f>
        <v/>
      </c>
      <c r="J354" s="200" t="str">
        <f>IFERROR(_xlfn.XLOOKUP($A354,Input_Raw!$A:$A,Input_Raw!$CZ:$CZ),"")</f>
        <v/>
      </c>
      <c r="K354" s="201" t="str">
        <f>IFERROR(_xlfn.XLOOKUP($A354,Input_Raw!$A:$A,Input_Raw!$DB:$DB),"")</f>
        <v/>
      </c>
      <c r="L354" s="201" t="str">
        <f>IFERROR(_xlfn.XLOOKUP($A354,Input_Raw!$A:$A,Input_Raw!$DC:$DC),"")</f>
        <v/>
      </c>
      <c r="M354" s="200" t="str">
        <f>IFERROR(_xlfn.XLOOKUP($A354,Input_Raw!$A:$A,Input_Raw!$DF:$DF),"")</f>
        <v/>
      </c>
      <c r="N354" s="200" t="str">
        <f>IFERROR(_xlfn.XLOOKUP($A354,Input_Raw!$A:$A,Input_Raw!$DG:$DG),"")</f>
        <v/>
      </c>
      <c r="O354" s="230" t="str">
        <f>IFERROR(1-(SUMIF(Plant_BD!$B:$B,$A354,Plant_BD!$AL:$AL)/($AA354+SUMIF(Plant_BD!$B:$B,$A354,Plant_BD!$AL:$AL))),"")</f>
        <v/>
      </c>
      <c r="P354" s="230"/>
      <c r="Q354" s="231" t="str">
        <f>IFERROR(1-(SUMIF(Grid_BD!$B:$B,$A354,Grid_BD!$V:$V)/($AA354+SUMIF(Grid_BD!$B:$B,$A354,Grid_BD!$V:$V))),"")</f>
        <v/>
      </c>
      <c r="R354" s="230" t="str">
        <f>IFERROR(1-(SUMIF(Grid_BD!$B:$B,$A354,Grid_BD!$V:$V)/($AA354+SUMIF(Grid_BD!$B:$B,$A354,Grid_BD!$V:$V))),"")</f>
        <v/>
      </c>
      <c r="S354" s="9"/>
      <c r="T354" s="231"/>
      <c r="U354" s="232" t="str">
        <f t="shared" si="26"/>
        <v/>
      </c>
      <c r="V354" s="232" t="str">
        <f>IFERROR(_xlfn.XLOOKUP($A354,Input_Raw!$A:$A,Input_Raw!$FG:$FG),"")</f>
        <v/>
      </c>
      <c r="W354" s="233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85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33">
        <f>IFERROR(_xlfn.XLOOKUP($D354,'Modelling New'!$D:$D,'Modelling New'!O:O),"")</f>
        <v>0.80591076761496216</v>
      </c>
      <c r="AF354" s="233">
        <f>IFERROR(_xlfn.XLOOKUP($D354,'Modelling New'!$D:$D,'Modelling New'!W:W),"")</f>
        <v>0.23245759506743396</v>
      </c>
      <c r="AG354" s="233">
        <f>IFERROR(_xlfn.XLOOKUP($D354,'Modelling New'!$D:$D,'Modelling New'!AE:AE),"")</f>
        <v>0.995</v>
      </c>
      <c r="AH354" s="233">
        <f>IFERROR(_xlfn.XLOOKUP($D354,'Modelling New'!$D:$D,'Modelling New'!AF:AF),"")</f>
        <v>0.995</v>
      </c>
      <c r="AI354" s="9"/>
      <c r="AJ354" s="9"/>
      <c r="AK354" s="256"/>
      <c r="AL354" s="256"/>
      <c r="AM354" s="256"/>
      <c r="AN354" s="230"/>
      <c r="AO354" s="233"/>
      <c r="AP354" s="233"/>
      <c r="AQ354" s="233"/>
      <c r="AR354" s="234">
        <f>_xlfn.XLOOKUP(D354,'Modelling New'!$D:$D,'Modelling New'!$N:$N)</f>
        <v>130</v>
      </c>
      <c r="AS354" s="234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29">
        <f>Table13[[#This Row],[Date]]-DAY(Table13[[#This Row],[Date]])+1</f>
        <v>46082</v>
      </c>
      <c r="E355" s="9">
        <f t="shared" si="25"/>
        <v>31</v>
      </c>
      <c r="F355" s="199" t="str">
        <f>IFERROR(_xlfn.XLOOKUP($A355,Input_Raw!$A:$A,Input_Raw!$FC:$FC),"")</f>
        <v/>
      </c>
      <c r="G355" s="185" t="str">
        <f>IFERROR(_xlfn.XLOOKUP($A355,Input_Raw!$A:$A,Input_Raw!$CY:$CY),"")</f>
        <v/>
      </c>
      <c r="H355" s="185" t="str">
        <f>IFERROR(_xlfn.XLOOKUP($A355,Input_Raw!$A:$A,Input_Raw!$DA:$DA),"")</f>
        <v/>
      </c>
      <c r="I355" s="185" t="str">
        <f>IFERROR(_xlfn.XLOOKUP($A355,Input_Raw!$A:$A,Input_Raw!$CX:$CX),"")</f>
        <v/>
      </c>
      <c r="J355" s="185" t="str">
        <f>IFERROR(_xlfn.XLOOKUP($A355,Input_Raw!$A:$A,Input_Raw!$CZ:$CZ),"")</f>
        <v/>
      </c>
      <c r="K355" s="201" t="str">
        <f>IFERROR(_xlfn.XLOOKUP($A355,Input_Raw!$A:$A,Input_Raw!$DB:$DB),"")</f>
        <v/>
      </c>
      <c r="L355" s="201" t="str">
        <f>IFERROR(_xlfn.XLOOKUP($A355,Input_Raw!$A:$A,Input_Raw!$DC:$DC),"")</f>
        <v/>
      </c>
      <c r="M355" s="200" t="str">
        <f>IFERROR(_xlfn.XLOOKUP($A355,Input_Raw!$A:$A,Input_Raw!$DF:$DF),"")</f>
        <v/>
      </c>
      <c r="N355" s="200" t="str">
        <f>IFERROR(_xlfn.XLOOKUP($A355,Input_Raw!$A:$A,Input_Raw!$DG:$DG),"")</f>
        <v/>
      </c>
      <c r="O355" s="230" t="str">
        <f>IFERROR(1-(SUMIF(Plant_BD!$B:$B,$A355,Plant_BD!$AL:$AL)/($AA355+SUMIF(Plant_BD!$B:$B,$A355,Plant_BD!$AL:$AL))),"")</f>
        <v/>
      </c>
      <c r="P355" s="230"/>
      <c r="Q355" s="231" t="str">
        <f>IFERROR(1-(SUMIF(Grid_BD!$B:$B,$A355,Grid_BD!$V:$V)/($AA355+SUMIF(Grid_BD!$B:$B,$A355,Grid_BD!$V:$V))),"")</f>
        <v/>
      </c>
      <c r="R355" s="230" t="str">
        <f>IFERROR(1-(SUMIF(Grid_BD!$B:$B,$A355,Grid_BD!$V:$V)/($AA355+SUMIF(Grid_BD!$B:$B,$A355,Grid_BD!$V:$V))),"")</f>
        <v/>
      </c>
      <c r="S355" s="9"/>
      <c r="T355" s="231"/>
      <c r="U355" s="232" t="str">
        <f t="shared" si="26"/>
        <v/>
      </c>
      <c r="V355" s="232" t="str">
        <f>IFERROR(_xlfn.XLOOKUP($A355,Input_Raw!$A:$A,Input_Raw!$FG:$FG),"")</f>
        <v/>
      </c>
      <c r="W355" s="233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85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33">
        <f>IFERROR(_xlfn.XLOOKUP($D355,'Modelling New'!$D:$D,'Modelling New'!O:O),"")</f>
        <v>0.80591076761496216</v>
      </c>
      <c r="AF355" s="233">
        <f>IFERROR(_xlfn.XLOOKUP($D355,'Modelling New'!$D:$D,'Modelling New'!W:W),"")</f>
        <v>0.23245759506743396</v>
      </c>
      <c r="AG355" s="233">
        <f>IFERROR(_xlfn.XLOOKUP($D355,'Modelling New'!$D:$D,'Modelling New'!AE:AE),"")</f>
        <v>0.995</v>
      </c>
      <c r="AH355" s="233">
        <f>IFERROR(_xlfn.XLOOKUP($D355,'Modelling New'!$D:$D,'Modelling New'!AF:AF),"")</f>
        <v>0.995</v>
      </c>
      <c r="AI355" s="9"/>
      <c r="AJ355" s="9"/>
      <c r="AK355" s="256"/>
      <c r="AL355" s="256"/>
      <c r="AM355" s="256"/>
      <c r="AN355" s="230"/>
      <c r="AO355" s="233"/>
      <c r="AP355" s="233"/>
      <c r="AQ355" s="233"/>
      <c r="AR355" s="234">
        <f>_xlfn.XLOOKUP(D355,'Modelling New'!$D:$D,'Modelling New'!$N:$N)</f>
        <v>130</v>
      </c>
      <c r="AS355" s="234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29">
        <f>Table13[[#This Row],[Date]]-DAY(Table13[[#This Row],[Date]])+1</f>
        <v>46082</v>
      </c>
      <c r="E356" s="9">
        <f t="shared" si="25"/>
        <v>31</v>
      </c>
      <c r="F356" s="199" t="str">
        <f>IFERROR(_xlfn.XLOOKUP($A356,Input_Raw!$A:$A,Input_Raw!$FC:$FC),"")</f>
        <v/>
      </c>
      <c r="G356" s="200" t="str">
        <f>IFERROR(_xlfn.XLOOKUP($A356,Input_Raw!$A:$A,Input_Raw!$CY:$CY),"")</f>
        <v/>
      </c>
      <c r="H356" s="200" t="str">
        <f>IFERROR(_xlfn.XLOOKUP($A356,Input_Raw!$A:$A,Input_Raw!$DA:$DA),"")</f>
        <v/>
      </c>
      <c r="I356" s="200" t="str">
        <f>IFERROR(_xlfn.XLOOKUP($A356,Input_Raw!$A:$A,Input_Raw!$CX:$CX),"")</f>
        <v/>
      </c>
      <c r="J356" s="200" t="str">
        <f>IFERROR(_xlfn.XLOOKUP($A356,Input_Raw!$A:$A,Input_Raw!$CZ:$CZ),"")</f>
        <v/>
      </c>
      <c r="K356" s="201" t="str">
        <f>IFERROR(_xlfn.XLOOKUP($A356,Input_Raw!$A:$A,Input_Raw!$DB:$DB),"")</f>
        <v/>
      </c>
      <c r="L356" s="201" t="str">
        <f>IFERROR(_xlfn.XLOOKUP($A356,Input_Raw!$A:$A,Input_Raw!$DC:$DC),"")</f>
        <v/>
      </c>
      <c r="M356" s="200" t="str">
        <f>IFERROR(_xlfn.XLOOKUP($A356,Input_Raw!$A:$A,Input_Raw!$DF:$DF),"")</f>
        <v/>
      </c>
      <c r="N356" s="200" t="str">
        <f>IFERROR(_xlfn.XLOOKUP($A356,Input_Raw!$A:$A,Input_Raw!$DG:$DG),"")</f>
        <v/>
      </c>
      <c r="O356" s="230" t="str">
        <f>IFERROR(1-(SUMIF(Plant_BD!$B:$B,$A356,Plant_BD!$AL:$AL)/($AA356+SUMIF(Plant_BD!$B:$B,$A356,Plant_BD!$AL:$AL))),"")</f>
        <v/>
      </c>
      <c r="P356" s="230"/>
      <c r="Q356" s="231" t="str">
        <f>IFERROR(1-(SUMIF(Grid_BD!$B:$B,$A356,Grid_BD!$V:$V)/($AA356+SUMIF(Grid_BD!$B:$B,$A356,Grid_BD!$V:$V))),"")</f>
        <v/>
      </c>
      <c r="R356" s="230" t="str">
        <f>IFERROR(1-(SUMIF(Grid_BD!$B:$B,$A356,Grid_BD!$V:$V)/($AA356+SUMIF(Grid_BD!$B:$B,$A356,Grid_BD!$V:$V))),"")</f>
        <v/>
      </c>
      <c r="S356" s="9"/>
      <c r="T356" s="231"/>
      <c r="U356" s="232" t="str">
        <f t="shared" si="26"/>
        <v/>
      </c>
      <c r="V356" s="232" t="str">
        <f>IFERROR(_xlfn.XLOOKUP($A356,Input_Raw!$A:$A,Input_Raw!$FG:$FG),"")</f>
        <v/>
      </c>
      <c r="W356" s="233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85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33">
        <f>IFERROR(_xlfn.XLOOKUP($D356,'Modelling New'!$D:$D,'Modelling New'!O:O),"")</f>
        <v>0.80591076761496216</v>
      </c>
      <c r="AF356" s="233">
        <f>IFERROR(_xlfn.XLOOKUP($D356,'Modelling New'!$D:$D,'Modelling New'!W:W),"")</f>
        <v>0.23245759506743396</v>
      </c>
      <c r="AG356" s="233">
        <f>IFERROR(_xlfn.XLOOKUP($D356,'Modelling New'!$D:$D,'Modelling New'!AE:AE),"")</f>
        <v>0.995</v>
      </c>
      <c r="AH356" s="233">
        <f>IFERROR(_xlfn.XLOOKUP($D356,'Modelling New'!$D:$D,'Modelling New'!AF:AF),"")</f>
        <v>0.995</v>
      </c>
      <c r="AI356" s="9"/>
      <c r="AJ356" s="9"/>
      <c r="AK356" s="256"/>
      <c r="AL356" s="256"/>
      <c r="AM356" s="256"/>
      <c r="AN356" s="230"/>
      <c r="AO356" s="233"/>
      <c r="AP356" s="233"/>
      <c r="AQ356" s="233"/>
      <c r="AR356" s="234">
        <f>_xlfn.XLOOKUP(D356,'Modelling New'!$D:$D,'Modelling New'!$N:$N)</f>
        <v>130</v>
      </c>
      <c r="AS356" s="234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29">
        <f>Table13[[#This Row],[Date]]-DAY(Table13[[#This Row],[Date]])+1</f>
        <v>46082</v>
      </c>
      <c r="E357" s="9">
        <f t="shared" si="25"/>
        <v>31</v>
      </c>
      <c r="F357" s="199" t="str">
        <f>IFERROR(_xlfn.XLOOKUP($A357,Input_Raw!$A:$A,Input_Raw!$FC:$FC),"")</f>
        <v/>
      </c>
      <c r="G357" s="185" t="str">
        <f>IFERROR(_xlfn.XLOOKUP($A357,Input_Raw!$A:$A,Input_Raw!$CY:$CY),"")</f>
        <v/>
      </c>
      <c r="H357" s="185" t="str">
        <f>IFERROR(_xlfn.XLOOKUP($A357,Input_Raw!$A:$A,Input_Raw!$DA:$DA),"")</f>
        <v/>
      </c>
      <c r="I357" s="185" t="str">
        <f>IFERROR(_xlfn.XLOOKUP($A357,Input_Raw!$A:$A,Input_Raw!$CX:$CX),"")</f>
        <v/>
      </c>
      <c r="J357" s="185" t="str">
        <f>IFERROR(_xlfn.XLOOKUP($A357,Input_Raw!$A:$A,Input_Raw!$CZ:$CZ),"")</f>
        <v/>
      </c>
      <c r="K357" s="201" t="str">
        <f>IFERROR(_xlfn.XLOOKUP($A357,Input_Raw!$A:$A,Input_Raw!$DB:$DB),"")</f>
        <v/>
      </c>
      <c r="L357" s="201" t="str">
        <f>IFERROR(_xlfn.XLOOKUP($A357,Input_Raw!$A:$A,Input_Raw!$DC:$DC),"")</f>
        <v/>
      </c>
      <c r="M357" s="200" t="str">
        <f>IFERROR(_xlfn.XLOOKUP($A357,Input_Raw!$A:$A,Input_Raw!$DF:$DF),"")</f>
        <v/>
      </c>
      <c r="N357" s="200" t="str">
        <f>IFERROR(_xlfn.XLOOKUP($A357,Input_Raw!$A:$A,Input_Raw!$DG:$DG),"")</f>
        <v/>
      </c>
      <c r="O357" s="230" t="str">
        <f>IFERROR(1-(SUMIF(Plant_BD!$B:$B,$A357,Plant_BD!$AL:$AL)/($AA357+SUMIF(Plant_BD!$B:$B,$A357,Plant_BD!$AL:$AL))),"")</f>
        <v/>
      </c>
      <c r="P357" s="230"/>
      <c r="Q357" s="231" t="str">
        <f>IFERROR(1-(SUMIF(Grid_BD!$B:$B,$A357,Grid_BD!$V:$V)/($AA357+SUMIF(Grid_BD!$B:$B,$A357,Grid_BD!$V:$V))),"")</f>
        <v/>
      </c>
      <c r="R357" s="230" t="str">
        <f>IFERROR(1-(SUMIF(Grid_BD!$B:$B,$A357,Grid_BD!$V:$V)/($AA357+SUMIF(Grid_BD!$B:$B,$A357,Grid_BD!$V:$V))),"")</f>
        <v/>
      </c>
      <c r="S357" s="9"/>
      <c r="T357" s="231"/>
      <c r="U357" s="232" t="str">
        <f t="shared" si="26"/>
        <v/>
      </c>
      <c r="V357" s="232" t="str">
        <f>IFERROR(_xlfn.XLOOKUP($A357,Input_Raw!$A:$A,Input_Raw!$FG:$FG),"")</f>
        <v/>
      </c>
      <c r="W357" s="233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85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33">
        <f>IFERROR(_xlfn.XLOOKUP($D357,'Modelling New'!$D:$D,'Modelling New'!O:O),"")</f>
        <v>0.80591076761496216</v>
      </c>
      <c r="AF357" s="233">
        <f>IFERROR(_xlfn.XLOOKUP($D357,'Modelling New'!$D:$D,'Modelling New'!W:W),"")</f>
        <v>0.23245759506743396</v>
      </c>
      <c r="AG357" s="233">
        <f>IFERROR(_xlfn.XLOOKUP($D357,'Modelling New'!$D:$D,'Modelling New'!AE:AE),"")</f>
        <v>0.995</v>
      </c>
      <c r="AH357" s="233">
        <f>IFERROR(_xlfn.XLOOKUP($D357,'Modelling New'!$D:$D,'Modelling New'!AF:AF),"")</f>
        <v>0.995</v>
      </c>
      <c r="AI357" s="9"/>
      <c r="AJ357" s="9"/>
      <c r="AK357" s="256"/>
      <c r="AL357" s="256"/>
      <c r="AM357" s="256"/>
      <c r="AN357" s="230"/>
      <c r="AO357" s="233"/>
      <c r="AP357" s="233"/>
      <c r="AQ357" s="233"/>
      <c r="AR357" s="234">
        <f>_xlfn.XLOOKUP(D357,'Modelling New'!$D:$D,'Modelling New'!$N:$N)</f>
        <v>130</v>
      </c>
      <c r="AS357" s="234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29">
        <f>Table13[[#This Row],[Date]]-DAY(Table13[[#This Row],[Date]])+1</f>
        <v>46082</v>
      </c>
      <c r="E358" s="9">
        <f t="shared" si="25"/>
        <v>31</v>
      </c>
      <c r="F358" s="199" t="str">
        <f>IFERROR(_xlfn.XLOOKUP($A358,Input_Raw!$A:$A,Input_Raw!$FC:$FC),"")</f>
        <v/>
      </c>
      <c r="G358" s="200" t="str">
        <f>IFERROR(_xlfn.XLOOKUP($A358,Input_Raw!$A:$A,Input_Raw!$CY:$CY),"")</f>
        <v/>
      </c>
      <c r="H358" s="200" t="str">
        <f>IFERROR(_xlfn.XLOOKUP($A358,Input_Raw!$A:$A,Input_Raw!$DA:$DA),"")</f>
        <v/>
      </c>
      <c r="I358" s="200" t="str">
        <f>IFERROR(_xlfn.XLOOKUP($A358,Input_Raw!$A:$A,Input_Raw!$CX:$CX),"")</f>
        <v/>
      </c>
      <c r="J358" s="200" t="str">
        <f>IFERROR(_xlfn.XLOOKUP($A358,Input_Raw!$A:$A,Input_Raw!$CZ:$CZ),"")</f>
        <v/>
      </c>
      <c r="K358" s="201" t="str">
        <f>IFERROR(_xlfn.XLOOKUP($A358,Input_Raw!$A:$A,Input_Raw!$DB:$DB),"")</f>
        <v/>
      </c>
      <c r="L358" s="201" t="str">
        <f>IFERROR(_xlfn.XLOOKUP($A358,Input_Raw!$A:$A,Input_Raw!$DC:$DC),"")</f>
        <v/>
      </c>
      <c r="M358" s="200" t="str">
        <f>IFERROR(_xlfn.XLOOKUP($A358,Input_Raw!$A:$A,Input_Raw!$DF:$DF),"")</f>
        <v/>
      </c>
      <c r="N358" s="200" t="str">
        <f>IFERROR(_xlfn.XLOOKUP($A358,Input_Raw!$A:$A,Input_Raw!$DG:$DG),"")</f>
        <v/>
      </c>
      <c r="O358" s="230" t="str">
        <f>IFERROR(1-(SUMIF(Plant_BD!$B:$B,$A358,Plant_BD!$AL:$AL)/($AA358+SUMIF(Plant_BD!$B:$B,$A358,Plant_BD!$AL:$AL))),"")</f>
        <v/>
      </c>
      <c r="P358" s="230"/>
      <c r="Q358" s="231" t="str">
        <f>IFERROR(1-(SUMIF(Grid_BD!$B:$B,$A358,Grid_BD!$V:$V)/($AA358+SUMIF(Grid_BD!$B:$B,$A358,Grid_BD!$V:$V))),"")</f>
        <v/>
      </c>
      <c r="R358" s="230" t="str">
        <f>IFERROR(1-(SUMIF(Grid_BD!$B:$B,$A358,Grid_BD!$V:$V)/($AA358+SUMIF(Grid_BD!$B:$B,$A358,Grid_BD!$V:$V))),"")</f>
        <v/>
      </c>
      <c r="S358" s="9"/>
      <c r="T358" s="231"/>
      <c r="U358" s="232" t="str">
        <f t="shared" si="26"/>
        <v/>
      </c>
      <c r="V358" s="232" t="str">
        <f>IFERROR(_xlfn.XLOOKUP($A358,Input_Raw!$A:$A,Input_Raw!$FG:$FG),"")</f>
        <v/>
      </c>
      <c r="W358" s="233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85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33">
        <f>IFERROR(_xlfn.XLOOKUP($D358,'Modelling New'!$D:$D,'Modelling New'!O:O),"")</f>
        <v>0.80591076761496216</v>
      </c>
      <c r="AF358" s="233">
        <f>IFERROR(_xlfn.XLOOKUP($D358,'Modelling New'!$D:$D,'Modelling New'!W:W),"")</f>
        <v>0.23245759506743396</v>
      </c>
      <c r="AG358" s="233">
        <f>IFERROR(_xlfn.XLOOKUP($D358,'Modelling New'!$D:$D,'Modelling New'!AE:AE),"")</f>
        <v>0.995</v>
      </c>
      <c r="AH358" s="233">
        <f>IFERROR(_xlfn.XLOOKUP($D358,'Modelling New'!$D:$D,'Modelling New'!AF:AF),"")</f>
        <v>0.995</v>
      </c>
      <c r="AI358" s="9"/>
      <c r="AJ358" s="9"/>
      <c r="AK358" s="256"/>
      <c r="AL358" s="256"/>
      <c r="AM358" s="256"/>
      <c r="AN358" s="230"/>
      <c r="AO358" s="233"/>
      <c r="AP358" s="233"/>
      <c r="AQ358" s="233"/>
      <c r="AR358" s="234">
        <f>_xlfn.XLOOKUP(D358,'Modelling New'!$D:$D,'Modelling New'!$N:$N)</f>
        <v>130</v>
      </c>
      <c r="AS358" s="234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29">
        <f>Table13[[#This Row],[Date]]-DAY(Table13[[#This Row],[Date]])+1</f>
        <v>46082</v>
      </c>
      <c r="E359" s="9">
        <f t="shared" si="25"/>
        <v>31</v>
      </c>
      <c r="F359" s="199" t="str">
        <f>IFERROR(_xlfn.XLOOKUP($A359,Input_Raw!$A:$A,Input_Raw!$FC:$FC),"")</f>
        <v/>
      </c>
      <c r="G359" s="185" t="str">
        <f>IFERROR(_xlfn.XLOOKUP($A359,Input_Raw!$A:$A,Input_Raw!$CY:$CY),"")</f>
        <v/>
      </c>
      <c r="H359" s="185" t="str">
        <f>IFERROR(_xlfn.XLOOKUP($A359,Input_Raw!$A:$A,Input_Raw!$DA:$DA),"")</f>
        <v/>
      </c>
      <c r="I359" s="185" t="str">
        <f>IFERROR(_xlfn.XLOOKUP($A359,Input_Raw!$A:$A,Input_Raw!$CX:$CX),"")</f>
        <v/>
      </c>
      <c r="J359" s="185" t="str">
        <f>IFERROR(_xlfn.XLOOKUP($A359,Input_Raw!$A:$A,Input_Raw!$CZ:$CZ),"")</f>
        <v/>
      </c>
      <c r="K359" s="201" t="str">
        <f>IFERROR(_xlfn.XLOOKUP($A359,Input_Raw!$A:$A,Input_Raw!$DB:$DB),"")</f>
        <v/>
      </c>
      <c r="L359" s="201" t="str">
        <f>IFERROR(_xlfn.XLOOKUP($A359,Input_Raw!$A:$A,Input_Raw!$DC:$DC),"")</f>
        <v/>
      </c>
      <c r="M359" s="200" t="str">
        <f>IFERROR(_xlfn.XLOOKUP($A359,Input_Raw!$A:$A,Input_Raw!$DF:$DF),"")</f>
        <v/>
      </c>
      <c r="N359" s="200" t="str">
        <f>IFERROR(_xlfn.XLOOKUP($A359,Input_Raw!$A:$A,Input_Raw!$DG:$DG),"")</f>
        <v/>
      </c>
      <c r="O359" s="230" t="str">
        <f>IFERROR(1-(SUMIF(Plant_BD!$B:$B,$A359,Plant_BD!$AL:$AL)/($AA359+SUMIF(Plant_BD!$B:$B,$A359,Plant_BD!$AL:$AL))),"")</f>
        <v/>
      </c>
      <c r="P359" s="230"/>
      <c r="Q359" s="231" t="str">
        <f>IFERROR(1-(SUMIF(Grid_BD!$B:$B,$A359,Grid_BD!$V:$V)/($AA359+SUMIF(Grid_BD!$B:$B,$A359,Grid_BD!$V:$V))),"")</f>
        <v/>
      </c>
      <c r="R359" s="230" t="str">
        <f>IFERROR(1-(SUMIF(Grid_BD!$B:$B,$A359,Grid_BD!$V:$V)/($AA359+SUMIF(Grid_BD!$B:$B,$A359,Grid_BD!$V:$V))),"")</f>
        <v/>
      </c>
      <c r="S359" s="9"/>
      <c r="T359" s="231"/>
      <c r="U359" s="232" t="str">
        <f t="shared" si="26"/>
        <v/>
      </c>
      <c r="V359" s="232" t="str">
        <f>IFERROR(_xlfn.XLOOKUP($A359,Input_Raw!$A:$A,Input_Raw!$FG:$FG),"")</f>
        <v/>
      </c>
      <c r="W359" s="233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85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33">
        <f>IFERROR(_xlfn.XLOOKUP($D359,'Modelling New'!$D:$D,'Modelling New'!O:O),"")</f>
        <v>0.80591076761496216</v>
      </c>
      <c r="AF359" s="233">
        <f>IFERROR(_xlfn.XLOOKUP($D359,'Modelling New'!$D:$D,'Modelling New'!W:W),"")</f>
        <v>0.23245759506743396</v>
      </c>
      <c r="AG359" s="233">
        <f>IFERROR(_xlfn.XLOOKUP($D359,'Modelling New'!$D:$D,'Modelling New'!AE:AE),"")</f>
        <v>0.995</v>
      </c>
      <c r="AH359" s="233">
        <f>IFERROR(_xlfn.XLOOKUP($D359,'Modelling New'!$D:$D,'Modelling New'!AF:AF),"")</f>
        <v>0.995</v>
      </c>
      <c r="AI359" s="9"/>
      <c r="AJ359" s="9"/>
      <c r="AK359" s="256"/>
      <c r="AL359" s="256"/>
      <c r="AM359" s="256"/>
      <c r="AN359" s="230"/>
      <c r="AO359" s="233"/>
      <c r="AP359" s="233"/>
      <c r="AQ359" s="233"/>
      <c r="AR359" s="234">
        <f>_xlfn.XLOOKUP(D359,'Modelling New'!$D:$D,'Modelling New'!$N:$N)</f>
        <v>130</v>
      </c>
      <c r="AS359" s="234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29">
        <f>Table13[[#This Row],[Date]]-DAY(Table13[[#This Row],[Date]])+1</f>
        <v>46082</v>
      </c>
      <c r="E360" s="9">
        <f t="shared" ref="E360:E369" si="30">DAY(EOMONTH(A360,0))</f>
        <v>31</v>
      </c>
      <c r="F360" s="199" t="str">
        <f>IFERROR(_xlfn.XLOOKUP($A360,Input_Raw!$A:$A,Input_Raw!$FC:$FC),"")</f>
        <v/>
      </c>
      <c r="G360" s="200" t="str">
        <f>IFERROR(_xlfn.XLOOKUP($A360,Input_Raw!$A:$A,Input_Raw!$CY:$CY),"")</f>
        <v/>
      </c>
      <c r="H360" s="200" t="str">
        <f>IFERROR(_xlfn.XLOOKUP($A360,Input_Raw!$A:$A,Input_Raw!$DA:$DA),"")</f>
        <v/>
      </c>
      <c r="I360" s="200" t="str">
        <f>IFERROR(_xlfn.XLOOKUP($A360,Input_Raw!$A:$A,Input_Raw!$CX:$CX),"")</f>
        <v/>
      </c>
      <c r="J360" s="200" t="str">
        <f>IFERROR(_xlfn.XLOOKUP($A360,Input_Raw!$A:$A,Input_Raw!$CZ:$CZ),"")</f>
        <v/>
      </c>
      <c r="K360" s="201" t="str">
        <f>IFERROR(_xlfn.XLOOKUP($A360,Input_Raw!$A:$A,Input_Raw!$DB:$DB),"")</f>
        <v/>
      </c>
      <c r="L360" s="201" t="str">
        <f>IFERROR(_xlfn.XLOOKUP($A360,Input_Raw!$A:$A,Input_Raw!$DC:$DC),"")</f>
        <v/>
      </c>
      <c r="M360" s="200" t="str">
        <f>IFERROR(_xlfn.XLOOKUP($A360,Input_Raw!$A:$A,Input_Raw!$DF:$DF),"")</f>
        <v/>
      </c>
      <c r="N360" s="200" t="str">
        <f>IFERROR(_xlfn.XLOOKUP($A360,Input_Raw!$A:$A,Input_Raw!$DG:$DG),"")</f>
        <v/>
      </c>
      <c r="O360" s="230" t="str">
        <f>IFERROR(1-(SUMIF(Plant_BD!$B:$B,$A360,Plant_BD!$AL:$AL)/($AA360+SUMIF(Plant_BD!$B:$B,$A360,Plant_BD!$AL:$AL))),"")</f>
        <v/>
      </c>
      <c r="P360" s="230"/>
      <c r="Q360" s="231" t="str">
        <f>IFERROR(1-(SUMIF(Grid_BD!$B:$B,$A360,Grid_BD!$V:$V)/($AA360+SUMIF(Grid_BD!$B:$B,$A360,Grid_BD!$V:$V))),"")</f>
        <v/>
      </c>
      <c r="R360" s="230" t="str">
        <f>IFERROR(1-(SUMIF(Grid_BD!$B:$B,$A360,Grid_BD!$V:$V)/($AA360+SUMIF(Grid_BD!$B:$B,$A360,Grid_BD!$V:$V))),"")</f>
        <v/>
      </c>
      <c r="S360" s="9"/>
      <c r="T360" s="231"/>
      <c r="U360" s="232" t="str">
        <f t="shared" ref="U360:U369" si="31">IFERROR(AA360/I360/AB360/1000,"")</f>
        <v/>
      </c>
      <c r="V360" s="232" t="str">
        <f>IFERROR(_xlfn.XLOOKUP($A360,Input_Raw!$A:$A,Input_Raw!$FG:$FG),"")</f>
        <v/>
      </c>
      <c r="W360" s="233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85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33">
        <f>IFERROR(_xlfn.XLOOKUP($D360,'Modelling New'!$D:$D,'Modelling New'!O:O),"")</f>
        <v>0.80591076761496216</v>
      </c>
      <c r="AF360" s="233">
        <f>IFERROR(_xlfn.XLOOKUP($D360,'Modelling New'!$D:$D,'Modelling New'!W:W),"")</f>
        <v>0.23245759506743396</v>
      </c>
      <c r="AG360" s="233">
        <f>IFERROR(_xlfn.XLOOKUP($D360,'Modelling New'!$D:$D,'Modelling New'!AE:AE),"")</f>
        <v>0.995</v>
      </c>
      <c r="AH360" s="233">
        <f>IFERROR(_xlfn.XLOOKUP($D360,'Modelling New'!$D:$D,'Modelling New'!AF:AF),"")</f>
        <v>0.995</v>
      </c>
      <c r="AI360" s="9"/>
      <c r="AJ360" s="9"/>
      <c r="AK360" s="256"/>
      <c r="AL360" s="256"/>
      <c r="AM360" s="256"/>
      <c r="AN360" s="230"/>
      <c r="AO360" s="233"/>
      <c r="AP360" s="233"/>
      <c r="AQ360" s="233"/>
      <c r="AR360" s="234">
        <f>_xlfn.XLOOKUP(D360,'Modelling New'!$D:$D,'Modelling New'!$N:$N)</f>
        <v>130</v>
      </c>
      <c r="AS360" s="234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29">
        <f>Table13[[#This Row],[Date]]-DAY(Table13[[#This Row],[Date]])+1</f>
        <v>46082</v>
      </c>
      <c r="E361" s="9">
        <f t="shared" si="30"/>
        <v>31</v>
      </c>
      <c r="F361" s="199" t="str">
        <f>IFERROR(_xlfn.XLOOKUP($A361,Input_Raw!$A:$A,Input_Raw!$FC:$FC),"")</f>
        <v/>
      </c>
      <c r="G361" s="185" t="str">
        <f>IFERROR(_xlfn.XLOOKUP($A361,Input_Raw!$A:$A,Input_Raw!$CY:$CY),"")</f>
        <v/>
      </c>
      <c r="H361" s="185" t="str">
        <f>IFERROR(_xlfn.XLOOKUP($A361,Input_Raw!$A:$A,Input_Raw!$DA:$DA),"")</f>
        <v/>
      </c>
      <c r="I361" s="185" t="str">
        <f>IFERROR(_xlfn.XLOOKUP($A361,Input_Raw!$A:$A,Input_Raw!$CX:$CX),"")</f>
        <v/>
      </c>
      <c r="J361" s="185" t="str">
        <f>IFERROR(_xlfn.XLOOKUP($A361,Input_Raw!$A:$A,Input_Raw!$CZ:$CZ),"")</f>
        <v/>
      </c>
      <c r="K361" s="201" t="str">
        <f>IFERROR(_xlfn.XLOOKUP($A361,Input_Raw!$A:$A,Input_Raw!$DB:$DB),"")</f>
        <v/>
      </c>
      <c r="L361" s="201" t="str">
        <f>IFERROR(_xlfn.XLOOKUP($A361,Input_Raw!$A:$A,Input_Raw!$DC:$DC),"")</f>
        <v/>
      </c>
      <c r="M361" s="200" t="str">
        <f>IFERROR(_xlfn.XLOOKUP($A361,Input_Raw!$A:$A,Input_Raw!$DF:$DF),"")</f>
        <v/>
      </c>
      <c r="N361" s="200" t="str">
        <f>IFERROR(_xlfn.XLOOKUP($A361,Input_Raw!$A:$A,Input_Raw!$DG:$DG),"")</f>
        <v/>
      </c>
      <c r="O361" s="230" t="str">
        <f>IFERROR(1-(SUMIF(Plant_BD!$B:$B,$A361,Plant_BD!$AL:$AL)/($AA361+SUMIF(Plant_BD!$B:$B,$A361,Plant_BD!$AL:$AL))),"")</f>
        <v/>
      </c>
      <c r="P361" s="230"/>
      <c r="Q361" s="231" t="str">
        <f>IFERROR(1-(SUMIF(Grid_BD!$B:$B,$A361,Grid_BD!$V:$V)/($AA361+SUMIF(Grid_BD!$B:$B,$A361,Grid_BD!$V:$V))),"")</f>
        <v/>
      </c>
      <c r="R361" s="230" t="str">
        <f>IFERROR(1-(SUMIF(Grid_BD!$B:$B,$A361,Grid_BD!$V:$V)/($AA361+SUMIF(Grid_BD!$B:$B,$A361,Grid_BD!$V:$V))),"")</f>
        <v/>
      </c>
      <c r="S361" s="9"/>
      <c r="T361" s="231"/>
      <c r="U361" s="232" t="str">
        <f t="shared" si="31"/>
        <v/>
      </c>
      <c r="V361" s="232" t="str">
        <f>IFERROR(_xlfn.XLOOKUP($A361,Input_Raw!$A:$A,Input_Raw!$FG:$FG),"")</f>
        <v/>
      </c>
      <c r="W361" s="233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85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33">
        <f>IFERROR(_xlfn.XLOOKUP($D361,'Modelling New'!$D:$D,'Modelling New'!O:O),"")</f>
        <v>0.80591076761496216</v>
      </c>
      <c r="AF361" s="233">
        <f>IFERROR(_xlfn.XLOOKUP($D361,'Modelling New'!$D:$D,'Modelling New'!W:W),"")</f>
        <v>0.23245759506743396</v>
      </c>
      <c r="AG361" s="233">
        <f>IFERROR(_xlfn.XLOOKUP($D361,'Modelling New'!$D:$D,'Modelling New'!AE:AE),"")</f>
        <v>0.995</v>
      </c>
      <c r="AH361" s="233">
        <f>IFERROR(_xlfn.XLOOKUP($D361,'Modelling New'!$D:$D,'Modelling New'!AF:AF),"")</f>
        <v>0.995</v>
      </c>
      <c r="AI361" s="9"/>
      <c r="AJ361" s="9"/>
      <c r="AK361" s="256"/>
      <c r="AL361" s="256"/>
      <c r="AM361" s="256"/>
      <c r="AN361" s="230"/>
      <c r="AO361" s="233"/>
      <c r="AP361" s="233"/>
      <c r="AQ361" s="233"/>
      <c r="AR361" s="234">
        <f>_xlfn.XLOOKUP(D361,'Modelling New'!$D:$D,'Modelling New'!$N:$N)</f>
        <v>130</v>
      </c>
      <c r="AS361" s="234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29">
        <f>Table13[[#This Row],[Date]]-DAY(Table13[[#This Row],[Date]])+1</f>
        <v>46082</v>
      </c>
      <c r="E362" s="9">
        <f t="shared" si="30"/>
        <v>31</v>
      </c>
      <c r="F362" s="199" t="str">
        <f>IFERROR(_xlfn.XLOOKUP($A362,Input_Raw!$A:$A,Input_Raw!$FC:$FC),"")</f>
        <v/>
      </c>
      <c r="G362" s="200" t="str">
        <f>IFERROR(_xlfn.XLOOKUP($A362,Input_Raw!$A:$A,Input_Raw!$CY:$CY),"")</f>
        <v/>
      </c>
      <c r="H362" s="200" t="str">
        <f>IFERROR(_xlfn.XLOOKUP($A362,Input_Raw!$A:$A,Input_Raw!$DA:$DA),"")</f>
        <v/>
      </c>
      <c r="I362" s="200" t="str">
        <f>IFERROR(_xlfn.XLOOKUP($A362,Input_Raw!$A:$A,Input_Raw!$CX:$CX),"")</f>
        <v/>
      </c>
      <c r="J362" s="200" t="str">
        <f>IFERROR(_xlfn.XLOOKUP($A362,Input_Raw!$A:$A,Input_Raw!$CZ:$CZ),"")</f>
        <v/>
      </c>
      <c r="K362" s="201" t="str">
        <f>IFERROR(_xlfn.XLOOKUP($A362,Input_Raw!$A:$A,Input_Raw!$DB:$DB),"")</f>
        <v/>
      </c>
      <c r="L362" s="201" t="str">
        <f>IFERROR(_xlfn.XLOOKUP($A362,Input_Raw!$A:$A,Input_Raw!$DC:$DC),"")</f>
        <v/>
      </c>
      <c r="M362" s="200" t="str">
        <f>IFERROR(_xlfn.XLOOKUP($A362,Input_Raw!$A:$A,Input_Raw!$DF:$DF),"")</f>
        <v/>
      </c>
      <c r="N362" s="200" t="str">
        <f>IFERROR(_xlfn.XLOOKUP($A362,Input_Raw!$A:$A,Input_Raw!$DG:$DG),"")</f>
        <v/>
      </c>
      <c r="O362" s="230" t="str">
        <f>IFERROR(1-(SUMIF(Plant_BD!$B:$B,$A362,Plant_BD!$AL:$AL)/($AA362+SUMIF(Plant_BD!$B:$B,$A362,Plant_BD!$AL:$AL))),"")</f>
        <v/>
      </c>
      <c r="P362" s="230"/>
      <c r="Q362" s="231" t="str">
        <f>IFERROR(1-(SUMIF(Grid_BD!$B:$B,$A362,Grid_BD!$V:$V)/($AA362+SUMIF(Grid_BD!$B:$B,$A362,Grid_BD!$V:$V))),"")</f>
        <v/>
      </c>
      <c r="R362" s="230" t="str">
        <f>IFERROR(1-(SUMIF(Grid_BD!$B:$B,$A362,Grid_BD!$V:$V)/($AA362+SUMIF(Grid_BD!$B:$B,$A362,Grid_BD!$V:$V))),"")</f>
        <v/>
      </c>
      <c r="S362" s="9"/>
      <c r="T362" s="231"/>
      <c r="U362" s="232" t="str">
        <f t="shared" si="31"/>
        <v/>
      </c>
      <c r="V362" s="232" t="str">
        <f>IFERROR(_xlfn.XLOOKUP($A362,Input_Raw!$A:$A,Input_Raw!$FG:$FG),"")</f>
        <v/>
      </c>
      <c r="W362" s="233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85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33">
        <f>IFERROR(_xlfn.XLOOKUP($D362,'Modelling New'!$D:$D,'Modelling New'!O:O),"")</f>
        <v>0.80591076761496216</v>
      </c>
      <c r="AF362" s="233">
        <f>IFERROR(_xlfn.XLOOKUP($D362,'Modelling New'!$D:$D,'Modelling New'!W:W),"")</f>
        <v>0.23245759506743396</v>
      </c>
      <c r="AG362" s="233">
        <f>IFERROR(_xlfn.XLOOKUP($D362,'Modelling New'!$D:$D,'Modelling New'!AE:AE),"")</f>
        <v>0.995</v>
      </c>
      <c r="AH362" s="233">
        <f>IFERROR(_xlfn.XLOOKUP($D362,'Modelling New'!$D:$D,'Modelling New'!AF:AF),"")</f>
        <v>0.995</v>
      </c>
      <c r="AI362" s="9"/>
      <c r="AJ362" s="9"/>
      <c r="AK362" s="256"/>
      <c r="AL362" s="256"/>
      <c r="AM362" s="256"/>
      <c r="AN362" s="230"/>
      <c r="AO362" s="233"/>
      <c r="AP362" s="233"/>
      <c r="AQ362" s="233"/>
      <c r="AR362" s="234">
        <f>_xlfn.XLOOKUP(D362,'Modelling New'!$D:$D,'Modelling New'!$N:$N)</f>
        <v>130</v>
      </c>
      <c r="AS362" s="234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29">
        <f>Table13[[#This Row],[Date]]-DAY(Table13[[#This Row],[Date]])+1</f>
        <v>46082</v>
      </c>
      <c r="E363" s="9">
        <f t="shared" si="30"/>
        <v>31</v>
      </c>
      <c r="F363" s="199" t="str">
        <f>IFERROR(_xlfn.XLOOKUP($A363,Input_Raw!$A:$A,Input_Raw!$FC:$FC),"")</f>
        <v/>
      </c>
      <c r="G363" s="185" t="str">
        <f>IFERROR(_xlfn.XLOOKUP($A363,Input_Raw!$A:$A,Input_Raw!$CY:$CY),"")</f>
        <v/>
      </c>
      <c r="H363" s="185" t="str">
        <f>IFERROR(_xlfn.XLOOKUP($A363,Input_Raw!$A:$A,Input_Raw!$DA:$DA),"")</f>
        <v/>
      </c>
      <c r="I363" s="185" t="str">
        <f>IFERROR(_xlfn.XLOOKUP($A363,Input_Raw!$A:$A,Input_Raw!$CX:$CX),"")</f>
        <v/>
      </c>
      <c r="J363" s="185" t="str">
        <f>IFERROR(_xlfn.XLOOKUP($A363,Input_Raw!$A:$A,Input_Raw!$CZ:$CZ),"")</f>
        <v/>
      </c>
      <c r="K363" s="201" t="str">
        <f>IFERROR(_xlfn.XLOOKUP($A363,Input_Raw!$A:$A,Input_Raw!$DB:$DB),"")</f>
        <v/>
      </c>
      <c r="L363" s="201" t="str">
        <f>IFERROR(_xlfn.XLOOKUP($A363,Input_Raw!$A:$A,Input_Raw!$DC:$DC),"")</f>
        <v/>
      </c>
      <c r="M363" s="200" t="str">
        <f>IFERROR(_xlfn.XLOOKUP($A363,Input_Raw!$A:$A,Input_Raw!$DF:$DF),"")</f>
        <v/>
      </c>
      <c r="N363" s="200" t="str">
        <f>IFERROR(_xlfn.XLOOKUP($A363,Input_Raw!$A:$A,Input_Raw!$DG:$DG),"")</f>
        <v/>
      </c>
      <c r="O363" s="230" t="str">
        <f>IFERROR(1-(SUMIF(Plant_BD!$B:$B,$A363,Plant_BD!$AL:$AL)/($AA363+SUMIF(Plant_BD!$B:$B,$A363,Plant_BD!$AL:$AL))),"")</f>
        <v/>
      </c>
      <c r="P363" s="230"/>
      <c r="Q363" s="231" t="str">
        <f>IFERROR(1-(SUMIF(Grid_BD!$B:$B,$A363,Grid_BD!$V:$V)/($AA363+SUMIF(Grid_BD!$B:$B,$A363,Grid_BD!$V:$V))),"")</f>
        <v/>
      </c>
      <c r="R363" s="230" t="str">
        <f>IFERROR(1-(SUMIF(Grid_BD!$B:$B,$A363,Grid_BD!$V:$V)/($AA363+SUMIF(Grid_BD!$B:$B,$A363,Grid_BD!$V:$V))),"")</f>
        <v/>
      </c>
      <c r="S363" s="9"/>
      <c r="T363" s="231"/>
      <c r="U363" s="232" t="str">
        <f t="shared" si="31"/>
        <v/>
      </c>
      <c r="V363" s="232" t="str">
        <f>IFERROR(_xlfn.XLOOKUP($A363,Input_Raw!$A:$A,Input_Raw!$FG:$FG),"")</f>
        <v/>
      </c>
      <c r="W363" s="233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85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33">
        <f>IFERROR(_xlfn.XLOOKUP($D363,'Modelling New'!$D:$D,'Modelling New'!O:O),"")</f>
        <v>0.80591076761496216</v>
      </c>
      <c r="AF363" s="233">
        <f>IFERROR(_xlfn.XLOOKUP($D363,'Modelling New'!$D:$D,'Modelling New'!W:W),"")</f>
        <v>0.23245759506743396</v>
      </c>
      <c r="AG363" s="233">
        <f>IFERROR(_xlfn.XLOOKUP($D363,'Modelling New'!$D:$D,'Modelling New'!AE:AE),"")</f>
        <v>0.995</v>
      </c>
      <c r="AH363" s="233">
        <f>IFERROR(_xlfn.XLOOKUP($D363,'Modelling New'!$D:$D,'Modelling New'!AF:AF),"")</f>
        <v>0.995</v>
      </c>
      <c r="AI363" s="9"/>
      <c r="AJ363" s="9"/>
      <c r="AK363" s="256"/>
      <c r="AL363" s="256"/>
      <c r="AM363" s="256"/>
      <c r="AN363" s="230"/>
      <c r="AO363" s="233"/>
      <c r="AP363" s="233"/>
      <c r="AQ363" s="233"/>
      <c r="AR363" s="234">
        <f>_xlfn.XLOOKUP(D363,'Modelling New'!$D:$D,'Modelling New'!$N:$N)</f>
        <v>130</v>
      </c>
      <c r="AS363" s="234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29">
        <f>Table13[[#This Row],[Date]]-DAY(Table13[[#This Row],[Date]])+1</f>
        <v>46082</v>
      </c>
      <c r="E364" s="9">
        <f t="shared" si="30"/>
        <v>31</v>
      </c>
      <c r="F364" s="199" t="str">
        <f>IFERROR(_xlfn.XLOOKUP($A364,Input_Raw!$A:$A,Input_Raw!$FC:$FC),"")</f>
        <v/>
      </c>
      <c r="G364" s="200" t="str">
        <f>IFERROR(_xlfn.XLOOKUP($A364,Input_Raw!$A:$A,Input_Raw!$CY:$CY),"")</f>
        <v/>
      </c>
      <c r="H364" s="200" t="str">
        <f>IFERROR(_xlfn.XLOOKUP($A364,Input_Raw!$A:$A,Input_Raw!$DA:$DA),"")</f>
        <v/>
      </c>
      <c r="I364" s="200" t="str">
        <f>IFERROR(_xlfn.XLOOKUP($A364,Input_Raw!$A:$A,Input_Raw!$CX:$CX),"")</f>
        <v/>
      </c>
      <c r="J364" s="200" t="str">
        <f>IFERROR(_xlfn.XLOOKUP($A364,Input_Raw!$A:$A,Input_Raw!$CZ:$CZ),"")</f>
        <v/>
      </c>
      <c r="K364" s="201" t="str">
        <f>IFERROR(_xlfn.XLOOKUP($A364,Input_Raw!$A:$A,Input_Raw!$DB:$DB),"")</f>
        <v/>
      </c>
      <c r="L364" s="201" t="str">
        <f>IFERROR(_xlfn.XLOOKUP($A364,Input_Raw!$A:$A,Input_Raw!$DC:$DC),"")</f>
        <v/>
      </c>
      <c r="M364" s="200" t="str">
        <f>IFERROR(_xlfn.XLOOKUP($A364,Input_Raw!$A:$A,Input_Raw!$DF:$DF),"")</f>
        <v/>
      </c>
      <c r="N364" s="200" t="str">
        <f>IFERROR(_xlfn.XLOOKUP($A364,Input_Raw!$A:$A,Input_Raw!$DG:$DG),"")</f>
        <v/>
      </c>
      <c r="O364" s="230" t="str">
        <f>IFERROR(1-(SUMIF(Plant_BD!$B:$B,$A364,Plant_BD!$AL:$AL)/($AA364+SUMIF(Plant_BD!$B:$B,$A364,Plant_BD!$AL:$AL))),"")</f>
        <v/>
      </c>
      <c r="P364" s="230"/>
      <c r="Q364" s="231" t="str">
        <f>IFERROR(1-(SUMIF(Grid_BD!$B:$B,$A364,Grid_BD!$V:$V)/($AA364+SUMIF(Grid_BD!$B:$B,$A364,Grid_BD!$V:$V))),"")</f>
        <v/>
      </c>
      <c r="R364" s="230" t="str">
        <f>IFERROR(1-(SUMIF(Grid_BD!$B:$B,$A364,Grid_BD!$V:$V)/($AA364+SUMIF(Grid_BD!$B:$B,$A364,Grid_BD!$V:$V))),"")</f>
        <v/>
      </c>
      <c r="S364" s="9"/>
      <c r="T364" s="231"/>
      <c r="U364" s="232" t="str">
        <f t="shared" si="31"/>
        <v/>
      </c>
      <c r="V364" s="232" t="str">
        <f>IFERROR(_xlfn.XLOOKUP($A364,Input_Raw!$A:$A,Input_Raw!$FG:$FG),"")</f>
        <v/>
      </c>
      <c r="W364" s="233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85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33">
        <f>IFERROR(_xlfn.XLOOKUP($D364,'Modelling New'!$D:$D,'Modelling New'!O:O),"")</f>
        <v>0.80591076761496216</v>
      </c>
      <c r="AF364" s="233">
        <f>IFERROR(_xlfn.XLOOKUP($D364,'Modelling New'!$D:$D,'Modelling New'!W:W),"")</f>
        <v>0.23245759506743396</v>
      </c>
      <c r="AG364" s="233">
        <f>IFERROR(_xlfn.XLOOKUP($D364,'Modelling New'!$D:$D,'Modelling New'!AE:AE),"")</f>
        <v>0.995</v>
      </c>
      <c r="AH364" s="233">
        <f>IFERROR(_xlfn.XLOOKUP($D364,'Modelling New'!$D:$D,'Modelling New'!AF:AF),"")</f>
        <v>0.995</v>
      </c>
      <c r="AI364" s="9"/>
      <c r="AJ364" s="9"/>
      <c r="AK364" s="256"/>
      <c r="AL364" s="256"/>
      <c r="AM364" s="256"/>
      <c r="AN364" s="230"/>
      <c r="AO364" s="233"/>
      <c r="AP364" s="233"/>
      <c r="AQ364" s="233"/>
      <c r="AR364" s="234">
        <f>_xlfn.XLOOKUP(D364,'Modelling New'!$D:$D,'Modelling New'!$N:$N)</f>
        <v>130</v>
      </c>
      <c r="AS364" s="234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29">
        <f>Table13[[#This Row],[Date]]-DAY(Table13[[#This Row],[Date]])+1</f>
        <v>46082</v>
      </c>
      <c r="E365" s="9">
        <f t="shared" si="30"/>
        <v>31</v>
      </c>
      <c r="F365" s="199" t="str">
        <f>IFERROR(_xlfn.XLOOKUP($A365,Input_Raw!$A:$A,Input_Raw!$FC:$FC),"")</f>
        <v/>
      </c>
      <c r="G365" s="185" t="str">
        <f>IFERROR(_xlfn.XLOOKUP($A365,Input_Raw!$A:$A,Input_Raw!$CY:$CY),"")</f>
        <v/>
      </c>
      <c r="H365" s="185" t="str">
        <f>IFERROR(_xlfn.XLOOKUP($A365,Input_Raw!$A:$A,Input_Raw!$DA:$DA),"")</f>
        <v/>
      </c>
      <c r="I365" s="185" t="str">
        <f>IFERROR(_xlfn.XLOOKUP($A365,Input_Raw!$A:$A,Input_Raw!$CX:$CX),"")</f>
        <v/>
      </c>
      <c r="J365" s="185" t="str">
        <f>IFERROR(_xlfn.XLOOKUP($A365,Input_Raw!$A:$A,Input_Raw!$CZ:$CZ),"")</f>
        <v/>
      </c>
      <c r="K365" s="201" t="str">
        <f>IFERROR(_xlfn.XLOOKUP($A365,Input_Raw!$A:$A,Input_Raw!$DB:$DB),"")</f>
        <v/>
      </c>
      <c r="L365" s="201" t="str">
        <f>IFERROR(_xlfn.XLOOKUP($A365,Input_Raw!$A:$A,Input_Raw!$DC:$DC),"")</f>
        <v/>
      </c>
      <c r="M365" s="200" t="str">
        <f>IFERROR(_xlfn.XLOOKUP($A365,Input_Raw!$A:$A,Input_Raw!$DF:$DF),"")</f>
        <v/>
      </c>
      <c r="N365" s="200" t="str">
        <f>IFERROR(_xlfn.XLOOKUP($A365,Input_Raw!$A:$A,Input_Raw!$DG:$DG),"")</f>
        <v/>
      </c>
      <c r="O365" s="230" t="str">
        <f>IFERROR(1-(SUMIF(Plant_BD!$B:$B,$A365,Plant_BD!$AL:$AL)/($AA365+SUMIF(Plant_BD!$B:$B,$A365,Plant_BD!$AL:$AL))),"")</f>
        <v/>
      </c>
      <c r="P365" s="230"/>
      <c r="Q365" s="231" t="str">
        <f>IFERROR(1-(SUMIF(Grid_BD!$B:$B,$A365,Grid_BD!$V:$V)/($AA365+SUMIF(Grid_BD!$B:$B,$A365,Grid_BD!$V:$V))),"")</f>
        <v/>
      </c>
      <c r="R365" s="230" t="str">
        <f>IFERROR(1-(SUMIF(Grid_BD!$B:$B,$A365,Grid_BD!$V:$V)/($AA365+SUMIF(Grid_BD!$B:$B,$A365,Grid_BD!$V:$V))),"")</f>
        <v/>
      </c>
      <c r="S365" s="9"/>
      <c r="T365" s="231"/>
      <c r="U365" s="232" t="str">
        <f t="shared" si="31"/>
        <v/>
      </c>
      <c r="V365" s="232" t="str">
        <f>IFERROR(_xlfn.XLOOKUP($A365,Input_Raw!$A:$A,Input_Raw!$FG:$FG),"")</f>
        <v/>
      </c>
      <c r="W365" s="233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85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33">
        <f>IFERROR(_xlfn.XLOOKUP($D365,'Modelling New'!$D:$D,'Modelling New'!O:O),"")</f>
        <v>0.80591076761496216</v>
      </c>
      <c r="AF365" s="233">
        <f>IFERROR(_xlfn.XLOOKUP($D365,'Modelling New'!$D:$D,'Modelling New'!W:W),"")</f>
        <v>0.23245759506743396</v>
      </c>
      <c r="AG365" s="233">
        <f>IFERROR(_xlfn.XLOOKUP($D365,'Modelling New'!$D:$D,'Modelling New'!AE:AE),"")</f>
        <v>0.995</v>
      </c>
      <c r="AH365" s="233">
        <f>IFERROR(_xlfn.XLOOKUP($D365,'Modelling New'!$D:$D,'Modelling New'!AF:AF),"")</f>
        <v>0.995</v>
      </c>
      <c r="AI365" s="9"/>
      <c r="AJ365" s="9"/>
      <c r="AK365" s="256"/>
      <c r="AL365" s="256"/>
      <c r="AM365" s="256"/>
      <c r="AN365" s="230"/>
      <c r="AO365" s="233"/>
      <c r="AP365" s="233"/>
      <c r="AQ365" s="233"/>
      <c r="AR365" s="234">
        <f>_xlfn.XLOOKUP(D365,'Modelling New'!$D:$D,'Modelling New'!$N:$N)</f>
        <v>130</v>
      </c>
      <c r="AS365" s="234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29">
        <f>Table13[[#This Row],[Date]]-DAY(Table13[[#This Row],[Date]])+1</f>
        <v>46082</v>
      </c>
      <c r="E366" s="9">
        <f t="shared" si="30"/>
        <v>31</v>
      </c>
      <c r="F366" s="199" t="str">
        <f>IFERROR(_xlfn.XLOOKUP($A366,Input_Raw!$A:$A,Input_Raw!$FC:$FC),"")</f>
        <v/>
      </c>
      <c r="G366" s="200" t="str">
        <f>IFERROR(_xlfn.XLOOKUP($A366,Input_Raw!$A:$A,Input_Raw!$CY:$CY),"")</f>
        <v/>
      </c>
      <c r="H366" s="200" t="str">
        <f>IFERROR(_xlfn.XLOOKUP($A366,Input_Raw!$A:$A,Input_Raw!$DA:$DA),"")</f>
        <v/>
      </c>
      <c r="I366" s="200" t="str">
        <f>IFERROR(_xlfn.XLOOKUP($A366,Input_Raw!$A:$A,Input_Raw!$CX:$CX),"")</f>
        <v/>
      </c>
      <c r="J366" s="200" t="str">
        <f>IFERROR(_xlfn.XLOOKUP($A366,Input_Raw!$A:$A,Input_Raw!$CZ:$CZ),"")</f>
        <v/>
      </c>
      <c r="K366" s="201" t="str">
        <f>IFERROR(_xlfn.XLOOKUP($A366,Input_Raw!$A:$A,Input_Raw!$DB:$DB),"")</f>
        <v/>
      </c>
      <c r="L366" s="201" t="str">
        <f>IFERROR(_xlfn.XLOOKUP($A366,Input_Raw!$A:$A,Input_Raw!$DC:$DC),"")</f>
        <v/>
      </c>
      <c r="M366" s="200" t="str">
        <f>IFERROR(_xlfn.XLOOKUP($A366,Input_Raw!$A:$A,Input_Raw!$DF:$DF),"")</f>
        <v/>
      </c>
      <c r="N366" s="200" t="str">
        <f>IFERROR(_xlfn.XLOOKUP($A366,Input_Raw!$A:$A,Input_Raw!$DG:$DG),"")</f>
        <v/>
      </c>
      <c r="O366" s="230" t="str">
        <f>IFERROR(1-(SUMIF(Plant_BD!$B:$B,$A366,Plant_BD!$AL:$AL)/($AA366+SUMIF(Plant_BD!$B:$B,$A366,Plant_BD!$AL:$AL))),"")</f>
        <v/>
      </c>
      <c r="P366" s="230"/>
      <c r="Q366" s="231" t="str">
        <f>IFERROR(1-(SUMIF(Grid_BD!$B:$B,$A366,Grid_BD!$V:$V)/($AA366+SUMIF(Grid_BD!$B:$B,$A366,Grid_BD!$V:$V))),"")</f>
        <v/>
      </c>
      <c r="R366" s="230" t="str">
        <f>IFERROR(1-(SUMIF(Grid_BD!$B:$B,$A366,Grid_BD!$V:$V)/($AA366+SUMIF(Grid_BD!$B:$B,$A366,Grid_BD!$V:$V))),"")</f>
        <v/>
      </c>
      <c r="S366" s="9"/>
      <c r="T366" s="231"/>
      <c r="U366" s="232" t="str">
        <f t="shared" si="31"/>
        <v/>
      </c>
      <c r="V366" s="232" t="str">
        <f>IFERROR(_xlfn.XLOOKUP($A366,Input_Raw!$A:$A,Input_Raw!$FG:$FG),"")</f>
        <v/>
      </c>
      <c r="W366" s="233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85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33">
        <f>IFERROR(_xlfn.XLOOKUP($D366,'Modelling New'!$D:$D,'Modelling New'!O:O),"")</f>
        <v>0.80591076761496216</v>
      </c>
      <c r="AF366" s="233">
        <f>IFERROR(_xlfn.XLOOKUP($D366,'Modelling New'!$D:$D,'Modelling New'!W:W),"")</f>
        <v>0.23245759506743396</v>
      </c>
      <c r="AG366" s="233">
        <f>IFERROR(_xlfn.XLOOKUP($D366,'Modelling New'!$D:$D,'Modelling New'!AE:AE),"")</f>
        <v>0.995</v>
      </c>
      <c r="AH366" s="233">
        <f>IFERROR(_xlfn.XLOOKUP($D366,'Modelling New'!$D:$D,'Modelling New'!AF:AF),"")</f>
        <v>0.995</v>
      </c>
      <c r="AI366" s="9"/>
      <c r="AJ366" s="9"/>
      <c r="AK366" s="256"/>
      <c r="AL366" s="256"/>
      <c r="AM366" s="256"/>
      <c r="AN366" s="230"/>
      <c r="AO366" s="233"/>
      <c r="AP366" s="233"/>
      <c r="AQ366" s="233"/>
      <c r="AR366" s="234">
        <f>_xlfn.XLOOKUP(D366,'Modelling New'!$D:$D,'Modelling New'!$N:$N)</f>
        <v>130</v>
      </c>
      <c r="AS366" s="234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29">
        <f>Table13[[#This Row],[Date]]-DAY(Table13[[#This Row],[Date]])+1</f>
        <v>46082</v>
      </c>
      <c r="E367" s="9">
        <f t="shared" si="30"/>
        <v>31</v>
      </c>
      <c r="F367" s="199" t="str">
        <f>IFERROR(_xlfn.XLOOKUP($A367,Input_Raw!$A:$A,Input_Raw!$FC:$FC),"")</f>
        <v/>
      </c>
      <c r="G367" s="185" t="str">
        <f>IFERROR(_xlfn.XLOOKUP($A367,Input_Raw!$A:$A,Input_Raw!$CY:$CY),"")</f>
        <v/>
      </c>
      <c r="H367" s="185" t="str">
        <f>IFERROR(_xlfn.XLOOKUP($A367,Input_Raw!$A:$A,Input_Raw!$DA:$DA),"")</f>
        <v/>
      </c>
      <c r="I367" s="185" t="str">
        <f>IFERROR(_xlfn.XLOOKUP($A367,Input_Raw!$A:$A,Input_Raw!$CX:$CX),"")</f>
        <v/>
      </c>
      <c r="J367" s="185" t="str">
        <f>IFERROR(_xlfn.XLOOKUP($A367,Input_Raw!$A:$A,Input_Raw!$CZ:$CZ),"")</f>
        <v/>
      </c>
      <c r="K367" s="201" t="str">
        <f>IFERROR(_xlfn.XLOOKUP($A367,Input_Raw!$A:$A,Input_Raw!$DB:$DB),"")</f>
        <v/>
      </c>
      <c r="L367" s="201" t="str">
        <f>IFERROR(_xlfn.XLOOKUP($A367,Input_Raw!$A:$A,Input_Raw!$DC:$DC),"")</f>
        <v/>
      </c>
      <c r="M367" s="200" t="str">
        <f>IFERROR(_xlfn.XLOOKUP($A367,Input_Raw!$A:$A,Input_Raw!$DF:$DF),"")</f>
        <v/>
      </c>
      <c r="N367" s="200" t="str">
        <f>IFERROR(_xlfn.XLOOKUP($A367,Input_Raw!$A:$A,Input_Raw!$DG:$DG),"")</f>
        <v/>
      </c>
      <c r="O367" s="230" t="str">
        <f>IFERROR(1-(SUMIF(Plant_BD!$B:$B,$A367,Plant_BD!$AL:$AL)/($AA367+SUMIF(Plant_BD!$B:$B,$A367,Plant_BD!$AL:$AL))),"")</f>
        <v/>
      </c>
      <c r="P367" s="230"/>
      <c r="Q367" s="231" t="str">
        <f>IFERROR(1-(SUMIF(Grid_BD!$B:$B,$A367,Grid_BD!$V:$V)/($AA367+SUMIF(Grid_BD!$B:$B,$A367,Grid_BD!$V:$V))),"")</f>
        <v/>
      </c>
      <c r="R367" s="230" t="str">
        <f>IFERROR(1-(SUMIF(Grid_BD!$B:$B,$A367,Grid_BD!$V:$V)/($AA367+SUMIF(Grid_BD!$B:$B,$A367,Grid_BD!$V:$V))),"")</f>
        <v/>
      </c>
      <c r="S367" s="9"/>
      <c r="T367" s="231"/>
      <c r="U367" s="232" t="str">
        <f t="shared" si="31"/>
        <v/>
      </c>
      <c r="V367" s="232" t="str">
        <f>IFERROR(_xlfn.XLOOKUP($A367,Input_Raw!$A:$A,Input_Raw!$FG:$FG),"")</f>
        <v/>
      </c>
      <c r="W367" s="233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85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33">
        <f>IFERROR(_xlfn.XLOOKUP($D367,'Modelling New'!$D:$D,'Modelling New'!O:O),"")</f>
        <v>0.80591076761496216</v>
      </c>
      <c r="AF367" s="233">
        <f>IFERROR(_xlfn.XLOOKUP($D367,'Modelling New'!$D:$D,'Modelling New'!W:W),"")</f>
        <v>0.23245759506743396</v>
      </c>
      <c r="AG367" s="233">
        <f>IFERROR(_xlfn.XLOOKUP($D367,'Modelling New'!$D:$D,'Modelling New'!AE:AE),"")</f>
        <v>0.995</v>
      </c>
      <c r="AH367" s="233">
        <f>IFERROR(_xlfn.XLOOKUP($D367,'Modelling New'!$D:$D,'Modelling New'!AF:AF),"")</f>
        <v>0.995</v>
      </c>
      <c r="AI367" s="9"/>
      <c r="AJ367" s="9"/>
      <c r="AK367" s="256"/>
      <c r="AL367" s="256"/>
      <c r="AM367" s="256"/>
      <c r="AN367" s="230"/>
      <c r="AO367" s="233"/>
      <c r="AP367" s="233"/>
      <c r="AQ367" s="233"/>
      <c r="AR367" s="234">
        <f>_xlfn.XLOOKUP(D367,'Modelling New'!$D:$D,'Modelling New'!$N:$N)</f>
        <v>130</v>
      </c>
      <c r="AS367" s="234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29">
        <f>Table13[[#This Row],[Date]]-DAY(Table13[[#This Row],[Date]])+1</f>
        <v>46082</v>
      </c>
      <c r="E368" s="9">
        <f t="shared" si="30"/>
        <v>31</v>
      </c>
      <c r="F368" s="199" t="str">
        <f>IFERROR(_xlfn.XLOOKUP($A368,Input_Raw!$A:$A,Input_Raw!$FC:$FC),"")</f>
        <v/>
      </c>
      <c r="G368" s="200" t="str">
        <f>IFERROR(_xlfn.XLOOKUP($A368,Input_Raw!$A:$A,Input_Raw!$CY:$CY),"")</f>
        <v/>
      </c>
      <c r="H368" s="200" t="str">
        <f>IFERROR(_xlfn.XLOOKUP($A368,Input_Raw!$A:$A,Input_Raw!$DA:$DA),"")</f>
        <v/>
      </c>
      <c r="I368" s="200" t="str">
        <f>IFERROR(_xlfn.XLOOKUP($A368,Input_Raw!$A:$A,Input_Raw!$CX:$CX),"")</f>
        <v/>
      </c>
      <c r="J368" s="200" t="str">
        <f>IFERROR(_xlfn.XLOOKUP($A368,Input_Raw!$A:$A,Input_Raw!$CZ:$CZ),"")</f>
        <v/>
      </c>
      <c r="K368" s="201" t="str">
        <f>IFERROR(_xlfn.XLOOKUP($A368,Input_Raw!$A:$A,Input_Raw!$DB:$DB),"")</f>
        <v/>
      </c>
      <c r="L368" s="201" t="str">
        <f>IFERROR(_xlfn.XLOOKUP($A368,Input_Raw!$A:$A,Input_Raw!$DC:$DC),"")</f>
        <v/>
      </c>
      <c r="M368" s="200" t="str">
        <f>IFERROR(_xlfn.XLOOKUP($A368,Input_Raw!$A:$A,Input_Raw!$DF:$DF),"")</f>
        <v/>
      </c>
      <c r="N368" s="200" t="str">
        <f>IFERROR(_xlfn.XLOOKUP($A368,Input_Raw!$A:$A,Input_Raw!$DG:$DG),"")</f>
        <v/>
      </c>
      <c r="O368" s="230" t="str">
        <f>IFERROR(1-(SUMIF(Plant_BD!$B:$B,$A368,Plant_BD!$AL:$AL)/($AA368+SUMIF(Plant_BD!$B:$B,$A368,Plant_BD!$AL:$AL))),"")</f>
        <v/>
      </c>
      <c r="P368" s="230"/>
      <c r="Q368" s="231" t="str">
        <f>IFERROR(1-(SUMIF(Grid_BD!$B:$B,$A368,Grid_BD!$V:$V)/($AA368+SUMIF(Grid_BD!$B:$B,$A368,Grid_BD!$V:$V))),"")</f>
        <v/>
      </c>
      <c r="R368" s="230" t="str">
        <f>IFERROR(1-(SUMIF(Grid_BD!$B:$B,$A368,Grid_BD!$V:$V)/($AA368+SUMIF(Grid_BD!$B:$B,$A368,Grid_BD!$V:$V))),"")</f>
        <v/>
      </c>
      <c r="S368" s="9"/>
      <c r="T368" s="231"/>
      <c r="U368" s="232" t="str">
        <f t="shared" si="31"/>
        <v/>
      </c>
      <c r="V368" s="232" t="str">
        <f>IFERROR(_xlfn.XLOOKUP($A368,Input_Raw!$A:$A,Input_Raw!$FG:$FG),"")</f>
        <v/>
      </c>
      <c r="W368" s="233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85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33">
        <f>IFERROR(_xlfn.XLOOKUP($D368,'Modelling New'!$D:$D,'Modelling New'!O:O),"")</f>
        <v>0.80591076761496216</v>
      </c>
      <c r="AF368" s="233">
        <f>IFERROR(_xlfn.XLOOKUP($D368,'Modelling New'!$D:$D,'Modelling New'!W:W),"")</f>
        <v>0.23245759506743396</v>
      </c>
      <c r="AG368" s="233">
        <f>IFERROR(_xlfn.XLOOKUP($D368,'Modelling New'!$D:$D,'Modelling New'!AE:AE),"")</f>
        <v>0.995</v>
      </c>
      <c r="AH368" s="233">
        <f>IFERROR(_xlfn.XLOOKUP($D368,'Modelling New'!$D:$D,'Modelling New'!AF:AF),"")</f>
        <v>0.995</v>
      </c>
      <c r="AI368" s="9"/>
      <c r="AJ368" s="9"/>
      <c r="AK368" s="256"/>
      <c r="AL368" s="256"/>
      <c r="AM368" s="256"/>
      <c r="AN368" s="230"/>
      <c r="AO368" s="233"/>
      <c r="AP368" s="233"/>
      <c r="AQ368" s="233"/>
      <c r="AR368" s="234">
        <f>_xlfn.XLOOKUP(D368,'Modelling New'!$D:$D,'Modelling New'!$N:$N)</f>
        <v>130</v>
      </c>
      <c r="AS368" s="234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29">
        <f>Table13[[#This Row],[Date]]-DAY(Table13[[#This Row],[Date]])+1</f>
        <v>46082</v>
      </c>
      <c r="E369" s="9">
        <f t="shared" si="30"/>
        <v>31</v>
      </c>
      <c r="F369" s="199" t="str">
        <f>IFERROR(_xlfn.XLOOKUP($A369,Input_Raw!$A:$A,Input_Raw!$FC:$FC),"")</f>
        <v/>
      </c>
      <c r="G369" s="185" t="str">
        <f>IFERROR(_xlfn.XLOOKUP($A369,Input_Raw!$A:$A,Input_Raw!$CY:$CY),"")</f>
        <v/>
      </c>
      <c r="H369" s="185" t="str">
        <f>IFERROR(_xlfn.XLOOKUP($A369,Input_Raw!$A:$A,Input_Raw!$DA:$DA),"")</f>
        <v/>
      </c>
      <c r="I369" s="185" t="str">
        <f>IFERROR(_xlfn.XLOOKUP($A369,Input_Raw!$A:$A,Input_Raw!$CX:$CX),"")</f>
        <v/>
      </c>
      <c r="J369" s="185" t="str">
        <f>IFERROR(_xlfn.XLOOKUP($A369,Input_Raw!$A:$A,Input_Raw!$CZ:$CZ),"")</f>
        <v/>
      </c>
      <c r="K369" s="201" t="str">
        <f>IFERROR(_xlfn.XLOOKUP($A369,Input_Raw!$A:$A,Input_Raw!$DB:$DB),"")</f>
        <v/>
      </c>
      <c r="L369" s="201" t="str">
        <f>IFERROR(_xlfn.XLOOKUP($A369,Input_Raw!$A:$A,Input_Raw!$DC:$DC),"")</f>
        <v/>
      </c>
      <c r="M369" s="200" t="str">
        <f>IFERROR(_xlfn.XLOOKUP($A369,Input_Raw!$A:$A,Input_Raw!$DF:$DF),"")</f>
        <v/>
      </c>
      <c r="N369" s="200" t="str">
        <f>IFERROR(_xlfn.XLOOKUP($A369,Input_Raw!$A:$A,Input_Raw!$DG:$DG),"")</f>
        <v/>
      </c>
      <c r="O369" s="230" t="str">
        <f>IFERROR(1-(SUMIF(Plant_BD!$B:$B,$A369,Plant_BD!$AL:$AL)/($AA369+SUMIF(Plant_BD!$B:$B,$A369,Plant_BD!$AL:$AL))),"")</f>
        <v/>
      </c>
      <c r="P369" s="230"/>
      <c r="Q369" s="231" t="str">
        <f>IFERROR(1-(SUMIF(Grid_BD!$B:$B,$A369,Grid_BD!$V:$V)/($AA369+SUMIF(Grid_BD!$B:$B,$A369,Grid_BD!$V:$V))),"")</f>
        <v/>
      </c>
      <c r="R369" s="230" t="str">
        <f>IFERROR(1-(SUMIF(Grid_BD!$B:$B,$A369,Grid_BD!$V:$V)/($AA369+SUMIF(Grid_BD!$B:$B,$A369,Grid_BD!$V:$V))),"")</f>
        <v/>
      </c>
      <c r="S369" s="9"/>
      <c r="T369" s="231"/>
      <c r="U369" s="232" t="str">
        <f t="shared" si="31"/>
        <v/>
      </c>
      <c r="V369" s="232" t="str">
        <f>IFERROR(_xlfn.XLOOKUP($A369,Input_Raw!$A:$A,Input_Raw!$FG:$FG),"")</f>
        <v/>
      </c>
      <c r="W369" s="233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85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33">
        <f>IFERROR(_xlfn.XLOOKUP($D369,'Modelling New'!$D:$D,'Modelling New'!O:O),"")</f>
        <v>0.80591076761496216</v>
      </c>
      <c r="AF369" s="233">
        <f>IFERROR(_xlfn.XLOOKUP($D369,'Modelling New'!$D:$D,'Modelling New'!W:W),"")</f>
        <v>0.23245759506743396</v>
      </c>
      <c r="AG369" s="233">
        <f>IFERROR(_xlfn.XLOOKUP($D369,'Modelling New'!$D:$D,'Modelling New'!AE:AE),"")</f>
        <v>0.995</v>
      </c>
      <c r="AH369" s="233">
        <f>IFERROR(_xlfn.XLOOKUP($D369,'Modelling New'!$D:$D,'Modelling New'!AF:AF),"")</f>
        <v>0.995</v>
      </c>
      <c r="AI369" s="9"/>
      <c r="AJ369" s="9"/>
      <c r="AK369" s="256"/>
      <c r="AL369" s="256"/>
      <c r="AM369" s="256"/>
      <c r="AN369" s="230"/>
      <c r="AO369" s="233"/>
      <c r="AP369" s="233"/>
      <c r="AQ369" s="233"/>
      <c r="AR369" s="234">
        <f>_xlfn.XLOOKUP(D369,'Modelling New'!$D:$D,'Modelling New'!$N:$N)</f>
        <v>130</v>
      </c>
      <c r="AS369" s="234" t="str">
        <f t="shared" si="33"/>
        <v/>
      </c>
    </row>
    <row r="370" spans="1:45">
      <c r="AR370" s="234"/>
      <c r="AS370" s="234"/>
    </row>
    <row r="371" spans="1:45">
      <c r="AR371" s="234"/>
      <c r="AS371" s="234"/>
    </row>
    <row r="372" spans="1:45">
      <c r="AR372" s="234"/>
      <c r="AS372" s="234"/>
    </row>
    <row r="373" spans="1:45">
      <c r="AR373" s="234"/>
      <c r="AS373" s="234"/>
    </row>
    <row r="374" spans="1:45">
      <c r="AR374" s="234"/>
      <c r="AS374" s="234"/>
    </row>
    <row r="375" spans="1:45">
      <c r="AR375" s="234"/>
      <c r="AS375" s="234"/>
    </row>
    <row r="376" spans="1:45">
      <c r="AR376" s="234"/>
      <c r="AS376" s="234"/>
    </row>
    <row r="377" spans="1:45">
      <c r="AR377" s="234"/>
      <c r="AS377" s="234"/>
    </row>
    <row r="378" spans="1:45">
      <c r="AR378" s="234"/>
      <c r="AS378" s="234"/>
    </row>
    <row r="379" spans="1:45">
      <c r="AR379" s="234"/>
      <c r="AS379" s="234"/>
    </row>
    <row r="380" spans="1:45">
      <c r="AR380" s="234"/>
      <c r="AS380" s="234"/>
    </row>
    <row r="381" spans="1:45">
      <c r="AR381" s="234"/>
      <c r="AS381" s="234"/>
    </row>
    <row r="382" spans="1:45">
      <c r="AR382" s="234"/>
      <c r="AS382" s="234"/>
    </row>
    <row r="383" spans="1:45">
      <c r="AR383" s="234"/>
      <c r="AS383" s="234"/>
    </row>
    <row r="384" spans="1:45">
      <c r="AR384" s="234"/>
      <c r="AS384" s="234"/>
    </row>
    <row r="385" spans="44:45">
      <c r="AR385" s="234"/>
      <c r="AS385" s="234"/>
    </row>
    <row r="386" spans="44:45">
      <c r="AR386" s="234"/>
      <c r="AS386" s="234"/>
    </row>
    <row r="387" spans="44:45">
      <c r="AR387" s="234"/>
      <c r="AS387" s="234"/>
    </row>
    <row r="388" spans="44:45">
      <c r="AR388" s="234"/>
      <c r="AS388" s="234"/>
    </row>
    <row r="389" spans="44:45">
      <c r="AR389" s="234"/>
      <c r="AS389" s="234"/>
    </row>
    <row r="390" spans="44:45">
      <c r="AR390" s="234"/>
      <c r="AS390" s="234"/>
    </row>
    <row r="391" spans="44:45">
      <c r="AR391" s="234"/>
      <c r="AS391" s="234"/>
    </row>
    <row r="392" spans="44:45">
      <c r="AR392" s="234"/>
      <c r="AS392" s="234"/>
    </row>
    <row r="393" spans="44:45">
      <c r="AR393" s="234"/>
      <c r="AS393" s="234"/>
    </row>
    <row r="394" spans="44:45">
      <c r="AR394" s="234"/>
      <c r="AS394" s="234"/>
    </row>
    <row r="395" spans="44:45">
      <c r="AR395" s="234"/>
      <c r="AS395" s="234"/>
    </row>
    <row r="396" spans="44:45">
      <c r="AR396" s="234"/>
      <c r="AS396" s="234"/>
    </row>
    <row r="397" spans="44:45">
      <c r="AR397" s="234"/>
      <c r="AS397" s="234"/>
    </row>
    <row r="398" spans="44:45">
      <c r="AR398" s="234"/>
      <c r="AS398" s="234"/>
    </row>
    <row r="399" spans="44:45">
      <c r="AR399" s="234"/>
      <c r="AS399" s="234"/>
    </row>
    <row r="400" spans="44:45">
      <c r="AR400" s="234"/>
      <c r="AS400" s="234"/>
    </row>
    <row r="401" spans="44:45">
      <c r="AR401" s="234"/>
      <c r="AS401" s="234"/>
    </row>
    <row r="402" spans="44:45">
      <c r="AR402" s="234"/>
      <c r="AS402" s="234"/>
    </row>
    <row r="403" spans="44:45">
      <c r="AR403" s="234"/>
      <c r="AS403" s="234"/>
    </row>
    <row r="404" spans="44:45">
      <c r="AR404" s="234"/>
      <c r="AS404" s="234"/>
    </row>
    <row r="405" spans="44:45">
      <c r="AR405" s="234"/>
      <c r="AS405" s="234"/>
    </row>
    <row r="406" spans="44:45">
      <c r="AR406" s="234"/>
      <c r="AS406" s="234"/>
    </row>
    <row r="407" spans="44:45">
      <c r="AR407" s="234"/>
      <c r="AS407" s="234"/>
    </row>
    <row r="408" spans="44:45">
      <c r="AR408" s="234"/>
      <c r="AS408" s="234"/>
    </row>
    <row r="409" spans="44:45">
      <c r="AR409" s="234"/>
      <c r="AS409" s="234"/>
    </row>
    <row r="410" spans="44:45">
      <c r="AR410" s="234"/>
      <c r="AS410" s="234"/>
    </row>
    <row r="411" spans="44:45">
      <c r="AR411" s="234"/>
      <c r="AS411" s="234"/>
    </row>
    <row r="412" spans="44:45">
      <c r="AR412" s="234"/>
      <c r="AS412" s="234"/>
    </row>
    <row r="413" spans="44:45">
      <c r="AR413" s="234"/>
      <c r="AS413" s="234"/>
    </row>
    <row r="414" spans="44:45">
      <c r="AR414" s="234"/>
      <c r="AS414" s="234"/>
    </row>
    <row r="415" spans="44:45">
      <c r="AR415" s="234"/>
      <c r="AS415" s="234"/>
    </row>
    <row r="416" spans="44:45">
      <c r="AR416" s="234"/>
      <c r="AS416" s="234"/>
    </row>
    <row r="417" spans="44:45">
      <c r="AR417" s="234"/>
      <c r="AS417" s="234"/>
    </row>
    <row r="418" spans="44:45">
      <c r="AR418" s="234"/>
      <c r="AS418" s="234"/>
    </row>
    <row r="419" spans="44:45">
      <c r="AR419" s="234"/>
      <c r="AS419" s="234"/>
    </row>
    <row r="420" spans="44:45">
      <c r="AR420" s="234"/>
      <c r="AS420" s="234"/>
    </row>
    <row r="421" spans="44:45">
      <c r="AR421" s="234"/>
      <c r="AS421" s="234"/>
    </row>
    <row r="422" spans="44:45">
      <c r="AR422" s="234"/>
      <c r="AS422" s="234"/>
    </row>
    <row r="423" spans="44:45">
      <c r="AR423" s="234"/>
      <c r="AS423" s="234"/>
    </row>
    <row r="424" spans="44:45">
      <c r="AR424" s="234"/>
      <c r="AS424" s="234"/>
    </row>
    <row r="425" spans="44:45">
      <c r="AR425" s="234"/>
      <c r="AS425" s="234"/>
    </row>
    <row r="426" spans="44:45">
      <c r="AR426" s="234"/>
      <c r="AS426" s="234"/>
    </row>
    <row r="427" spans="44:45">
      <c r="AR427" s="234"/>
      <c r="AS427" s="234"/>
    </row>
    <row r="428" spans="44:45">
      <c r="AR428" s="234"/>
      <c r="AS428" s="234"/>
    </row>
    <row r="429" spans="44:45">
      <c r="AR429" s="234"/>
      <c r="AS429" s="234"/>
    </row>
    <row r="430" spans="44:45">
      <c r="AR430" s="234"/>
      <c r="AS430" s="234"/>
    </row>
    <row r="431" spans="44:45">
      <c r="AR431" s="234"/>
      <c r="AS431" s="234"/>
    </row>
    <row r="432" spans="44:45">
      <c r="AR432" s="234"/>
      <c r="AS432" s="234"/>
    </row>
    <row r="433" spans="44:45">
      <c r="AR433" s="234"/>
      <c r="AS433" s="234"/>
    </row>
    <row r="434" spans="44:45">
      <c r="AR434" s="234"/>
      <c r="AS434" s="234"/>
    </row>
    <row r="435" spans="44:45">
      <c r="AR435" s="234"/>
      <c r="AS435" s="234"/>
    </row>
    <row r="436" spans="44:45">
      <c r="AR436" s="234"/>
      <c r="AS436" s="234"/>
    </row>
    <row r="437" spans="44:45">
      <c r="AR437" s="234"/>
      <c r="AS437" s="234"/>
    </row>
    <row r="438" spans="44:45">
      <c r="AR438" s="234"/>
      <c r="AS438" s="234"/>
    </row>
    <row r="439" spans="44:45">
      <c r="AR439" s="234"/>
      <c r="AS439" s="234"/>
    </row>
    <row r="440" spans="44:45">
      <c r="AR440" s="234"/>
      <c r="AS440" s="234"/>
    </row>
    <row r="441" spans="44:45">
      <c r="AR441" s="234"/>
      <c r="AS441" s="234"/>
    </row>
    <row r="442" spans="44:45">
      <c r="AR442" s="234"/>
      <c r="AS442" s="234"/>
    </row>
    <row r="443" spans="44:45">
      <c r="AR443" s="234"/>
      <c r="AS443" s="234"/>
    </row>
    <row r="444" spans="44:45">
      <c r="AR444" s="234"/>
      <c r="AS444" s="234"/>
    </row>
    <row r="445" spans="44:45">
      <c r="AR445" s="234"/>
      <c r="AS445" s="234"/>
    </row>
    <row r="446" spans="44:45">
      <c r="AR446" s="234"/>
      <c r="AS446" s="234"/>
    </row>
    <row r="447" spans="44:45">
      <c r="AR447" s="234"/>
      <c r="AS447" s="234"/>
    </row>
    <row r="448" spans="44:45">
      <c r="AR448" s="234"/>
      <c r="AS448" s="234"/>
    </row>
    <row r="449" spans="44:45">
      <c r="AR449" s="234"/>
      <c r="AS449" s="234"/>
    </row>
    <row r="450" spans="44:45">
      <c r="AR450" s="234"/>
      <c r="AS450" s="234"/>
    </row>
    <row r="451" spans="44:45">
      <c r="AR451" s="234"/>
      <c r="AS451" s="234"/>
    </row>
    <row r="452" spans="44:45">
      <c r="AR452" s="234"/>
      <c r="AS452" s="234"/>
    </row>
    <row r="453" spans="44:45">
      <c r="AR453" s="234"/>
      <c r="AS453" s="234"/>
    </row>
    <row r="454" spans="44:45">
      <c r="AR454" s="234"/>
      <c r="AS454" s="234"/>
    </row>
    <row r="455" spans="44:45">
      <c r="AR455" s="234"/>
      <c r="AS455" s="234"/>
    </row>
    <row r="456" spans="44:45">
      <c r="AR456" s="234"/>
      <c r="AS456" s="234"/>
    </row>
    <row r="457" spans="44:45">
      <c r="AR457" s="234"/>
      <c r="AS457" s="234"/>
    </row>
    <row r="458" spans="44:45">
      <c r="AR458" s="234"/>
      <c r="AS458" s="234"/>
    </row>
    <row r="459" spans="44:45">
      <c r="AR459" s="234"/>
      <c r="AS459" s="234"/>
    </row>
    <row r="460" spans="44:45">
      <c r="AR460" s="234"/>
      <c r="AS460" s="234"/>
    </row>
    <row r="461" spans="44:45">
      <c r="AR461" s="234"/>
      <c r="AS461" s="234"/>
    </row>
    <row r="462" spans="44:45">
      <c r="AR462" s="234"/>
      <c r="AS462" s="234"/>
    </row>
    <row r="463" spans="44:45">
      <c r="AR463" s="234"/>
      <c r="AS463" s="234"/>
    </row>
    <row r="464" spans="44:45">
      <c r="AR464" s="234"/>
      <c r="AS464" s="234"/>
    </row>
    <row r="465" spans="44:45">
      <c r="AR465" s="234"/>
      <c r="AS465" s="234"/>
    </row>
    <row r="466" spans="44:45">
      <c r="AR466" s="234"/>
      <c r="AS466" s="234"/>
    </row>
    <row r="467" spans="44:45">
      <c r="AR467" s="234"/>
      <c r="AS467" s="234"/>
    </row>
    <row r="468" spans="44:45">
      <c r="AR468" s="234"/>
      <c r="AS468" s="234"/>
    </row>
    <row r="469" spans="44:45">
      <c r="AR469" s="234"/>
      <c r="AS469" s="234"/>
    </row>
    <row r="470" spans="44:45">
      <c r="AR470" s="234"/>
      <c r="AS470" s="234"/>
    </row>
    <row r="471" spans="44:45">
      <c r="AR471" s="234"/>
      <c r="AS471" s="234"/>
    </row>
    <row r="472" spans="44:45">
      <c r="AR472" s="234"/>
      <c r="AS472" s="234"/>
    </row>
    <row r="473" spans="44:45">
      <c r="AR473" s="234"/>
      <c r="AS473" s="234"/>
    </row>
    <row r="474" spans="44:45">
      <c r="AR474" s="234"/>
      <c r="AS474" s="234"/>
    </row>
    <row r="475" spans="44:45">
      <c r="AR475" s="234"/>
      <c r="AS475" s="234"/>
    </row>
    <row r="476" spans="44:45">
      <c r="AR476" s="234"/>
      <c r="AS476" s="234"/>
    </row>
    <row r="477" spans="44:45">
      <c r="AR477" s="234"/>
      <c r="AS477" s="234"/>
    </row>
    <row r="478" spans="44:45">
      <c r="AR478" s="234"/>
      <c r="AS478" s="234"/>
    </row>
    <row r="479" spans="44:45">
      <c r="AR479" s="234"/>
      <c r="AS479" s="234"/>
    </row>
    <row r="480" spans="44:45">
      <c r="AR480" s="234"/>
      <c r="AS480" s="234"/>
    </row>
    <row r="481" spans="44:45">
      <c r="AR481" s="234"/>
      <c r="AS481" s="234"/>
    </row>
    <row r="482" spans="44:45">
      <c r="AR482" s="234"/>
      <c r="AS482" s="234"/>
    </row>
    <row r="483" spans="44:45">
      <c r="AR483" s="234"/>
      <c r="AS483" s="234"/>
    </row>
    <row r="484" spans="44:45">
      <c r="AR484" s="234"/>
      <c r="AS484" s="234"/>
    </row>
    <row r="485" spans="44:45">
      <c r="AR485" s="234"/>
      <c r="AS485" s="234"/>
    </row>
    <row r="486" spans="44:45">
      <c r="AR486" s="234"/>
      <c r="AS486" s="234"/>
    </row>
    <row r="487" spans="44:45">
      <c r="AR487" s="234"/>
      <c r="AS487" s="234"/>
    </row>
    <row r="488" spans="44:45">
      <c r="AR488" s="234"/>
      <c r="AS488" s="234"/>
    </row>
    <row r="489" spans="44:45">
      <c r="AR489" s="234"/>
      <c r="AS489" s="234"/>
    </row>
    <row r="490" spans="44:45">
      <c r="AR490" s="234"/>
      <c r="AS490" s="234"/>
    </row>
    <row r="491" spans="44:45">
      <c r="AR491" s="234"/>
      <c r="AS491" s="234"/>
    </row>
    <row r="492" spans="44:45">
      <c r="AR492" s="234"/>
      <c r="AS492" s="234"/>
    </row>
    <row r="493" spans="44:45">
      <c r="AR493" s="234"/>
      <c r="AS493" s="234"/>
    </row>
    <row r="494" spans="44:45">
      <c r="AR494" s="234"/>
      <c r="AS494" s="234"/>
    </row>
    <row r="495" spans="44:45">
      <c r="AR495" s="234"/>
      <c r="AS495" s="234"/>
    </row>
    <row r="496" spans="44:45">
      <c r="AR496" s="234"/>
      <c r="AS496" s="234"/>
    </row>
    <row r="497" spans="44:45">
      <c r="AR497" s="234"/>
      <c r="AS497" s="234"/>
    </row>
    <row r="498" spans="44:45">
      <c r="AR498" s="234"/>
      <c r="AS498" s="234"/>
    </row>
    <row r="499" spans="44:45">
      <c r="AR499" s="234"/>
      <c r="AS499" s="234"/>
    </row>
    <row r="500" spans="44:45">
      <c r="AR500" s="234"/>
      <c r="AS500" s="234"/>
    </row>
    <row r="501" spans="44:45">
      <c r="AR501" s="234"/>
      <c r="AS501" s="234"/>
    </row>
    <row r="502" spans="44:45">
      <c r="AR502" s="234"/>
      <c r="AS502" s="234"/>
    </row>
    <row r="503" spans="44:45">
      <c r="AR503" s="234"/>
      <c r="AS503" s="234"/>
    </row>
    <row r="504" spans="44:45">
      <c r="AR504" s="234"/>
      <c r="AS504" s="234"/>
    </row>
    <row r="505" spans="44:45">
      <c r="AR505" s="234"/>
      <c r="AS505" s="234"/>
    </row>
    <row r="506" spans="44:45">
      <c r="AR506" s="234"/>
      <c r="AS506" s="234"/>
    </row>
    <row r="507" spans="44:45">
      <c r="AR507" s="234"/>
      <c r="AS507" s="234"/>
    </row>
    <row r="508" spans="44:45">
      <c r="AR508" s="234"/>
      <c r="AS508" s="234"/>
    </row>
    <row r="509" spans="44:45">
      <c r="AR509" s="234"/>
      <c r="AS509" s="234"/>
    </row>
    <row r="510" spans="44:45">
      <c r="AR510" s="234"/>
      <c r="AS510" s="234"/>
    </row>
    <row r="511" spans="44:45">
      <c r="AR511" s="234"/>
      <c r="AS511" s="234"/>
    </row>
    <row r="512" spans="44:45">
      <c r="AR512" s="234"/>
      <c r="AS512" s="234"/>
    </row>
    <row r="513" spans="44:45">
      <c r="AR513" s="234"/>
      <c r="AS513" s="234"/>
    </row>
    <row r="514" spans="44:45">
      <c r="AR514" s="234"/>
      <c r="AS514" s="234"/>
    </row>
    <row r="515" spans="44:45">
      <c r="AR515" s="234"/>
      <c r="AS515" s="234"/>
    </row>
    <row r="516" spans="44:45">
      <c r="AR516" s="234"/>
      <c r="AS516" s="234"/>
    </row>
    <row r="517" spans="44:45">
      <c r="AR517" s="234"/>
      <c r="AS517" s="234"/>
    </row>
    <row r="518" spans="44:45">
      <c r="AR518" s="234"/>
      <c r="AS518" s="234"/>
    </row>
    <row r="519" spans="44:45">
      <c r="AR519" s="234"/>
      <c r="AS519" s="234"/>
    </row>
    <row r="520" spans="44:45">
      <c r="AR520" s="234"/>
      <c r="AS520" s="234"/>
    </row>
    <row r="521" spans="44:45">
      <c r="AR521" s="234"/>
      <c r="AS521" s="234"/>
    </row>
    <row r="522" spans="44:45">
      <c r="AR522" s="234"/>
      <c r="AS522" s="234"/>
    </row>
    <row r="523" spans="44:45">
      <c r="AR523" s="234"/>
      <c r="AS523" s="234"/>
    </row>
    <row r="524" spans="44:45">
      <c r="AR524" s="234"/>
      <c r="AS524" s="234"/>
    </row>
    <row r="525" spans="44:45">
      <c r="AR525" s="234"/>
      <c r="AS525" s="234"/>
    </row>
    <row r="526" spans="44:45">
      <c r="AR526" s="234"/>
      <c r="AS526" s="234"/>
    </row>
    <row r="527" spans="44:45">
      <c r="AR527" s="234"/>
      <c r="AS527" s="234"/>
    </row>
    <row r="528" spans="44:45">
      <c r="AR528" s="234"/>
      <c r="AS528" s="234"/>
    </row>
    <row r="529" spans="44:45">
      <c r="AR529" s="234"/>
      <c r="AS529" s="234"/>
    </row>
    <row r="530" spans="44:45">
      <c r="AR530" s="234"/>
      <c r="AS530" s="234"/>
    </row>
    <row r="531" spans="44:45">
      <c r="AR531" s="234"/>
      <c r="AS531" s="234"/>
    </row>
    <row r="532" spans="44:45">
      <c r="AR532" s="234"/>
      <c r="AS532" s="234"/>
    </row>
    <row r="533" spans="44:45">
      <c r="AR533" s="234"/>
      <c r="AS533" s="234"/>
    </row>
    <row r="534" spans="44:45">
      <c r="AR534" s="234"/>
      <c r="AS534" s="234"/>
    </row>
    <row r="535" spans="44:45">
      <c r="AR535" s="234"/>
      <c r="AS535" s="234"/>
    </row>
    <row r="536" spans="44:45">
      <c r="AR536" s="234"/>
      <c r="AS536" s="234"/>
    </row>
    <row r="537" spans="44:45">
      <c r="AR537" s="234"/>
      <c r="AS537" s="234"/>
    </row>
    <row r="538" spans="44:45">
      <c r="AR538" s="234"/>
      <c r="AS538" s="234"/>
    </row>
    <row r="539" spans="44:45">
      <c r="AR539" s="234"/>
      <c r="AS539" s="234"/>
    </row>
    <row r="540" spans="44:45">
      <c r="AR540" s="234"/>
      <c r="AS540" s="234"/>
    </row>
    <row r="541" spans="44:45">
      <c r="AR541" s="234"/>
      <c r="AS541" s="234"/>
    </row>
    <row r="542" spans="44:45">
      <c r="AR542" s="234"/>
      <c r="AS542" s="234"/>
    </row>
    <row r="543" spans="44:45">
      <c r="AR543" s="234"/>
      <c r="AS543" s="234"/>
    </row>
    <row r="544" spans="44:45">
      <c r="AR544" s="234"/>
      <c r="AS544" s="234"/>
    </row>
    <row r="545" spans="44:45">
      <c r="AR545" s="234"/>
      <c r="AS545" s="234"/>
    </row>
    <row r="546" spans="44:45">
      <c r="AR546" s="234"/>
      <c r="AS546" s="234"/>
    </row>
    <row r="547" spans="44:45">
      <c r="AR547" s="234"/>
      <c r="AS547" s="234"/>
    </row>
    <row r="548" spans="44:45">
      <c r="AR548" s="234"/>
      <c r="AS548" s="234"/>
    </row>
    <row r="549" spans="44:45">
      <c r="AR549" s="234"/>
      <c r="AS549" s="234"/>
    </row>
    <row r="550" spans="44:45">
      <c r="AR550" s="234"/>
      <c r="AS550" s="234"/>
    </row>
    <row r="551" spans="44:45">
      <c r="AR551" s="234"/>
      <c r="AS551" s="234"/>
    </row>
    <row r="552" spans="44:45">
      <c r="AR552" s="234"/>
      <c r="AS552" s="234"/>
    </row>
    <row r="553" spans="44:45">
      <c r="AR553" s="234"/>
      <c r="AS553" s="234"/>
    </row>
    <row r="554" spans="44:45">
      <c r="AR554" s="234"/>
      <c r="AS554" s="234"/>
    </row>
    <row r="555" spans="44:45">
      <c r="AR555" s="234"/>
      <c r="AS555" s="234"/>
    </row>
    <row r="556" spans="44:45">
      <c r="AR556" s="234"/>
      <c r="AS556" s="234"/>
    </row>
    <row r="557" spans="44:45">
      <c r="AR557" s="234"/>
      <c r="AS557" s="234"/>
    </row>
    <row r="558" spans="44:45">
      <c r="AR558" s="234"/>
      <c r="AS558" s="234"/>
    </row>
    <row r="559" spans="44:45">
      <c r="AR559" s="234"/>
      <c r="AS559" s="234"/>
    </row>
    <row r="560" spans="44:45">
      <c r="AR560" s="234"/>
      <c r="AS560" s="234"/>
    </row>
    <row r="561" spans="44:45">
      <c r="AR561" s="234"/>
      <c r="AS561" s="234"/>
    </row>
    <row r="562" spans="44:45">
      <c r="AR562" s="234"/>
      <c r="AS562" s="234"/>
    </row>
    <row r="563" spans="44:45">
      <c r="AR563" s="234"/>
      <c r="AS563" s="234"/>
    </row>
    <row r="564" spans="44:45">
      <c r="AR564" s="234"/>
      <c r="AS564" s="234"/>
    </row>
    <row r="565" spans="44:45">
      <c r="AR565" s="234"/>
      <c r="AS565" s="234"/>
    </row>
    <row r="566" spans="44:45">
      <c r="AR566" s="234"/>
      <c r="AS566" s="234"/>
    </row>
    <row r="567" spans="44:45">
      <c r="AR567" s="234"/>
      <c r="AS567" s="234"/>
    </row>
    <row r="568" spans="44:45">
      <c r="AR568" s="234"/>
      <c r="AS568" s="234"/>
    </row>
    <row r="569" spans="44:45">
      <c r="AR569" s="234"/>
      <c r="AS569" s="234"/>
    </row>
    <row r="570" spans="44:45">
      <c r="AR570" s="234"/>
      <c r="AS570" s="234"/>
    </row>
    <row r="571" spans="44:45">
      <c r="AR571" s="234"/>
      <c r="AS571" s="234"/>
    </row>
    <row r="572" spans="44:45">
      <c r="AR572" s="234"/>
      <c r="AS572" s="234"/>
    </row>
    <row r="573" spans="44:45">
      <c r="AR573" s="234"/>
      <c r="AS573" s="234"/>
    </row>
    <row r="574" spans="44:45">
      <c r="AR574" s="234"/>
      <c r="AS574" s="234"/>
    </row>
    <row r="575" spans="44:45">
      <c r="AR575" s="234"/>
      <c r="AS575" s="234"/>
    </row>
    <row r="576" spans="44:45">
      <c r="AR576" s="234"/>
      <c r="AS576" s="234"/>
    </row>
    <row r="577" spans="44:45">
      <c r="AR577" s="234"/>
      <c r="AS577" s="234"/>
    </row>
    <row r="578" spans="44:45">
      <c r="AR578" s="234"/>
      <c r="AS578" s="234"/>
    </row>
    <row r="579" spans="44:45">
      <c r="AR579" s="234"/>
      <c r="AS579" s="234"/>
    </row>
    <row r="580" spans="44:45">
      <c r="AR580" s="234"/>
      <c r="AS580" s="234"/>
    </row>
    <row r="581" spans="44:45">
      <c r="AR581" s="234"/>
      <c r="AS581" s="234"/>
    </row>
    <row r="582" spans="44:45">
      <c r="AR582" s="234"/>
      <c r="AS582" s="234"/>
    </row>
    <row r="583" spans="44:45">
      <c r="AR583" s="234"/>
      <c r="AS583" s="234"/>
    </row>
    <row r="584" spans="44:45">
      <c r="AR584" s="234"/>
      <c r="AS584" s="234"/>
    </row>
    <row r="585" spans="44:45">
      <c r="AR585" s="234"/>
      <c r="AS585" s="234"/>
    </row>
    <row r="586" spans="44:45">
      <c r="AR586" s="234"/>
      <c r="AS586" s="234"/>
    </row>
    <row r="587" spans="44:45">
      <c r="AR587" s="234"/>
      <c r="AS587" s="234"/>
    </row>
    <row r="588" spans="44:45">
      <c r="AR588" s="234"/>
      <c r="AS588" s="234"/>
    </row>
    <row r="589" spans="44:45">
      <c r="AR589" s="234"/>
      <c r="AS589" s="234"/>
    </row>
    <row r="590" spans="44:45">
      <c r="AR590" s="234"/>
      <c r="AS590" s="234"/>
    </row>
    <row r="591" spans="44:45">
      <c r="AR591" s="234"/>
      <c r="AS591" s="234"/>
    </row>
    <row r="592" spans="44:45">
      <c r="AR592" s="234"/>
      <c r="AS592" s="234"/>
    </row>
    <row r="593" spans="44:45">
      <c r="AR593" s="234"/>
      <c r="AS593" s="234"/>
    </row>
    <row r="594" spans="44:45">
      <c r="AR594" s="234"/>
      <c r="AS594" s="234"/>
    </row>
    <row r="595" spans="44:45">
      <c r="AR595" s="234"/>
      <c r="AS595" s="234"/>
    </row>
    <row r="596" spans="44:45">
      <c r="AR596" s="234"/>
      <c r="AS596" s="234"/>
    </row>
    <row r="597" spans="44:45">
      <c r="AR597" s="234"/>
      <c r="AS597" s="234"/>
    </row>
    <row r="598" spans="44:45">
      <c r="AR598" s="234"/>
      <c r="AS598" s="234"/>
    </row>
    <row r="599" spans="44:45">
      <c r="AR599" s="234"/>
      <c r="AS599" s="234"/>
    </row>
    <row r="600" spans="44:45">
      <c r="AR600" s="234"/>
      <c r="AS600" s="234"/>
    </row>
    <row r="601" spans="44:45">
      <c r="AR601" s="234"/>
      <c r="AS601" s="234"/>
    </row>
    <row r="602" spans="44:45">
      <c r="AR602" s="234"/>
      <c r="AS602" s="234"/>
    </row>
    <row r="603" spans="44:45">
      <c r="AR603" s="234"/>
      <c r="AS603" s="234"/>
    </row>
    <row r="604" spans="44:45">
      <c r="AR604" s="234"/>
      <c r="AS604" s="234"/>
    </row>
    <row r="605" spans="44:45">
      <c r="AR605" s="234"/>
      <c r="AS605" s="234"/>
    </row>
    <row r="606" spans="44:45">
      <c r="AR606" s="234"/>
      <c r="AS606" s="234"/>
    </row>
    <row r="607" spans="44:45">
      <c r="AR607" s="234"/>
      <c r="AS607" s="234"/>
    </row>
    <row r="608" spans="44:45">
      <c r="AR608" s="234"/>
      <c r="AS608" s="234"/>
    </row>
    <row r="609" spans="44:45">
      <c r="AR609" s="234"/>
      <c r="AS609" s="234"/>
    </row>
    <row r="610" spans="44:45">
      <c r="AR610" s="234"/>
      <c r="AS610" s="234"/>
    </row>
    <row r="611" spans="44:45">
      <c r="AR611" s="234"/>
      <c r="AS611" s="234"/>
    </row>
    <row r="612" spans="44:45">
      <c r="AR612" s="234"/>
      <c r="AS612" s="234"/>
    </row>
    <row r="613" spans="44:45">
      <c r="AR613" s="234"/>
      <c r="AS613" s="234"/>
    </row>
    <row r="614" spans="44:45">
      <c r="AR614" s="234"/>
      <c r="AS614" s="234"/>
    </row>
    <row r="615" spans="44:45">
      <c r="AR615" s="234"/>
      <c r="AS615" s="234"/>
    </row>
    <row r="616" spans="44:45">
      <c r="AR616" s="234"/>
      <c r="AS616" s="234"/>
    </row>
    <row r="617" spans="44:45">
      <c r="AR617" s="234"/>
      <c r="AS617" s="234"/>
    </row>
    <row r="618" spans="44:45">
      <c r="AR618" s="234"/>
      <c r="AS618" s="234"/>
    </row>
    <row r="619" spans="44:45">
      <c r="AR619" s="234"/>
      <c r="AS619" s="234"/>
    </row>
    <row r="620" spans="44:45">
      <c r="AR620" s="234"/>
      <c r="AS620" s="234"/>
    </row>
    <row r="621" spans="44:45">
      <c r="AR621" s="234"/>
      <c r="AS621" s="234"/>
    </row>
    <row r="622" spans="44:45">
      <c r="AR622" s="234"/>
      <c r="AS622" s="234"/>
    </row>
    <row r="623" spans="44:45">
      <c r="AR623" s="234"/>
      <c r="AS623" s="234"/>
    </row>
    <row r="624" spans="44:45">
      <c r="AR624" s="234"/>
      <c r="AS624" s="234"/>
    </row>
    <row r="625" spans="44:45">
      <c r="AR625" s="234"/>
      <c r="AS625" s="234"/>
    </row>
    <row r="626" spans="44:45">
      <c r="AR626" s="234"/>
      <c r="AS626" s="234"/>
    </row>
    <row r="627" spans="44:45">
      <c r="AR627" s="234"/>
      <c r="AS627" s="234"/>
    </row>
    <row r="628" spans="44:45">
      <c r="AR628" s="234"/>
      <c r="AS628" s="234"/>
    </row>
    <row r="629" spans="44:45">
      <c r="AR629" s="234"/>
      <c r="AS629" s="234"/>
    </row>
    <row r="630" spans="44:45">
      <c r="AR630" s="234"/>
      <c r="AS630" s="234"/>
    </row>
    <row r="631" spans="44:45">
      <c r="AR631" s="234"/>
      <c r="AS631" s="234"/>
    </row>
    <row r="632" spans="44:45">
      <c r="AR632" s="234"/>
      <c r="AS632" s="234"/>
    </row>
    <row r="633" spans="44:45">
      <c r="AR633" s="234"/>
      <c r="AS633" s="234"/>
    </row>
    <row r="634" spans="44:45">
      <c r="AR634" s="234"/>
      <c r="AS634" s="234"/>
    </row>
    <row r="635" spans="44:45">
      <c r="AR635" s="234"/>
      <c r="AS635" s="234"/>
    </row>
    <row r="636" spans="44:45">
      <c r="AR636" s="234"/>
      <c r="AS636" s="234"/>
    </row>
    <row r="637" spans="44:45">
      <c r="AR637" s="234"/>
      <c r="AS637" s="234"/>
    </row>
    <row r="638" spans="44:45">
      <c r="AR638" s="234"/>
      <c r="AS638" s="234"/>
    </row>
    <row r="639" spans="44:45">
      <c r="AR639" s="234"/>
      <c r="AS639" s="234"/>
    </row>
    <row r="640" spans="44:45">
      <c r="AR640" s="234"/>
      <c r="AS640" s="234"/>
    </row>
    <row r="641" spans="44:45">
      <c r="AR641" s="234"/>
      <c r="AS641" s="234"/>
    </row>
    <row r="642" spans="44:45">
      <c r="AR642" s="234"/>
      <c r="AS642" s="234"/>
    </row>
    <row r="643" spans="44:45">
      <c r="AR643" s="234"/>
      <c r="AS643" s="234"/>
    </row>
    <row r="644" spans="44:45">
      <c r="AR644" s="234"/>
      <c r="AS644" s="234"/>
    </row>
    <row r="645" spans="44:45">
      <c r="AR645" s="234"/>
      <c r="AS645" s="234"/>
    </row>
    <row r="646" spans="44:45">
      <c r="AR646" s="234"/>
      <c r="AS646" s="234"/>
    </row>
    <row r="647" spans="44:45">
      <c r="AR647" s="234"/>
      <c r="AS647" s="234"/>
    </row>
    <row r="648" spans="44:45">
      <c r="AR648" s="234"/>
      <c r="AS648" s="234"/>
    </row>
    <row r="649" spans="44:45">
      <c r="AR649" s="234"/>
      <c r="AS649" s="234"/>
    </row>
    <row r="650" spans="44:45">
      <c r="AR650" s="234"/>
      <c r="AS650" s="234"/>
    </row>
    <row r="651" spans="44:45">
      <c r="AR651" s="234"/>
      <c r="AS651" s="234"/>
    </row>
    <row r="652" spans="44:45">
      <c r="AR652" s="234"/>
      <c r="AS652" s="234"/>
    </row>
    <row r="653" spans="44:45">
      <c r="AR653" s="234"/>
      <c r="AS653" s="234"/>
    </row>
    <row r="654" spans="44:45">
      <c r="AR654" s="234"/>
      <c r="AS654" s="234"/>
    </row>
    <row r="655" spans="44:45">
      <c r="AR655" s="234"/>
      <c r="AS655" s="234"/>
    </row>
    <row r="656" spans="44:45">
      <c r="AR656" s="234"/>
      <c r="AS656" s="234"/>
    </row>
    <row r="657" spans="44:45">
      <c r="AR657" s="234"/>
      <c r="AS657" s="234"/>
    </row>
    <row r="658" spans="44:45">
      <c r="AR658" s="234"/>
      <c r="AS658" s="234"/>
    </row>
    <row r="659" spans="44:45">
      <c r="AR659" s="234"/>
      <c r="AS659" s="234"/>
    </row>
    <row r="660" spans="44:45">
      <c r="AR660" s="234"/>
      <c r="AS660" s="234"/>
    </row>
    <row r="661" spans="44:45">
      <c r="AR661" s="234"/>
      <c r="AS661" s="234"/>
    </row>
    <row r="662" spans="44:45">
      <c r="AR662" s="234"/>
      <c r="AS662" s="234"/>
    </row>
    <row r="663" spans="44:45">
      <c r="AR663" s="234"/>
      <c r="AS663" s="234"/>
    </row>
    <row r="664" spans="44:45">
      <c r="AR664" s="234"/>
      <c r="AS664" s="234"/>
    </row>
    <row r="665" spans="44:45">
      <c r="AR665" s="234"/>
      <c r="AS665" s="234"/>
    </row>
    <row r="666" spans="44:45">
      <c r="AR666" s="234"/>
      <c r="AS666" s="234"/>
    </row>
    <row r="667" spans="44:45">
      <c r="AR667" s="234"/>
      <c r="AS667" s="234"/>
    </row>
    <row r="668" spans="44:45">
      <c r="AR668" s="234"/>
      <c r="AS668" s="234"/>
    </row>
    <row r="669" spans="44:45">
      <c r="AR669" s="234"/>
      <c r="AS669" s="234"/>
    </row>
    <row r="670" spans="44:45">
      <c r="AR670" s="234"/>
      <c r="AS670" s="234"/>
    </row>
    <row r="671" spans="44:45">
      <c r="AR671" s="234"/>
      <c r="AS671" s="234"/>
    </row>
    <row r="672" spans="44:45">
      <c r="AR672" s="234"/>
      <c r="AS672" s="234"/>
    </row>
    <row r="673" spans="44:45">
      <c r="AR673" s="234"/>
      <c r="AS673" s="234"/>
    </row>
    <row r="674" spans="44:45">
      <c r="AR674" s="234"/>
      <c r="AS674" s="234"/>
    </row>
    <row r="675" spans="44:45">
      <c r="AR675" s="234"/>
      <c r="AS675" s="234"/>
    </row>
    <row r="676" spans="44:45">
      <c r="AR676" s="234"/>
      <c r="AS676" s="234"/>
    </row>
    <row r="677" spans="44:45">
      <c r="AR677" s="234"/>
      <c r="AS677" s="234"/>
    </row>
    <row r="678" spans="44:45">
      <c r="AR678" s="234"/>
      <c r="AS678" s="234"/>
    </row>
    <row r="679" spans="44:45">
      <c r="AR679" s="234"/>
      <c r="AS679" s="234"/>
    </row>
    <row r="680" spans="44:45">
      <c r="AR680" s="234"/>
      <c r="AS680" s="234"/>
    </row>
    <row r="681" spans="44:45">
      <c r="AR681" s="234"/>
      <c r="AS681" s="234"/>
    </row>
    <row r="682" spans="44:45">
      <c r="AR682" s="234"/>
      <c r="AS682" s="234"/>
    </row>
    <row r="683" spans="44:45">
      <c r="AR683" s="234"/>
      <c r="AS683" s="234"/>
    </row>
    <row r="684" spans="44:45">
      <c r="AR684" s="234"/>
      <c r="AS684" s="234"/>
    </row>
    <row r="685" spans="44:45">
      <c r="AR685" s="234"/>
      <c r="AS685" s="234"/>
    </row>
    <row r="686" spans="44:45">
      <c r="AR686" s="234"/>
      <c r="AS686" s="234"/>
    </row>
    <row r="687" spans="44:45">
      <c r="AR687" s="234"/>
      <c r="AS687" s="234"/>
    </row>
    <row r="688" spans="44:45">
      <c r="AR688" s="234"/>
      <c r="AS688" s="234"/>
    </row>
    <row r="689" spans="44:45">
      <c r="AR689" s="234"/>
      <c r="AS689" s="234"/>
    </row>
    <row r="690" spans="44:45">
      <c r="AR690" s="234"/>
      <c r="AS690" s="234"/>
    </row>
    <row r="691" spans="44:45">
      <c r="AR691" s="234"/>
      <c r="AS691" s="234"/>
    </row>
    <row r="692" spans="44:45">
      <c r="AR692" s="234"/>
      <c r="AS692" s="234"/>
    </row>
    <row r="693" spans="44:45">
      <c r="AR693" s="234"/>
      <c r="AS693" s="234"/>
    </row>
    <row r="694" spans="44:45">
      <c r="AR694" s="234"/>
      <c r="AS694" s="234"/>
    </row>
    <row r="695" spans="44:45">
      <c r="AR695" s="234"/>
      <c r="AS695" s="234"/>
    </row>
    <row r="696" spans="44:45">
      <c r="AR696" s="234"/>
      <c r="AS696" s="234"/>
    </row>
    <row r="697" spans="44:45">
      <c r="AR697" s="234"/>
      <c r="AS697" s="234"/>
    </row>
    <row r="698" spans="44:45">
      <c r="AR698" s="234"/>
      <c r="AS698" s="234"/>
    </row>
    <row r="699" spans="44:45">
      <c r="AR699" s="234"/>
      <c r="AS699" s="234"/>
    </row>
    <row r="700" spans="44:45">
      <c r="AR700" s="234"/>
      <c r="AS700" s="234"/>
    </row>
    <row r="701" spans="44:45">
      <c r="AR701" s="234"/>
      <c r="AS701" s="234"/>
    </row>
    <row r="702" spans="44:45">
      <c r="AR702" s="234"/>
      <c r="AS702" s="234"/>
    </row>
    <row r="703" spans="44:45">
      <c r="AR703" s="234"/>
      <c r="AS703" s="234"/>
    </row>
    <row r="704" spans="44:45">
      <c r="AR704" s="234"/>
      <c r="AS704" s="234"/>
    </row>
    <row r="705" spans="44:45">
      <c r="AR705" s="234"/>
      <c r="AS705" s="234"/>
    </row>
    <row r="706" spans="44:45">
      <c r="AR706" s="234"/>
      <c r="AS706" s="234"/>
    </row>
    <row r="707" spans="44:45">
      <c r="AR707" s="234"/>
      <c r="AS707" s="234"/>
    </row>
    <row r="708" spans="44:45">
      <c r="AR708" s="234"/>
      <c r="AS708" s="234"/>
    </row>
    <row r="709" spans="44:45">
      <c r="AR709" s="234"/>
      <c r="AS709" s="234"/>
    </row>
    <row r="710" spans="44:45">
      <c r="AR710" s="234"/>
      <c r="AS710" s="234"/>
    </row>
    <row r="711" spans="44:45">
      <c r="AR711" s="234"/>
      <c r="AS711" s="234"/>
    </row>
    <row r="712" spans="44:45">
      <c r="AR712" s="234"/>
      <c r="AS712" s="234"/>
    </row>
    <row r="713" spans="44:45">
      <c r="AR713" s="234"/>
      <c r="AS713" s="234"/>
    </row>
    <row r="714" spans="44:45">
      <c r="AR714" s="234"/>
      <c r="AS714" s="234"/>
    </row>
    <row r="715" spans="44:45">
      <c r="AR715" s="234"/>
      <c r="AS715" s="234"/>
    </row>
    <row r="716" spans="44:45">
      <c r="AR716" s="234"/>
      <c r="AS716" s="234"/>
    </row>
    <row r="717" spans="44:45">
      <c r="AR717" s="234"/>
      <c r="AS717" s="234"/>
    </row>
    <row r="718" spans="44:45">
      <c r="AR718" s="234"/>
      <c r="AS718" s="234"/>
    </row>
    <row r="719" spans="44:45">
      <c r="AR719" s="234"/>
      <c r="AS719" s="234"/>
    </row>
    <row r="720" spans="44:45">
      <c r="AR720" s="234"/>
      <c r="AS720" s="234"/>
    </row>
    <row r="721" spans="44:45">
      <c r="AR721" s="234"/>
      <c r="AS721" s="234"/>
    </row>
    <row r="722" spans="44:45">
      <c r="AR722" s="234"/>
      <c r="AS722" s="234"/>
    </row>
    <row r="723" spans="44:45">
      <c r="AR723" s="234"/>
      <c r="AS723" s="234"/>
    </row>
    <row r="724" spans="44:45">
      <c r="AR724" s="234"/>
      <c r="AS724" s="234"/>
    </row>
    <row r="725" spans="44:45">
      <c r="AR725" s="234"/>
      <c r="AS725" s="234"/>
    </row>
    <row r="726" spans="44:45">
      <c r="AR726" s="234"/>
      <c r="AS726" s="234"/>
    </row>
    <row r="727" spans="44:45">
      <c r="AR727" s="234"/>
      <c r="AS727" s="234"/>
    </row>
    <row r="728" spans="44:45">
      <c r="AR728" s="234"/>
      <c r="AS728" s="234"/>
    </row>
    <row r="729" spans="44:45">
      <c r="AR729" s="234"/>
      <c r="AS729" s="234"/>
    </row>
    <row r="730" spans="44:45">
      <c r="AR730" s="234"/>
      <c r="AS730" s="234"/>
    </row>
    <row r="731" spans="44:45">
      <c r="AR731" s="234"/>
      <c r="AS731" s="234"/>
    </row>
    <row r="732" spans="44:45">
      <c r="AR732" s="234"/>
      <c r="AS732" s="234"/>
    </row>
    <row r="733" spans="44:45">
      <c r="AR733" s="234"/>
      <c r="AS733" s="234"/>
    </row>
    <row r="734" spans="44:45">
      <c r="AR734" s="234"/>
      <c r="AS734" s="234"/>
    </row>
    <row r="735" spans="44:45">
      <c r="AR735" s="234"/>
      <c r="AS735" s="234"/>
    </row>
    <row r="736" spans="44:45">
      <c r="AR736" s="234"/>
      <c r="AS736" s="234"/>
    </row>
    <row r="737" spans="44:45">
      <c r="AR737" s="234"/>
      <c r="AS737" s="234"/>
    </row>
    <row r="738" spans="44:45">
      <c r="AR738" s="234"/>
      <c r="AS738" s="234"/>
    </row>
    <row r="739" spans="44:45">
      <c r="AR739" s="234"/>
      <c r="AS739" s="234"/>
    </row>
    <row r="740" spans="44:45">
      <c r="AR740" s="234"/>
      <c r="AS740" s="234"/>
    </row>
    <row r="741" spans="44:45">
      <c r="AR741" s="234"/>
      <c r="AS741" s="234"/>
    </row>
    <row r="742" spans="44:45">
      <c r="AR742" s="234"/>
      <c r="AS742" s="234"/>
    </row>
    <row r="743" spans="44:45">
      <c r="AR743" s="234"/>
      <c r="AS743" s="234"/>
    </row>
    <row r="744" spans="44:45">
      <c r="AR744" s="234"/>
      <c r="AS744" s="234"/>
    </row>
    <row r="745" spans="44:45">
      <c r="AR745" s="234"/>
      <c r="AS745" s="234"/>
    </row>
    <row r="746" spans="44:45">
      <c r="AR746" s="234"/>
      <c r="AS746" s="234"/>
    </row>
    <row r="747" spans="44:45">
      <c r="AR747" s="234"/>
      <c r="AS747" s="234"/>
    </row>
    <row r="748" spans="44:45">
      <c r="AR748" s="234"/>
      <c r="AS748" s="234"/>
    </row>
    <row r="749" spans="44:45">
      <c r="AR749" s="234"/>
      <c r="AS749" s="234"/>
    </row>
    <row r="750" spans="44:45">
      <c r="AR750" s="234"/>
      <c r="AS750" s="234"/>
    </row>
    <row r="751" spans="44:45">
      <c r="AR751" s="234"/>
      <c r="AS751" s="234"/>
    </row>
    <row r="752" spans="44:45">
      <c r="AR752" s="234"/>
      <c r="AS752" s="234"/>
    </row>
    <row r="753" spans="44:45">
      <c r="AR753" s="234"/>
      <c r="AS753" s="234"/>
    </row>
    <row r="754" spans="44:45">
      <c r="AR754" s="234"/>
      <c r="AS754" s="234"/>
    </row>
    <row r="755" spans="44:45">
      <c r="AR755" s="234"/>
      <c r="AS755" s="234"/>
    </row>
    <row r="756" spans="44:45">
      <c r="AR756" s="234"/>
      <c r="AS756" s="234"/>
    </row>
    <row r="757" spans="44:45">
      <c r="AR757" s="234"/>
      <c r="AS757" s="234"/>
    </row>
    <row r="758" spans="44:45">
      <c r="AR758" s="234"/>
      <c r="AS758" s="234"/>
    </row>
    <row r="759" spans="44:45">
      <c r="AR759" s="234"/>
      <c r="AS759" s="234"/>
    </row>
    <row r="760" spans="44:45">
      <c r="AR760" s="234"/>
      <c r="AS760" s="234"/>
    </row>
    <row r="761" spans="44:45">
      <c r="AR761" s="234"/>
      <c r="AS761" s="234"/>
    </row>
    <row r="762" spans="44:45">
      <c r="AR762" s="234"/>
      <c r="AS762" s="234"/>
    </row>
    <row r="763" spans="44:45">
      <c r="AR763" s="234"/>
      <c r="AS763" s="234"/>
    </row>
    <row r="764" spans="44:45">
      <c r="AR764" s="234"/>
      <c r="AS764" s="234"/>
    </row>
    <row r="765" spans="44:45">
      <c r="AR765" s="234"/>
      <c r="AS765" s="234"/>
    </row>
    <row r="766" spans="44:45">
      <c r="AR766" s="234"/>
      <c r="AS766" s="234"/>
    </row>
    <row r="767" spans="44:45">
      <c r="AR767" s="234"/>
      <c r="AS767" s="234"/>
    </row>
    <row r="768" spans="44:45">
      <c r="AR768" s="234"/>
      <c r="AS768" s="234"/>
    </row>
    <row r="769" spans="44:45">
      <c r="AR769" s="234"/>
      <c r="AS769" s="234"/>
    </row>
    <row r="770" spans="44:45">
      <c r="AR770" s="234"/>
      <c r="AS770" s="234"/>
    </row>
    <row r="771" spans="44:45">
      <c r="AR771" s="234"/>
      <c r="AS771" s="234"/>
    </row>
    <row r="772" spans="44:45">
      <c r="AR772" s="234"/>
      <c r="AS772" s="234"/>
    </row>
    <row r="773" spans="44:45">
      <c r="AR773" s="234"/>
      <c r="AS773" s="234"/>
    </row>
    <row r="774" spans="44:45">
      <c r="AR774" s="234"/>
      <c r="AS774" s="234"/>
    </row>
    <row r="775" spans="44:45">
      <c r="AR775" s="234"/>
      <c r="AS775" s="234"/>
    </row>
    <row r="776" spans="44:45">
      <c r="AR776" s="234"/>
      <c r="AS776" s="234"/>
    </row>
    <row r="777" spans="44:45">
      <c r="AR777" s="234"/>
      <c r="AS777" s="234"/>
    </row>
    <row r="778" spans="44:45">
      <c r="AR778" s="234"/>
      <c r="AS778" s="234"/>
    </row>
    <row r="779" spans="44:45">
      <c r="AR779" s="234"/>
      <c r="AS779" s="234"/>
    </row>
    <row r="780" spans="44:45">
      <c r="AR780" s="234"/>
      <c r="AS780" s="234"/>
    </row>
    <row r="781" spans="44:45">
      <c r="AR781" s="234"/>
      <c r="AS781" s="234"/>
    </row>
    <row r="782" spans="44:45">
      <c r="AR782" s="234"/>
      <c r="AS782" s="234"/>
    </row>
    <row r="783" spans="44:45">
      <c r="AR783" s="234"/>
      <c r="AS783" s="234"/>
    </row>
    <row r="784" spans="44:45">
      <c r="AR784" s="234"/>
      <c r="AS784" s="234"/>
    </row>
    <row r="785" spans="44:45">
      <c r="AR785" s="234"/>
      <c r="AS785" s="234"/>
    </row>
    <row r="786" spans="44:45">
      <c r="AR786" s="234"/>
      <c r="AS786" s="234"/>
    </row>
    <row r="787" spans="44:45">
      <c r="AR787" s="234"/>
      <c r="AS787" s="234"/>
    </row>
    <row r="788" spans="44:45">
      <c r="AR788" s="234"/>
      <c r="AS788" s="234"/>
    </row>
    <row r="789" spans="44:45">
      <c r="AR789" s="234"/>
      <c r="AS789" s="234"/>
    </row>
    <row r="790" spans="44:45">
      <c r="AR790" s="234"/>
      <c r="AS790" s="234"/>
    </row>
    <row r="791" spans="44:45">
      <c r="AR791" s="234"/>
      <c r="AS791" s="234"/>
    </row>
    <row r="792" spans="44:45">
      <c r="AR792" s="234"/>
      <c r="AS792" s="234"/>
    </row>
    <row r="793" spans="44:45">
      <c r="AR793" s="234"/>
      <c r="AS793" s="234"/>
    </row>
    <row r="794" spans="44:45">
      <c r="AR794" s="234"/>
      <c r="AS794" s="234"/>
    </row>
    <row r="795" spans="44:45">
      <c r="AR795" s="234"/>
      <c r="AS795" s="234"/>
    </row>
    <row r="796" spans="44:45">
      <c r="AR796" s="234"/>
      <c r="AS796" s="234"/>
    </row>
    <row r="797" spans="44:45">
      <c r="AR797" s="234"/>
      <c r="AS797" s="234"/>
    </row>
    <row r="798" spans="44:45">
      <c r="AR798" s="234"/>
      <c r="AS798" s="234"/>
    </row>
    <row r="799" spans="44:45">
      <c r="AR799" s="234"/>
      <c r="AS799" s="234"/>
    </row>
    <row r="800" spans="44:45">
      <c r="AR800" s="234"/>
      <c r="AS800" s="234"/>
    </row>
    <row r="801" spans="44:45">
      <c r="AR801" s="234"/>
      <c r="AS801" s="234"/>
    </row>
    <row r="802" spans="44:45">
      <c r="AR802" s="234"/>
      <c r="AS802" s="234"/>
    </row>
    <row r="803" spans="44:45">
      <c r="AR803" s="234"/>
      <c r="AS803" s="234"/>
    </row>
    <row r="804" spans="44:45">
      <c r="AR804" s="234"/>
      <c r="AS804" s="234"/>
    </row>
    <row r="805" spans="44:45">
      <c r="AR805" s="234"/>
      <c r="AS805" s="234"/>
    </row>
    <row r="806" spans="44:45">
      <c r="AR806" s="234"/>
      <c r="AS806" s="234"/>
    </row>
    <row r="807" spans="44:45">
      <c r="AR807" s="234"/>
      <c r="AS807" s="234"/>
    </row>
    <row r="808" spans="44:45">
      <c r="AR808" s="234"/>
      <c r="AS808" s="234"/>
    </row>
    <row r="809" spans="44:45">
      <c r="AR809" s="234"/>
      <c r="AS809" s="234"/>
    </row>
    <row r="810" spans="44:45">
      <c r="AR810" s="234"/>
      <c r="AS810" s="234"/>
    </row>
    <row r="811" spans="44:45">
      <c r="AR811" s="234"/>
      <c r="AS811" s="234"/>
    </row>
    <row r="812" spans="44:45">
      <c r="AR812" s="234"/>
      <c r="AS812" s="234"/>
    </row>
    <row r="813" spans="44:45">
      <c r="AR813" s="234"/>
      <c r="AS813" s="234"/>
    </row>
    <row r="814" spans="44:45">
      <c r="AR814" s="234"/>
      <c r="AS814" s="234"/>
    </row>
    <row r="815" spans="44:45">
      <c r="AR815" s="234"/>
      <c r="AS815" s="234"/>
    </row>
    <row r="816" spans="44:45">
      <c r="AR816" s="234"/>
      <c r="AS816" s="234"/>
    </row>
    <row r="817" spans="44:45">
      <c r="AR817" s="234"/>
      <c r="AS817" s="234"/>
    </row>
    <row r="818" spans="44:45">
      <c r="AR818" s="234"/>
      <c r="AS818" s="234"/>
    </row>
    <row r="819" spans="44:45">
      <c r="AR819" s="234"/>
      <c r="AS819" s="234"/>
    </row>
    <row r="820" spans="44:45">
      <c r="AR820" s="234"/>
      <c r="AS820" s="234"/>
    </row>
    <row r="821" spans="44:45">
      <c r="AR821" s="234"/>
      <c r="AS821" s="234"/>
    </row>
    <row r="822" spans="44:45">
      <c r="AR822" s="234"/>
      <c r="AS822" s="234"/>
    </row>
    <row r="823" spans="44:45">
      <c r="AR823" s="234"/>
      <c r="AS823" s="234"/>
    </row>
    <row r="824" spans="44:45">
      <c r="AR824" s="234"/>
      <c r="AS824" s="234"/>
    </row>
    <row r="825" spans="44:45">
      <c r="AR825" s="234"/>
      <c r="AS825" s="234"/>
    </row>
    <row r="826" spans="44:45">
      <c r="AR826" s="234"/>
      <c r="AS826" s="234"/>
    </row>
    <row r="827" spans="44:45">
      <c r="AR827" s="234"/>
      <c r="AS827" s="234"/>
    </row>
    <row r="828" spans="44:45">
      <c r="AR828" s="234"/>
      <c r="AS828" s="234"/>
    </row>
    <row r="829" spans="44:45">
      <c r="AR829" s="234"/>
      <c r="AS829" s="234"/>
    </row>
    <row r="830" spans="44:45">
      <c r="AR830" s="234"/>
      <c r="AS830" s="234"/>
    </row>
    <row r="831" spans="44:45">
      <c r="AR831" s="234"/>
      <c r="AS831" s="234"/>
    </row>
    <row r="832" spans="44:45">
      <c r="AR832" s="234"/>
      <c r="AS832" s="234"/>
    </row>
    <row r="833" spans="44:45">
      <c r="AR833" s="234"/>
      <c r="AS833" s="234"/>
    </row>
    <row r="834" spans="44:45">
      <c r="AR834" s="234"/>
      <c r="AS834" s="234"/>
    </row>
    <row r="835" spans="44:45">
      <c r="AR835" s="234"/>
      <c r="AS835" s="234"/>
    </row>
    <row r="836" spans="44:45">
      <c r="AR836" s="234"/>
      <c r="AS836" s="234"/>
    </row>
    <row r="837" spans="44:45">
      <c r="AR837" s="234"/>
      <c r="AS837" s="234"/>
    </row>
    <row r="838" spans="44:45">
      <c r="AR838" s="234"/>
      <c r="AS838" s="234"/>
    </row>
    <row r="839" spans="44:45">
      <c r="AR839" s="234"/>
      <c r="AS839" s="234"/>
    </row>
    <row r="840" spans="44:45">
      <c r="AR840" s="234"/>
      <c r="AS840" s="234"/>
    </row>
    <row r="841" spans="44:45">
      <c r="AR841" s="234"/>
      <c r="AS841" s="234"/>
    </row>
    <row r="842" spans="44:45">
      <c r="AR842" s="234"/>
      <c r="AS842" s="234"/>
    </row>
    <row r="843" spans="44:45">
      <c r="AR843" s="234"/>
      <c r="AS843" s="234"/>
    </row>
    <row r="844" spans="44:45">
      <c r="AR844" s="234"/>
      <c r="AS844" s="234"/>
    </row>
    <row r="845" spans="44:45">
      <c r="AR845" s="234"/>
      <c r="AS845" s="234"/>
    </row>
    <row r="846" spans="44:45">
      <c r="AR846" s="234"/>
      <c r="AS846" s="234"/>
    </row>
    <row r="847" spans="44:45">
      <c r="AR847" s="234"/>
      <c r="AS847" s="234"/>
    </row>
    <row r="848" spans="44:45">
      <c r="AR848" s="234"/>
      <c r="AS848" s="234"/>
    </row>
    <row r="849" spans="44:45">
      <c r="AR849" s="234"/>
      <c r="AS849" s="234"/>
    </row>
    <row r="850" spans="44:45">
      <c r="AR850" s="234"/>
      <c r="AS850" s="234"/>
    </row>
    <row r="851" spans="44:45">
      <c r="AR851" s="234"/>
      <c r="AS851" s="234"/>
    </row>
    <row r="852" spans="44:45">
      <c r="AR852" s="234"/>
      <c r="AS852" s="234"/>
    </row>
    <row r="853" spans="44:45">
      <c r="AR853" s="234"/>
      <c r="AS853" s="234"/>
    </row>
    <row r="854" spans="44:45">
      <c r="AR854" s="234"/>
      <c r="AS854" s="234"/>
    </row>
    <row r="855" spans="44:45">
      <c r="AR855" s="234"/>
      <c r="AS855" s="234"/>
    </row>
    <row r="856" spans="44:45">
      <c r="AR856" s="234"/>
      <c r="AS856" s="234"/>
    </row>
    <row r="857" spans="44:45">
      <c r="AR857" s="234"/>
      <c r="AS857" s="234"/>
    </row>
    <row r="858" spans="44:45">
      <c r="AR858" s="234"/>
      <c r="AS858" s="234"/>
    </row>
    <row r="859" spans="44:45">
      <c r="AR859" s="234"/>
      <c r="AS859" s="234"/>
    </row>
    <row r="860" spans="44:45">
      <c r="AR860" s="234"/>
      <c r="AS860" s="234"/>
    </row>
    <row r="861" spans="44:45">
      <c r="AR861" s="234"/>
      <c r="AS861" s="234"/>
    </row>
    <row r="862" spans="44:45">
      <c r="AR862" s="234"/>
      <c r="AS862" s="234"/>
    </row>
    <row r="863" spans="44:45">
      <c r="AR863" s="234"/>
      <c r="AS863" s="234"/>
    </row>
    <row r="864" spans="44:45">
      <c r="AR864" s="234"/>
      <c r="AS864" s="234"/>
    </row>
    <row r="865" spans="44:45">
      <c r="AR865" s="234"/>
      <c r="AS865" s="234"/>
    </row>
    <row r="866" spans="44:45">
      <c r="AR866" s="234"/>
      <c r="AS866" s="234"/>
    </row>
    <row r="867" spans="44:45">
      <c r="AR867" s="234"/>
      <c r="AS867" s="234"/>
    </row>
    <row r="868" spans="44:45">
      <c r="AR868" s="234"/>
      <c r="AS868" s="234"/>
    </row>
    <row r="869" spans="44:45">
      <c r="AR869" s="234"/>
      <c r="AS869" s="234"/>
    </row>
    <row r="870" spans="44:45">
      <c r="AR870" s="234"/>
      <c r="AS870" s="234"/>
    </row>
    <row r="871" spans="44:45">
      <c r="AR871" s="234"/>
      <c r="AS871" s="234"/>
    </row>
    <row r="872" spans="44:45">
      <c r="AR872" s="234"/>
      <c r="AS872" s="234"/>
    </row>
    <row r="873" spans="44:45">
      <c r="AR873" s="234"/>
      <c r="AS873" s="234"/>
    </row>
    <row r="874" spans="44:45">
      <c r="AR874" s="234"/>
      <c r="AS874" s="234"/>
    </row>
    <row r="875" spans="44:45">
      <c r="AR875" s="234"/>
      <c r="AS875" s="234"/>
    </row>
    <row r="876" spans="44:45">
      <c r="AR876" s="234"/>
      <c r="AS876" s="234"/>
    </row>
    <row r="877" spans="44:45">
      <c r="AR877" s="234"/>
      <c r="AS877" s="234"/>
    </row>
    <row r="878" spans="44:45">
      <c r="AR878" s="234"/>
      <c r="AS878" s="234"/>
    </row>
    <row r="879" spans="44:45">
      <c r="AR879" s="234"/>
      <c r="AS879" s="234"/>
    </row>
    <row r="880" spans="44:45">
      <c r="AR880" s="234"/>
      <c r="AS880" s="234"/>
    </row>
    <row r="881" spans="44:45">
      <c r="AR881" s="234"/>
      <c r="AS881" s="234"/>
    </row>
    <row r="882" spans="44:45">
      <c r="AR882" s="234"/>
      <c r="AS882" s="234"/>
    </row>
    <row r="883" spans="44:45">
      <c r="AR883" s="234"/>
      <c r="AS883" s="234"/>
    </row>
    <row r="884" spans="44:45">
      <c r="AR884" s="234"/>
      <c r="AS884" s="234"/>
    </row>
    <row r="885" spans="44:45">
      <c r="AR885" s="234"/>
      <c r="AS885" s="234"/>
    </row>
    <row r="886" spans="44:45">
      <c r="AR886" s="234"/>
      <c r="AS886" s="234"/>
    </row>
    <row r="887" spans="44:45">
      <c r="AR887" s="234"/>
      <c r="AS887" s="234"/>
    </row>
    <row r="888" spans="44:45">
      <c r="AR888" s="234"/>
      <c r="AS888" s="234"/>
    </row>
    <row r="889" spans="44:45">
      <c r="AR889" s="234"/>
      <c r="AS889" s="234"/>
    </row>
    <row r="890" spans="44:45">
      <c r="AR890" s="234"/>
      <c r="AS890" s="234"/>
    </row>
    <row r="891" spans="44:45">
      <c r="AR891" s="234"/>
      <c r="AS891" s="234"/>
    </row>
    <row r="892" spans="44:45">
      <c r="AR892" s="234"/>
      <c r="AS892" s="234"/>
    </row>
    <row r="893" spans="44:45">
      <c r="AR893" s="234"/>
      <c r="AS893" s="234"/>
    </row>
    <row r="894" spans="44:45">
      <c r="AR894" s="234"/>
      <c r="AS894" s="234"/>
    </row>
    <row r="895" spans="44:45">
      <c r="AR895" s="234"/>
      <c r="AS895" s="234"/>
    </row>
    <row r="896" spans="44:45">
      <c r="AR896" s="234"/>
      <c r="AS896" s="234"/>
    </row>
    <row r="897" spans="44:45">
      <c r="AR897" s="234"/>
      <c r="AS897" s="234"/>
    </row>
    <row r="898" spans="44:45">
      <c r="AR898" s="234"/>
      <c r="AS898" s="234"/>
    </row>
    <row r="899" spans="44:45">
      <c r="AR899" s="234"/>
      <c r="AS899" s="234"/>
    </row>
    <row r="900" spans="44:45">
      <c r="AR900" s="234"/>
      <c r="AS900" s="234"/>
    </row>
    <row r="901" spans="44:45">
      <c r="AR901" s="234"/>
      <c r="AS901" s="234"/>
    </row>
    <row r="902" spans="44:45">
      <c r="AR902" s="234"/>
      <c r="AS902" s="234"/>
    </row>
    <row r="903" spans="44:45">
      <c r="AR903" s="234"/>
      <c r="AS903" s="234"/>
    </row>
    <row r="904" spans="44:45">
      <c r="AR904" s="234"/>
      <c r="AS904" s="234"/>
    </row>
    <row r="905" spans="44:45">
      <c r="AR905" s="234"/>
      <c r="AS905" s="234"/>
    </row>
    <row r="906" spans="44:45">
      <c r="AR906" s="234"/>
      <c r="AS906" s="234"/>
    </row>
    <row r="907" spans="44:45">
      <c r="AR907" s="234"/>
      <c r="AS907" s="234"/>
    </row>
    <row r="908" spans="44:45">
      <c r="AR908" s="234"/>
      <c r="AS908" s="234"/>
    </row>
    <row r="909" spans="44:45">
      <c r="AR909" s="234"/>
      <c r="AS909" s="234"/>
    </row>
    <row r="910" spans="44:45">
      <c r="AR910" s="234"/>
      <c r="AS910" s="234"/>
    </row>
    <row r="911" spans="44:45">
      <c r="AR911" s="234"/>
      <c r="AS911" s="234"/>
    </row>
    <row r="912" spans="44:45">
      <c r="AR912" s="234"/>
      <c r="AS912" s="234"/>
    </row>
    <row r="913" spans="44:45">
      <c r="AR913" s="234"/>
      <c r="AS913" s="234"/>
    </row>
    <row r="914" spans="44:45">
      <c r="AR914" s="234"/>
      <c r="AS914" s="234"/>
    </row>
    <row r="915" spans="44:45">
      <c r="AR915" s="234"/>
      <c r="AS915" s="234"/>
    </row>
    <row r="916" spans="44:45">
      <c r="AR916" s="234"/>
      <c r="AS916" s="234"/>
    </row>
    <row r="917" spans="44:45">
      <c r="AR917" s="234"/>
      <c r="AS917" s="234"/>
    </row>
    <row r="918" spans="44:45">
      <c r="AR918" s="234"/>
      <c r="AS918" s="234"/>
    </row>
    <row r="919" spans="44:45">
      <c r="AR919" s="234"/>
      <c r="AS919" s="234"/>
    </row>
    <row r="920" spans="44:45">
      <c r="AR920" s="234"/>
      <c r="AS920" s="234"/>
    </row>
    <row r="921" spans="44:45">
      <c r="AR921" s="234"/>
      <c r="AS921" s="234"/>
    </row>
    <row r="922" spans="44:45">
      <c r="AR922" s="234"/>
      <c r="AS922" s="234"/>
    </row>
    <row r="923" spans="44:45">
      <c r="AR923" s="234"/>
      <c r="AS923" s="234"/>
    </row>
    <row r="924" spans="44:45">
      <c r="AR924" s="234"/>
      <c r="AS924" s="234"/>
    </row>
    <row r="925" spans="44:45">
      <c r="AR925" s="234"/>
      <c r="AS925" s="234"/>
    </row>
    <row r="926" spans="44:45">
      <c r="AR926" s="234"/>
      <c r="AS926" s="234"/>
    </row>
    <row r="927" spans="44:45">
      <c r="AR927" s="234"/>
      <c r="AS927" s="234"/>
    </row>
    <row r="928" spans="44:45">
      <c r="AR928" s="234"/>
      <c r="AS928" s="234"/>
    </row>
    <row r="929" spans="44:45">
      <c r="AR929" s="234"/>
      <c r="AS929" s="234"/>
    </row>
    <row r="930" spans="44:45">
      <c r="AR930" s="234"/>
      <c r="AS930" s="234"/>
    </row>
    <row r="931" spans="44:45">
      <c r="AR931" s="234"/>
      <c r="AS931" s="234"/>
    </row>
    <row r="932" spans="44:45">
      <c r="AR932" s="234"/>
      <c r="AS932" s="234"/>
    </row>
    <row r="933" spans="44:45">
      <c r="AR933" s="234"/>
      <c r="AS933" s="234"/>
    </row>
    <row r="934" spans="44:45">
      <c r="AR934" s="234"/>
      <c r="AS934" s="234"/>
    </row>
    <row r="935" spans="44:45">
      <c r="AR935" s="234"/>
      <c r="AS935" s="234"/>
    </row>
    <row r="936" spans="44:45">
      <c r="AR936" s="234"/>
      <c r="AS936" s="234"/>
    </row>
    <row r="937" spans="44:45">
      <c r="AR937" s="234"/>
      <c r="AS937" s="234"/>
    </row>
    <row r="938" spans="44:45">
      <c r="AR938" s="234"/>
      <c r="AS938" s="234"/>
    </row>
    <row r="939" spans="44:45">
      <c r="AR939" s="234"/>
      <c r="AS939" s="234"/>
    </row>
    <row r="940" spans="44:45">
      <c r="AR940" s="234"/>
      <c r="AS940" s="234"/>
    </row>
    <row r="941" spans="44:45">
      <c r="AR941" s="234"/>
      <c r="AS941" s="234"/>
    </row>
    <row r="942" spans="44:45">
      <c r="AR942" s="234"/>
      <c r="AS942" s="234"/>
    </row>
    <row r="943" spans="44:45">
      <c r="AR943" s="234"/>
      <c r="AS943" s="234"/>
    </row>
    <row r="944" spans="44:45">
      <c r="AR944" s="234"/>
      <c r="AS944" s="234"/>
    </row>
    <row r="945" spans="44:45">
      <c r="AR945" s="234"/>
      <c r="AS945" s="234"/>
    </row>
    <row r="946" spans="44:45">
      <c r="AR946" s="234"/>
      <c r="AS946" s="234"/>
    </row>
    <row r="947" spans="44:45">
      <c r="AR947" s="234"/>
      <c r="AS947" s="234"/>
    </row>
    <row r="948" spans="44:45">
      <c r="AR948" s="234"/>
      <c r="AS948" s="234"/>
    </row>
    <row r="949" spans="44:45">
      <c r="AR949" s="234"/>
      <c r="AS949" s="234"/>
    </row>
    <row r="950" spans="44:45">
      <c r="AR950" s="234"/>
      <c r="AS950" s="234"/>
    </row>
    <row r="951" spans="44:45">
      <c r="AR951" s="234"/>
      <c r="AS951" s="234"/>
    </row>
    <row r="952" spans="44:45">
      <c r="AR952" s="234"/>
      <c r="AS952" s="234"/>
    </row>
    <row r="953" spans="44:45">
      <c r="AR953" s="234"/>
      <c r="AS953" s="234"/>
    </row>
    <row r="954" spans="44:45">
      <c r="AR954" s="234"/>
      <c r="AS954" s="234"/>
    </row>
    <row r="955" spans="44:45">
      <c r="AR955" s="234"/>
      <c r="AS955" s="234"/>
    </row>
    <row r="956" spans="44:45">
      <c r="AR956" s="234"/>
      <c r="AS956" s="234"/>
    </row>
    <row r="957" spans="44:45">
      <c r="AR957" s="234"/>
      <c r="AS957" s="234"/>
    </row>
    <row r="958" spans="44:45">
      <c r="AR958" s="234"/>
      <c r="AS958" s="234"/>
    </row>
    <row r="959" spans="44:45">
      <c r="AR959" s="234"/>
      <c r="AS959" s="234"/>
    </row>
    <row r="960" spans="44:45">
      <c r="AR960" s="234"/>
      <c r="AS960" s="234"/>
    </row>
    <row r="961" spans="44:45">
      <c r="AR961" s="234"/>
      <c r="AS961" s="234"/>
    </row>
    <row r="962" spans="44:45">
      <c r="AR962" s="234"/>
      <c r="AS962" s="234"/>
    </row>
    <row r="963" spans="44:45">
      <c r="AR963" s="234"/>
      <c r="AS963" s="234"/>
    </row>
    <row r="964" spans="44:45">
      <c r="AR964" s="234"/>
      <c r="AS964" s="234"/>
    </row>
    <row r="965" spans="44:45">
      <c r="AR965" s="234"/>
      <c r="AS965" s="234"/>
    </row>
    <row r="966" spans="44:45">
      <c r="AR966" s="234"/>
      <c r="AS966" s="234"/>
    </row>
    <row r="967" spans="44:45">
      <c r="AR967" s="234"/>
      <c r="AS967" s="234"/>
    </row>
    <row r="968" spans="44:45">
      <c r="AR968" s="234"/>
      <c r="AS968" s="234"/>
    </row>
    <row r="969" spans="44:45">
      <c r="AR969" s="234"/>
      <c r="AS969" s="234"/>
    </row>
    <row r="970" spans="44:45">
      <c r="AR970" s="234"/>
      <c r="AS970" s="234"/>
    </row>
    <row r="971" spans="44:45">
      <c r="AR971" s="234"/>
      <c r="AS971" s="234"/>
    </row>
    <row r="972" spans="44:45">
      <c r="AR972" s="234"/>
      <c r="AS972" s="234"/>
    </row>
    <row r="973" spans="44:45">
      <c r="AR973" s="234"/>
      <c r="AS973" s="234"/>
    </row>
    <row r="974" spans="44:45">
      <c r="AR974" s="234"/>
      <c r="AS974" s="234"/>
    </row>
    <row r="975" spans="44:45">
      <c r="AR975" s="234"/>
      <c r="AS975" s="234"/>
    </row>
    <row r="976" spans="44:45">
      <c r="AR976" s="234"/>
      <c r="AS976" s="234"/>
    </row>
    <row r="977" spans="44:45">
      <c r="AR977" s="234"/>
      <c r="AS977" s="234"/>
    </row>
    <row r="978" spans="44:45">
      <c r="AR978" s="234"/>
      <c r="AS978" s="234"/>
    </row>
    <row r="979" spans="44:45">
      <c r="AR979" s="234"/>
      <c r="AS979" s="234"/>
    </row>
    <row r="980" spans="44:45">
      <c r="AR980" s="234"/>
      <c r="AS980" s="234"/>
    </row>
    <row r="981" spans="44:45">
      <c r="AR981" s="234"/>
      <c r="AS981" s="234"/>
    </row>
    <row r="982" spans="44:45">
      <c r="AR982" s="234"/>
      <c r="AS982" s="234"/>
    </row>
    <row r="983" spans="44:45">
      <c r="AR983" s="234"/>
      <c r="AS983" s="234"/>
    </row>
    <row r="984" spans="44:45">
      <c r="AR984" s="234"/>
      <c r="AS984" s="234"/>
    </row>
    <row r="985" spans="44:45">
      <c r="AR985" s="234"/>
      <c r="AS985" s="234"/>
    </row>
    <row r="986" spans="44:45">
      <c r="AR986" s="234"/>
      <c r="AS986" s="234"/>
    </row>
    <row r="987" spans="44:45">
      <c r="AR987" s="234"/>
      <c r="AS987" s="234"/>
    </row>
    <row r="988" spans="44:45">
      <c r="AR988" s="234"/>
      <c r="AS988" s="234"/>
    </row>
    <row r="989" spans="44:45">
      <c r="AR989" s="234"/>
      <c r="AS989" s="234"/>
    </row>
    <row r="990" spans="44:45">
      <c r="AR990" s="234"/>
      <c r="AS990" s="234"/>
    </row>
    <row r="991" spans="44:45">
      <c r="AR991" s="234"/>
      <c r="AS991" s="234"/>
    </row>
    <row r="992" spans="44:45">
      <c r="AR992" s="234"/>
      <c r="AS992" s="234"/>
    </row>
    <row r="993" spans="44:45">
      <c r="AR993" s="234"/>
      <c r="AS993" s="234"/>
    </row>
    <row r="994" spans="44:45">
      <c r="AR994" s="234"/>
      <c r="AS994" s="234"/>
    </row>
    <row r="995" spans="44:45">
      <c r="AR995" s="234"/>
      <c r="AS995" s="234"/>
    </row>
    <row r="996" spans="44:45">
      <c r="AR996" s="234"/>
      <c r="AS996" s="234"/>
    </row>
    <row r="997" spans="44:45">
      <c r="AR997" s="234"/>
      <c r="AS997" s="234"/>
    </row>
    <row r="998" spans="44:45">
      <c r="AR998" s="234"/>
      <c r="AS998" s="234"/>
    </row>
    <row r="999" spans="44:45">
      <c r="AR999" s="234"/>
      <c r="AS999" s="234"/>
    </row>
    <row r="1000" spans="44:45">
      <c r="AR1000" s="234"/>
      <c r="AS1000" s="234"/>
    </row>
    <row r="1001" spans="44:45">
      <c r="AR1001" s="234"/>
      <c r="AS1001" s="234"/>
    </row>
    <row r="1002" spans="44:45">
      <c r="AR1002" s="234"/>
      <c r="AS1002" s="234"/>
    </row>
    <row r="1003" spans="44:45">
      <c r="AR1003" s="234"/>
      <c r="AS1003" s="234"/>
    </row>
    <row r="1004" spans="44:45">
      <c r="AR1004" s="234"/>
      <c r="AS1004" s="234"/>
    </row>
    <row r="1005" spans="44:45">
      <c r="AR1005" s="234"/>
      <c r="AS1005" s="234"/>
    </row>
    <row r="1006" spans="44:45">
      <c r="AR1006" s="234"/>
      <c r="AS1006" s="234"/>
    </row>
    <row r="1007" spans="44:45">
      <c r="AR1007" s="234"/>
      <c r="AS1007" s="234"/>
    </row>
    <row r="1008" spans="44:45">
      <c r="AR1008" s="234"/>
      <c r="AS1008" s="234"/>
    </row>
    <row r="1009" spans="44:45">
      <c r="AR1009" s="234"/>
      <c r="AS1009" s="234"/>
    </row>
    <row r="1010" spans="44:45">
      <c r="AR1010" s="234"/>
      <c r="AS1010" s="234"/>
    </row>
    <row r="1011" spans="44:45">
      <c r="AR1011" s="234"/>
      <c r="AS1011" s="234"/>
    </row>
    <row r="1012" spans="44:45">
      <c r="AR1012" s="234"/>
      <c r="AS1012" s="234"/>
    </row>
    <row r="1013" spans="44:45">
      <c r="AR1013" s="234"/>
      <c r="AS1013" s="234"/>
    </row>
    <row r="1014" spans="44:45">
      <c r="AR1014" s="234"/>
      <c r="AS1014" s="234"/>
    </row>
    <row r="1015" spans="44:45">
      <c r="AR1015" s="234"/>
      <c r="AS1015" s="234"/>
    </row>
    <row r="1016" spans="44:45">
      <c r="AR1016" s="234"/>
      <c r="AS1016" s="234"/>
    </row>
    <row r="1017" spans="44:45">
      <c r="AR1017" s="234"/>
      <c r="AS1017" s="234"/>
    </row>
    <row r="1018" spans="44:45">
      <c r="AR1018" s="234"/>
      <c r="AS1018" s="234"/>
    </row>
    <row r="1019" spans="44:45">
      <c r="AR1019" s="234"/>
      <c r="AS1019" s="234"/>
    </row>
    <row r="1020" spans="44:45">
      <c r="AR1020" s="234"/>
      <c r="AS1020" s="234"/>
    </row>
    <row r="1021" spans="44:45">
      <c r="AR1021" s="234"/>
      <c r="AS1021" s="234"/>
    </row>
    <row r="1022" spans="44:45">
      <c r="AR1022" s="234"/>
      <c r="AS1022" s="234"/>
    </row>
    <row r="1023" spans="44:45">
      <c r="AR1023" s="234"/>
      <c r="AS1023" s="234"/>
    </row>
    <row r="1024" spans="44:45">
      <c r="AR1024" s="234"/>
      <c r="AS1024" s="234"/>
    </row>
    <row r="1025" spans="44:45">
      <c r="AR1025" s="234"/>
      <c r="AS1025" s="234"/>
    </row>
    <row r="1026" spans="44:45">
      <c r="AR1026" s="234"/>
      <c r="AS1026" s="234"/>
    </row>
    <row r="1027" spans="44:45">
      <c r="AR1027" s="234"/>
      <c r="AS1027" s="234"/>
    </row>
    <row r="1028" spans="44:45">
      <c r="AR1028" s="234"/>
      <c r="AS1028" s="234"/>
    </row>
    <row r="1029" spans="44:45">
      <c r="AR1029" s="234"/>
      <c r="AS1029" s="234"/>
    </row>
    <row r="1030" spans="44:45">
      <c r="AR1030" s="234"/>
      <c r="AS1030" s="234"/>
    </row>
    <row r="1031" spans="44:45">
      <c r="AR1031" s="234"/>
      <c r="AS1031" s="234"/>
    </row>
    <row r="1032" spans="44:45">
      <c r="AR1032" s="234"/>
      <c r="AS1032" s="234"/>
    </row>
    <row r="1033" spans="44:45">
      <c r="AR1033" s="234"/>
      <c r="AS1033" s="234"/>
    </row>
    <row r="1034" spans="44:45">
      <c r="AR1034" s="234"/>
      <c r="AS1034" s="234"/>
    </row>
    <row r="1035" spans="44:45">
      <c r="AR1035" s="234"/>
      <c r="AS1035" s="234"/>
    </row>
    <row r="1036" spans="44:45">
      <c r="AR1036" s="234"/>
      <c r="AS1036" s="234"/>
    </row>
    <row r="1037" spans="44:45">
      <c r="AR1037" s="234"/>
      <c r="AS1037" s="234"/>
    </row>
    <row r="1038" spans="44:45">
      <c r="AR1038" s="234"/>
      <c r="AS1038" s="234"/>
    </row>
    <row r="1039" spans="44:45">
      <c r="AR1039" s="234"/>
      <c r="AS1039" s="234"/>
    </row>
    <row r="1040" spans="44:45">
      <c r="AR1040" s="234"/>
      <c r="AS1040" s="234"/>
    </row>
    <row r="1041" spans="44:45">
      <c r="AR1041" s="234"/>
      <c r="AS1041" s="234"/>
    </row>
    <row r="1042" spans="44:45">
      <c r="AR1042" s="234"/>
      <c r="AS1042" s="234"/>
    </row>
    <row r="1043" spans="44:45">
      <c r="AR1043" s="234"/>
      <c r="AS1043" s="234"/>
    </row>
    <row r="1044" spans="44:45">
      <c r="AR1044" s="234"/>
      <c r="AS1044" s="234"/>
    </row>
    <row r="1045" spans="44:45">
      <c r="AR1045" s="234"/>
      <c r="AS1045" s="234"/>
    </row>
    <row r="1046" spans="44:45">
      <c r="AR1046" s="234"/>
      <c r="AS1046" s="234"/>
    </row>
    <row r="1047" spans="44:45">
      <c r="AR1047" s="234"/>
      <c r="AS1047" s="234"/>
    </row>
    <row r="1048" spans="44:45">
      <c r="AR1048" s="234"/>
      <c r="AS1048" s="234"/>
    </row>
    <row r="1049" spans="44:45">
      <c r="AR1049" s="234"/>
      <c r="AS1049" s="234"/>
    </row>
    <row r="1050" spans="44:45">
      <c r="AR1050" s="234"/>
      <c r="AS1050" s="234"/>
    </row>
    <row r="1051" spans="44:45">
      <c r="AR1051" s="234"/>
      <c r="AS1051" s="234"/>
    </row>
    <row r="1052" spans="44:45">
      <c r="AR1052" s="234"/>
      <c r="AS1052" s="234"/>
    </row>
    <row r="1053" spans="44:45">
      <c r="AR1053" s="234"/>
      <c r="AS1053" s="234"/>
    </row>
    <row r="1054" spans="44:45">
      <c r="AR1054" s="234"/>
      <c r="AS1054" s="234"/>
    </row>
    <row r="1055" spans="44:45">
      <c r="AR1055" s="234"/>
      <c r="AS1055" s="234"/>
    </row>
    <row r="1056" spans="44:45">
      <c r="AR1056" s="234"/>
      <c r="AS1056" s="234"/>
    </row>
    <row r="1057" spans="44:45">
      <c r="AR1057" s="234"/>
      <c r="AS1057" s="234"/>
    </row>
    <row r="1058" spans="44:45">
      <c r="AR1058" s="234"/>
      <c r="AS1058" s="234"/>
    </row>
    <row r="1059" spans="44:45">
      <c r="AR1059" s="234"/>
      <c r="AS1059" s="234"/>
    </row>
    <row r="1060" spans="44:45">
      <c r="AR1060" s="234"/>
      <c r="AS1060" s="234"/>
    </row>
    <row r="1061" spans="44:45">
      <c r="AR1061" s="234"/>
      <c r="AS1061" s="234"/>
    </row>
    <row r="1062" spans="44:45">
      <c r="AR1062" s="234"/>
      <c r="AS1062" s="234"/>
    </row>
    <row r="1063" spans="44:45">
      <c r="AR1063" s="234"/>
      <c r="AS1063" s="234"/>
    </row>
    <row r="1064" spans="44:45">
      <c r="AR1064" s="234"/>
      <c r="AS1064" s="234"/>
    </row>
    <row r="1065" spans="44:45">
      <c r="AR1065" s="234"/>
      <c r="AS1065" s="234"/>
    </row>
    <row r="1066" spans="44:45">
      <c r="AR1066" s="234"/>
      <c r="AS1066" s="234"/>
    </row>
    <row r="1067" spans="44:45">
      <c r="AR1067" s="234"/>
      <c r="AS1067" s="234"/>
    </row>
    <row r="1068" spans="44:45">
      <c r="AR1068" s="234"/>
      <c r="AS1068" s="234"/>
    </row>
    <row r="1069" spans="44:45">
      <c r="AR1069" s="234"/>
      <c r="AS1069" s="234"/>
    </row>
    <row r="1070" spans="44:45">
      <c r="AR1070" s="234"/>
      <c r="AS1070" s="234"/>
    </row>
    <row r="1071" spans="44:45">
      <c r="AR1071" s="234"/>
      <c r="AS1071" s="234"/>
    </row>
    <row r="1072" spans="44:45">
      <c r="AR1072" s="234"/>
      <c r="AS1072" s="234"/>
    </row>
    <row r="1073" spans="44:45">
      <c r="AR1073" s="234"/>
      <c r="AS1073" s="234"/>
    </row>
    <row r="1074" spans="44:45">
      <c r="AR1074" s="234"/>
      <c r="AS1074" s="234"/>
    </row>
    <row r="1075" spans="44:45">
      <c r="AR1075" s="234"/>
      <c r="AS1075" s="234"/>
    </row>
    <row r="1076" spans="44:45">
      <c r="AR1076" s="234"/>
      <c r="AS1076" s="234"/>
    </row>
    <row r="1077" spans="44:45">
      <c r="AR1077" s="234"/>
      <c r="AS1077" s="234"/>
    </row>
    <row r="1078" spans="44:45">
      <c r="AR1078" s="234"/>
      <c r="AS1078" s="234"/>
    </row>
    <row r="1079" spans="44:45">
      <c r="AR1079" s="234"/>
      <c r="AS1079" s="234"/>
    </row>
    <row r="1080" spans="44:45">
      <c r="AR1080" s="234"/>
      <c r="AS1080" s="234"/>
    </row>
    <row r="1081" spans="44:45">
      <c r="AR1081" s="234"/>
      <c r="AS1081" s="234"/>
    </row>
    <row r="1082" spans="44:45">
      <c r="AR1082" s="234"/>
      <c r="AS1082" s="234"/>
    </row>
    <row r="1083" spans="44:45">
      <c r="AR1083" s="234"/>
      <c r="AS1083" s="234"/>
    </row>
    <row r="1084" spans="44:45">
      <c r="AR1084" s="234"/>
      <c r="AS1084" s="234"/>
    </row>
    <row r="1085" spans="44:45">
      <c r="AR1085" s="234"/>
      <c r="AS1085" s="234"/>
    </row>
    <row r="1086" spans="44:45">
      <c r="AR1086" s="234"/>
      <c r="AS1086" s="234"/>
    </row>
    <row r="1087" spans="44:45">
      <c r="AR1087" s="234"/>
      <c r="AS1087" s="234"/>
    </row>
    <row r="1088" spans="44:45">
      <c r="AR1088" s="234"/>
      <c r="AS1088" s="234"/>
    </row>
    <row r="1089" spans="44:45">
      <c r="AR1089" s="234"/>
      <c r="AS1089" s="234"/>
    </row>
    <row r="1090" spans="44:45">
      <c r="AR1090" s="234"/>
      <c r="AS1090" s="234"/>
    </row>
    <row r="1091" spans="44:45">
      <c r="AR1091" s="234"/>
      <c r="AS1091" s="234"/>
    </row>
    <row r="1092" spans="44:45">
      <c r="AR1092" s="234"/>
      <c r="AS1092" s="234"/>
    </row>
    <row r="1093" spans="44:45">
      <c r="AR1093" s="234"/>
      <c r="AS1093" s="234"/>
    </row>
    <row r="1094" spans="44:45">
      <c r="AR1094" s="234"/>
      <c r="AS1094" s="234"/>
    </row>
    <row r="1095" spans="44:45">
      <c r="AR1095" s="234"/>
      <c r="AS1095" s="234"/>
    </row>
    <row r="1096" spans="44:45">
      <c r="AR1096" s="234"/>
      <c r="AS1096" s="234"/>
    </row>
    <row r="1097" spans="44:45">
      <c r="AR1097" s="234"/>
      <c r="AS1097" s="234"/>
    </row>
    <row r="1098" spans="44:45">
      <c r="AR1098" s="234"/>
      <c r="AS1098" s="234"/>
    </row>
    <row r="1099" spans="44:45">
      <c r="AR1099" s="234"/>
      <c r="AS1099" s="234"/>
    </row>
    <row r="1100" spans="44:45">
      <c r="AR1100" s="234"/>
      <c r="AS1100" s="234"/>
    </row>
    <row r="1101" spans="44:45">
      <c r="AR1101" s="234"/>
      <c r="AS1101" s="234"/>
    </row>
    <row r="1102" spans="44:45">
      <c r="AR1102" s="234"/>
      <c r="AS1102" s="234"/>
    </row>
    <row r="1103" spans="44:45">
      <c r="AR1103" s="234"/>
      <c r="AS1103" s="234"/>
    </row>
    <row r="1104" spans="44:45">
      <c r="AR1104" s="234"/>
      <c r="AS1104" s="234"/>
    </row>
    <row r="1105" spans="44:45">
      <c r="AR1105" s="234"/>
      <c r="AS1105" s="234"/>
    </row>
    <row r="1106" spans="44:45">
      <c r="AR1106" s="234"/>
      <c r="AS1106" s="234"/>
    </row>
    <row r="1107" spans="44:45">
      <c r="AR1107" s="234"/>
      <c r="AS1107" s="234"/>
    </row>
    <row r="1108" spans="44:45">
      <c r="AR1108" s="234"/>
      <c r="AS1108" s="234"/>
    </row>
    <row r="1109" spans="44:45">
      <c r="AR1109" s="234"/>
      <c r="AS1109" s="234"/>
    </row>
    <row r="1110" spans="44:45">
      <c r="AR1110" s="234"/>
      <c r="AS1110" s="234"/>
    </row>
    <row r="1111" spans="44:45">
      <c r="AR1111" s="234"/>
      <c r="AS1111" s="234"/>
    </row>
    <row r="1112" spans="44:45">
      <c r="AR1112" s="234"/>
      <c r="AS1112" s="234"/>
    </row>
    <row r="1113" spans="44:45">
      <c r="AR1113" s="234"/>
      <c r="AS1113" s="234"/>
    </row>
    <row r="1114" spans="44:45">
      <c r="AR1114" s="234"/>
      <c r="AS1114" s="234"/>
    </row>
    <row r="1115" spans="44:45">
      <c r="AR1115" s="234"/>
      <c r="AS1115" s="234"/>
    </row>
    <row r="1116" spans="44:45">
      <c r="AR1116" s="234"/>
      <c r="AS1116" s="234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H139"/>
  <sheetViews>
    <sheetView zoomScaleNormal="100" workbookViewId="0">
      <pane xSplit="5" ySplit="4" topLeftCell="CB112" activePane="bottomRight" state="frozen"/>
      <selection pane="bottomRight" activeCell="CC120" sqref="CC120"/>
      <selection pane="bottomLeft" activeCell="A3" sqref="A3:F46"/>
      <selection pane="topRight" activeCell="A3" sqref="A3:F46"/>
    </sheetView>
  </sheetViews>
  <sheetFormatPr defaultColWidth="8.875" defaultRowHeight="15"/>
  <cols>
    <col min="1" max="1" width="11.125" style="143" customWidth="1"/>
    <col min="2" max="2" width="11.125" style="144" customWidth="1"/>
    <col min="3" max="3" width="12.125" style="144" customWidth="1"/>
    <col min="4" max="4" width="15.875" style="144" customWidth="1"/>
    <col min="5" max="5" width="8.875" style="144"/>
    <col min="6" max="6" width="13.125" style="144" bestFit="1" customWidth="1"/>
    <col min="7" max="7" width="12.375" style="143" bestFit="1" customWidth="1"/>
    <col min="8" max="23" width="20.875" style="143" customWidth="1"/>
    <col min="24" max="123" width="20.875" style="144" customWidth="1"/>
    <col min="124" max="137" width="20.875" style="143" customWidth="1"/>
    <col min="138" max="138" width="15.125" style="143" bestFit="1" customWidth="1"/>
    <col min="139" max="139" width="18" style="144" customWidth="1"/>
    <col min="140" max="140" width="10.125" style="144" bestFit="1" customWidth="1"/>
    <col min="141" max="141" width="18.125" style="144" customWidth="1"/>
    <col min="142" max="142" width="10.125" style="144" bestFit="1" customWidth="1"/>
    <col min="143" max="143" width="12.375" style="144" customWidth="1"/>
    <col min="144" max="144" width="9.875" style="144" bestFit="1" customWidth="1"/>
    <col min="145" max="145" width="8.875" style="144" customWidth="1"/>
    <col min="146" max="146" width="9.625" style="144" bestFit="1" customWidth="1"/>
    <col min="147" max="147" width="8.875" style="144" customWidth="1"/>
    <col min="148" max="148" width="14.125" style="144" bestFit="1" customWidth="1"/>
    <col min="149" max="149" width="16.375" style="144" bestFit="1" customWidth="1"/>
    <col min="150" max="150" width="17.125" style="161" customWidth="1"/>
    <col min="151" max="151" width="13.375" style="144" customWidth="1"/>
    <col min="152" max="152" width="13.125" style="144" customWidth="1"/>
    <col min="153" max="153" width="20.875" style="144" customWidth="1"/>
    <col min="154" max="154" width="23.375" style="144" customWidth="1"/>
    <col min="155" max="155" width="20.125" style="144" customWidth="1"/>
    <col min="156" max="156" width="13.375" style="144" customWidth="1"/>
    <col min="157" max="157" width="15.875" style="144" customWidth="1"/>
    <col min="158" max="158" width="13.875" style="144" customWidth="1"/>
    <col min="159" max="159" width="11" style="144" customWidth="1"/>
    <col min="160" max="160" width="16.125" style="144" customWidth="1"/>
    <col min="161" max="161" width="147.25" style="144" bestFit="1" customWidth="1"/>
    <col min="162" max="162" width="10.25" style="144" customWidth="1"/>
    <col min="163" max="163" width="12.75" style="144" customWidth="1"/>
    <col min="164" max="164" width="8.875" style="144" customWidth="1"/>
    <col min="165" max="16384" width="8.875" style="144"/>
  </cols>
  <sheetData>
    <row r="1" spans="1:164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  <c r="FH1"/>
    </row>
    <row r="2" spans="1:164" ht="15.95" customHeight="1">
      <c r="A2" s="5"/>
      <c r="B2"/>
      <c r="C2"/>
      <c r="D2"/>
      <c r="E2"/>
      <c r="F2" s="5"/>
      <c r="G2" s="5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4"/>
      <c r="AC2" s="314"/>
      <c r="AD2" s="314"/>
      <c r="AE2" s="314"/>
      <c r="AF2" s="314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314"/>
      <c r="AZ2" s="314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314"/>
      <c r="BS2" s="314"/>
      <c r="BT2" s="314"/>
      <c r="BU2" s="314"/>
      <c r="BV2" s="314"/>
      <c r="BW2" s="314"/>
      <c r="BX2" s="314"/>
      <c r="BY2" s="314"/>
      <c r="BZ2" s="314"/>
      <c r="CA2" s="314"/>
      <c r="CB2" s="314"/>
      <c r="CC2" s="314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9"/>
      <c r="EU2"/>
      <c r="EV2"/>
      <c r="EW2" s="62"/>
      <c r="EX2"/>
      <c r="EY2"/>
      <c r="EZ2"/>
      <c r="FA2"/>
      <c r="FB2"/>
      <c r="FC2"/>
      <c r="FD2"/>
      <c r="FE2"/>
      <c r="FF2"/>
      <c r="FG2"/>
      <c r="FH2"/>
    </row>
    <row r="3" spans="1:164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12"/>
      <c r="EJ3" s="312"/>
      <c r="EK3" s="312"/>
      <c r="EL3" s="312"/>
      <c r="EM3" s="312"/>
      <c r="EN3" s="312"/>
      <c r="EO3" s="312"/>
      <c r="EP3" s="312"/>
      <c r="EQ3" s="312"/>
      <c r="ER3" s="312"/>
      <c r="ES3" s="312"/>
      <c r="ET3" s="312"/>
      <c r="EU3" s="312"/>
      <c r="EV3" s="312"/>
      <c r="EW3" s="312"/>
      <c r="EX3" s="312"/>
      <c r="EY3" s="312"/>
      <c r="EZ3" s="312"/>
      <c r="FA3" s="312"/>
      <c r="FB3" s="312"/>
      <c r="FC3" s="312"/>
      <c r="FD3"/>
      <c r="FE3"/>
      <c r="FF3"/>
      <c r="FG3"/>
      <c r="FH3"/>
    </row>
    <row r="4" spans="1:164" s="145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9" t="s">
        <v>117</v>
      </c>
      <c r="I4" s="149" t="s">
        <v>118</v>
      </c>
      <c r="J4" s="149" t="s">
        <v>119</v>
      </c>
      <c r="K4" s="149" t="s">
        <v>120</v>
      </c>
      <c r="L4" s="149" t="s">
        <v>121</v>
      </c>
      <c r="M4" s="149" t="s">
        <v>122</v>
      </c>
      <c r="N4" s="149" t="s">
        <v>123</v>
      </c>
      <c r="O4" s="149" t="s">
        <v>124</v>
      </c>
      <c r="P4" s="149" t="s">
        <v>125</v>
      </c>
      <c r="Q4" s="149" t="s">
        <v>126</v>
      </c>
      <c r="R4" s="149" t="s">
        <v>127</v>
      </c>
      <c r="S4" s="149" t="s">
        <v>128</v>
      </c>
      <c r="T4" s="149" t="s">
        <v>129</v>
      </c>
      <c r="U4" s="149" t="s">
        <v>130</v>
      </c>
      <c r="V4" s="149" t="s">
        <v>131</v>
      </c>
      <c r="W4" s="149" t="s">
        <v>132</v>
      </c>
      <c r="X4" s="150" t="s">
        <v>133</v>
      </c>
      <c r="Y4" s="150" t="s">
        <v>134</v>
      </c>
      <c r="Z4" s="150" t="s">
        <v>135</v>
      </c>
      <c r="AA4" s="150" t="s">
        <v>136</v>
      </c>
      <c r="AB4" s="150" t="s">
        <v>137</v>
      </c>
      <c r="AC4" s="150" t="s">
        <v>138</v>
      </c>
      <c r="AD4" s="150" t="s">
        <v>139</v>
      </c>
      <c r="AE4" s="150" t="s">
        <v>140</v>
      </c>
      <c r="AF4" s="150" t="s">
        <v>141</v>
      </c>
      <c r="AG4" s="150" t="s">
        <v>142</v>
      </c>
      <c r="AH4" s="150" t="s">
        <v>143</v>
      </c>
      <c r="AI4" s="150" t="s">
        <v>144</v>
      </c>
      <c r="AJ4" s="151" t="s">
        <v>145</v>
      </c>
      <c r="AK4" s="151" t="s">
        <v>146</v>
      </c>
      <c r="AL4" s="151" t="s">
        <v>147</v>
      </c>
      <c r="AM4" s="151" t="s">
        <v>148</v>
      </c>
      <c r="AN4" s="151" t="s">
        <v>149</v>
      </c>
      <c r="AO4" s="151" t="s">
        <v>150</v>
      </c>
      <c r="AP4" s="151" t="s">
        <v>151</v>
      </c>
      <c r="AQ4" s="151" t="s">
        <v>152</v>
      </c>
      <c r="AR4" s="151" t="s">
        <v>153</v>
      </c>
      <c r="AS4" s="151" t="s">
        <v>154</v>
      </c>
      <c r="AT4" s="151" t="s">
        <v>155</v>
      </c>
      <c r="AU4" s="151" t="s">
        <v>156</v>
      </c>
      <c r="AV4" s="151" t="s">
        <v>157</v>
      </c>
      <c r="AW4" s="151" t="s">
        <v>158</v>
      </c>
      <c r="AX4" s="151" t="s">
        <v>159</v>
      </c>
      <c r="AY4" s="151" t="s">
        <v>160</v>
      </c>
      <c r="AZ4" s="151" t="s">
        <v>161</v>
      </c>
      <c r="BA4" s="151" t="s">
        <v>162</v>
      </c>
      <c r="BB4" s="151" t="s">
        <v>163</v>
      </c>
      <c r="BC4" s="151" t="s">
        <v>164</v>
      </c>
      <c r="BD4" s="151" t="s">
        <v>165</v>
      </c>
      <c r="BE4" s="151" t="s">
        <v>166</v>
      </c>
      <c r="BF4" s="151" t="s">
        <v>167</v>
      </c>
      <c r="BG4" s="151" t="s">
        <v>168</v>
      </c>
      <c r="BH4" s="151" t="s">
        <v>169</v>
      </c>
      <c r="BI4" s="151" t="s">
        <v>170</v>
      </c>
      <c r="BJ4" s="151" t="s">
        <v>171</v>
      </c>
      <c r="BK4" s="151" t="s">
        <v>172</v>
      </c>
      <c r="BL4" s="151" t="s">
        <v>173</v>
      </c>
      <c r="BM4" s="151" t="s">
        <v>174</v>
      </c>
      <c r="BN4" s="151" t="s">
        <v>175</v>
      </c>
      <c r="BO4" s="151" t="s">
        <v>176</v>
      </c>
      <c r="BP4" s="151" t="s">
        <v>177</v>
      </c>
      <c r="BQ4" s="151" t="s">
        <v>178</v>
      </c>
      <c r="BR4" s="151" t="s">
        <v>179</v>
      </c>
      <c r="BS4" s="151" t="s">
        <v>180</v>
      </c>
      <c r="BT4" s="151" t="s">
        <v>181</v>
      </c>
      <c r="BU4" s="151" t="s">
        <v>182</v>
      </c>
      <c r="BV4" s="151" t="s">
        <v>183</v>
      </c>
      <c r="BW4" s="151" t="s">
        <v>184</v>
      </c>
      <c r="BX4" s="151" t="s">
        <v>185</v>
      </c>
      <c r="BY4" s="151" t="s">
        <v>186</v>
      </c>
      <c r="BZ4" s="151" t="s">
        <v>187</v>
      </c>
      <c r="CA4" s="151" t="s">
        <v>188</v>
      </c>
      <c r="CB4" s="151" t="s">
        <v>189</v>
      </c>
      <c r="CC4" s="151" t="s">
        <v>190</v>
      </c>
      <c r="CD4" s="151" t="s">
        <v>191</v>
      </c>
      <c r="CE4" s="151" t="s">
        <v>192</v>
      </c>
      <c r="CF4" s="151" t="s">
        <v>193</v>
      </c>
      <c r="CG4" s="151" t="s">
        <v>194</v>
      </c>
      <c r="CH4" s="151" t="s">
        <v>195</v>
      </c>
      <c r="CI4" s="151" t="s">
        <v>196</v>
      </c>
      <c r="CJ4" s="151" t="s">
        <v>197</v>
      </c>
      <c r="CK4" s="151" t="s">
        <v>198</v>
      </c>
      <c r="CL4" s="151" t="s">
        <v>199</v>
      </c>
      <c r="CM4" s="151" t="s">
        <v>200</v>
      </c>
      <c r="CN4" s="151" t="s">
        <v>201</v>
      </c>
      <c r="CO4" s="151" t="s">
        <v>202</v>
      </c>
      <c r="CP4" s="151" t="s">
        <v>203</v>
      </c>
      <c r="CQ4" s="151" t="s">
        <v>204</v>
      </c>
      <c r="CR4" s="151" t="s">
        <v>205</v>
      </c>
      <c r="CS4" s="151" t="s">
        <v>206</v>
      </c>
      <c r="CT4" s="151" t="s">
        <v>207</v>
      </c>
      <c r="CU4" s="151" t="s">
        <v>208</v>
      </c>
      <c r="CV4" s="151" t="s">
        <v>209</v>
      </c>
      <c r="CW4" s="151" t="s">
        <v>210</v>
      </c>
      <c r="CX4" s="151" t="s">
        <v>211</v>
      </c>
      <c r="CY4" s="151" t="s">
        <v>212</v>
      </c>
      <c r="CZ4" s="151" t="s">
        <v>213</v>
      </c>
      <c r="DA4" s="151" t="s">
        <v>214</v>
      </c>
      <c r="DB4" s="151" t="s">
        <v>215</v>
      </c>
      <c r="DC4" s="151" t="s">
        <v>216</v>
      </c>
      <c r="DD4" s="151" t="s">
        <v>217</v>
      </c>
      <c r="DE4" s="151" t="s">
        <v>218</v>
      </c>
      <c r="DF4" s="151" t="s">
        <v>219</v>
      </c>
      <c r="DG4" s="151" t="s">
        <v>220</v>
      </c>
      <c r="DH4" s="151" t="s">
        <v>36</v>
      </c>
      <c r="DI4" s="151" t="s">
        <v>39</v>
      </c>
      <c r="DJ4" s="151" t="s">
        <v>38</v>
      </c>
      <c r="DK4" s="151" t="s">
        <v>40</v>
      </c>
      <c r="DL4" s="151" t="s">
        <v>37</v>
      </c>
      <c r="DM4" s="151" t="s">
        <v>41</v>
      </c>
      <c r="DN4" s="151" t="s">
        <v>42</v>
      </c>
      <c r="DO4" s="151" t="s">
        <v>43</v>
      </c>
      <c r="DP4" s="151" t="s">
        <v>221</v>
      </c>
      <c r="DQ4" s="150" t="s">
        <v>222</v>
      </c>
      <c r="DR4" s="150" t="s">
        <v>223</v>
      </c>
      <c r="DS4" s="150" t="s">
        <v>224</v>
      </c>
      <c r="DT4" s="150" t="s">
        <v>225</v>
      </c>
      <c r="DU4" s="150" t="s">
        <v>226</v>
      </c>
      <c r="DV4" s="150" t="s">
        <v>227</v>
      </c>
      <c r="DW4" s="150" t="s">
        <v>228</v>
      </c>
      <c r="DX4" s="150" t="s">
        <v>229</v>
      </c>
      <c r="DY4" s="150" t="s">
        <v>230</v>
      </c>
      <c r="DZ4" s="150" t="s">
        <v>231</v>
      </c>
      <c r="EA4" s="150" t="s">
        <v>232</v>
      </c>
      <c r="EB4" s="150" t="s">
        <v>233</v>
      </c>
      <c r="EC4" s="150" t="s">
        <v>234</v>
      </c>
      <c r="ED4" s="150" t="s">
        <v>235</v>
      </c>
      <c r="EE4" s="150" t="s">
        <v>236</v>
      </c>
      <c r="EF4" s="150" t="s">
        <v>237</v>
      </c>
      <c r="EG4" s="150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60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4">
      <c r="A5" s="133">
        <v>45745</v>
      </c>
      <c r="B5" s="138">
        <f>YEAR(RD[[#This Row],[Date]])+IF(MONTH(RD[[#This Row],[Date]])&gt;=4,1,0)</f>
        <v>2025</v>
      </c>
      <c r="C5" s="138">
        <f>YEAR(RD[[#This Row],[Date]])</f>
        <v>2025</v>
      </c>
      <c r="D5" s="58">
        <f t="shared" ref="D5:D7" si="154">A5-DAY(A5)+1</f>
        <v>45717</v>
      </c>
      <c r="E5" s="138">
        <f>DAY(EOMONTH(RD[[#This Row],[Date]],0))</f>
        <v>31</v>
      </c>
      <c r="F5" s="152">
        <v>0.27916666666666667</v>
      </c>
      <c r="G5" s="152">
        <v>0.76041666666666663</v>
      </c>
      <c r="H5" s="124">
        <v>8339.7000000000007</v>
      </c>
      <c r="I5" s="124">
        <v>8248.7999999999993</v>
      </c>
      <c r="J5" s="124">
        <v>7719.3</v>
      </c>
      <c r="K5" s="124">
        <v>7619.9</v>
      </c>
      <c r="L5" s="124">
        <v>7857.5</v>
      </c>
      <c r="M5" s="124">
        <v>8179.8</v>
      </c>
      <c r="N5" s="124">
        <v>7713.2</v>
      </c>
      <c r="O5" s="124">
        <v>8719.6</v>
      </c>
      <c r="P5" s="124">
        <v>8058.4</v>
      </c>
      <c r="Q5" s="124">
        <v>7768.8</v>
      </c>
      <c r="R5" s="124">
        <v>8109.4</v>
      </c>
      <c r="S5" s="124">
        <v>8109.3</v>
      </c>
      <c r="T5" s="124">
        <v>8340.9</v>
      </c>
      <c r="U5" s="124">
        <v>8149.2</v>
      </c>
      <c r="V5" s="124">
        <v>8324.6</v>
      </c>
      <c r="W5" s="124">
        <v>8161.3</v>
      </c>
      <c r="X5" s="124">
        <v>11093</v>
      </c>
      <c r="Y5" s="124">
        <v>12491</v>
      </c>
      <c r="Z5" s="124">
        <v>11071.6</v>
      </c>
      <c r="AA5" s="124">
        <v>11673.3</v>
      </c>
      <c r="AB5" s="124">
        <v>12083.6</v>
      </c>
      <c r="AC5" s="124">
        <v>7449.7</v>
      </c>
      <c r="AD5" s="124">
        <v>11431.4</v>
      </c>
      <c r="AE5" s="124">
        <v>11400.8</v>
      </c>
      <c r="AF5" s="124">
        <v>10844.9</v>
      </c>
      <c r="AG5" s="124">
        <v>11237</v>
      </c>
      <c r="AH5" s="124">
        <v>11365.8</v>
      </c>
      <c r="AI5" s="124">
        <v>11421.2</v>
      </c>
      <c r="AJ5" s="142">
        <v>9372.7999999999993</v>
      </c>
      <c r="AK5" s="142">
        <v>9558.6</v>
      </c>
      <c r="AL5" s="142">
        <v>9202.1</v>
      </c>
      <c r="AM5" s="142">
        <v>9281.4</v>
      </c>
      <c r="AN5" s="142">
        <v>9352.2999999999993</v>
      </c>
      <c r="AO5" s="142">
        <v>9706.9</v>
      </c>
      <c r="AP5" s="142">
        <v>9517.2000000000007</v>
      </c>
      <c r="AQ5" s="142">
        <v>9400.5</v>
      </c>
      <c r="AR5" s="142">
        <v>7652.7</v>
      </c>
      <c r="AS5" s="142">
        <v>7695</v>
      </c>
      <c r="AT5" s="142">
        <v>7734.3</v>
      </c>
      <c r="AU5" s="142">
        <v>7604.3</v>
      </c>
      <c r="AV5" s="142">
        <v>7885.8</v>
      </c>
      <c r="AW5" s="142">
        <v>7754.8</v>
      </c>
      <c r="AX5" s="142">
        <v>10510.4</v>
      </c>
      <c r="AY5" s="142">
        <v>11943.2</v>
      </c>
      <c r="AZ5" s="142">
        <v>8752.4</v>
      </c>
      <c r="BA5" s="142">
        <v>10655.6</v>
      </c>
      <c r="BB5" s="142">
        <v>10577.8</v>
      </c>
      <c r="BC5" s="142">
        <v>6785.7</v>
      </c>
      <c r="BD5" s="142">
        <v>6813.4</v>
      </c>
      <c r="BE5" s="142">
        <v>10587.4</v>
      </c>
      <c r="BF5" s="142">
        <v>8345.2000000000007</v>
      </c>
      <c r="BG5" s="142">
        <v>9089.2000000000007</v>
      </c>
      <c r="BH5" s="142">
        <v>9135.7000000000007</v>
      </c>
      <c r="BI5" s="142">
        <v>3159.6</v>
      </c>
      <c r="BJ5" s="142">
        <v>1178</v>
      </c>
      <c r="BK5" s="142">
        <v>869</v>
      </c>
      <c r="BL5" s="142">
        <v>5994.4</v>
      </c>
      <c r="BM5" s="142">
        <v>6856.8</v>
      </c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8">
        <v>34503.800000000003</v>
      </c>
      <c r="DR5" s="168">
        <v>194.9</v>
      </c>
      <c r="DS5" s="168">
        <v>29377.8</v>
      </c>
      <c r="DT5" s="168">
        <v>208.3</v>
      </c>
      <c r="DU5" s="168">
        <v>33403.800000000003</v>
      </c>
      <c r="DV5" s="168">
        <v>373.2</v>
      </c>
      <c r="DW5" s="168">
        <v>2696.5</v>
      </c>
      <c r="DX5" s="168">
        <v>11.6</v>
      </c>
      <c r="DY5" s="168"/>
      <c r="DZ5" s="168"/>
      <c r="EA5" s="140">
        <v>82.52</v>
      </c>
      <c r="EB5" s="169">
        <v>100763295</v>
      </c>
      <c r="EC5" s="134">
        <v>834286.65599999996</v>
      </c>
      <c r="ED5" s="134">
        <v>992.88</v>
      </c>
      <c r="EE5" s="169">
        <v>95164</v>
      </c>
      <c r="EF5" s="168">
        <v>139813</v>
      </c>
      <c r="EG5" s="168">
        <v>1654.4</v>
      </c>
      <c r="EH5" s="146" t="e">
        <f>IF((RD[[#This Row],[33 kV_F3_Ex
Incomer1]]-#REF!)*1000&lt;0,0,(RD[[#This Row],[33 kV_F3_Ex
Incomer1]]-#REF!)*1000)</f>
        <v>#REF!</v>
      </c>
      <c r="EI5" s="146" t="e">
        <f>IF((RD[[#This Row],[34 kV_F3_Im
Incomer1]]-#REF!)*1000&lt;0,0,(RD[[#This Row],[34 kV_F3_Im
Incomer1]]-#REF!)*1000)</f>
        <v>#REF!</v>
      </c>
      <c r="EJ5" s="146" t="e">
        <f>IF((RD[[#This Row],[33 kV_F4_Ex
Incomer2]]-#REF!)*1000&lt;0,0,(RD[[#This Row],[33 kV_F4_Ex
Incomer2]]-#REF!)*1000)</f>
        <v>#REF!</v>
      </c>
      <c r="EK5" s="146" t="e">
        <f>IF((RD[[#This Row],[34 kV_F4_Im
Incomer2]]-#REF!)*1000&lt;0,0,(RD[[#This Row],[34 kV_F4_Im
Incomer2]]-#REF!)*1000)</f>
        <v>#REF!</v>
      </c>
      <c r="EL5" s="146" t="e">
        <f>IF((RD[[#This Row],[33 kV_F5_Ex
Incomer3]]-#REF!)*1000&lt;0,0,(RD[[#This Row],[33 kV_F5_Ex
Incomer3]]-#REF!)*1000)</f>
        <v>#REF!</v>
      </c>
      <c r="EM5" s="146" t="e">
        <f>IF((RD[[#This Row],[34 kV_F5_Im
Incomer3]]-#REF!)*1000&lt;0,0,(RD[[#This Row],[34 kV_F5_Im
Incomer3]]-#REF!)*1000)</f>
        <v>#REF!</v>
      </c>
      <c r="EN5" s="146" t="e">
        <f>IF((RD[[#This Row],[33 kV_F6_Ex
Incomer4]]-#REF!)*1000&lt;0,0,(RD[[#This Row],[33 kV_F6_Ex
Incomer4]]-#REF!)*1000)</f>
        <v>#REF!</v>
      </c>
      <c r="EO5" s="146" t="e">
        <f>IF((RD[[#This Row],[33 kV_F6_Im
Incomer4]]-#REF!)*1000&lt;0,0,(RD[[#This Row],[33 kV_F6_Im
Incomer4]]-#REF!)*1000)</f>
        <v>#REF!</v>
      </c>
      <c r="EP5" s="146" t="e">
        <f>IF((RD[[#This Row],[33 kV_F7_Ex
Incomer5]]-#REF!)*1000&lt;0,0,(RD[[#This Row],[33 kV_F7_Ex
Incomer5]]-#REF!)*1000)</f>
        <v>#REF!</v>
      </c>
      <c r="EQ5" s="146" t="e">
        <f>IF((RD[[#This Row],[33 kV_F7_Im
Incomer5]]-#REF!)*1000&lt;0,0,(RD[[#This Row],[33 kV_F7_Im
Incomer5]]-#REF!)*1000)</f>
        <v>#REF!</v>
      </c>
      <c r="ER5" s="146" t="e">
        <f>IF((RD[[#This Row],[33 kV_Aux Trafo]]-#REF!)*1000&lt;0,0,(RD[[#This Row],[33 kV_Aux Trafo]]-#REF!)*1000)</f>
        <v>#REF!</v>
      </c>
      <c r="ES5" s="158" t="e">
        <f>IF((RD[[#This Row],[33kV_OG1_Ex_]]-#REF!)*1&lt;0,0,(RD[[#This Row],[33kV_OG1_Ex_]]-#REF!)*1)</f>
        <v>#REF!</v>
      </c>
      <c r="ET5" s="146" t="e">
        <f>IF((RD[[#This Row],[33kV_OG1_Im]]-#REF!)*1&lt;0,0,(RD[[#This Row],[33kV_OG1_Im]]-#REF!)*1)</f>
        <v>#REF!</v>
      </c>
      <c r="EU5" s="146" t="e">
        <f>IF((RD[[#This Row],[132kV_TX1_EX]]-#REF!)*720&lt;=0,"",(RD[[#This Row],[132kV_TX1_EX]]-#REF!)*720)</f>
        <v>#REF!</v>
      </c>
      <c r="EV5" s="146" t="e">
        <f>IF((RD[[#This Row],[132 kV_Tx1_Im]]-#REF!)*720&lt;=0,0,(RD[[#This Row],[132 kV_Tx1_Im]]-#REF!)*720)</f>
        <v>#REF!</v>
      </c>
      <c r="EW5" s="146" t="e">
        <f>IF((RD[[#This Row],[132kV_L1_Ex]]-#REF!)*720&lt;=0,0,(RD[[#This Row],[132kV_L1_Ex]]-#REF!)*720)</f>
        <v>#REF!</v>
      </c>
      <c r="EX5" s="146" t="e">
        <f>IF((RD[[#This Row],[132kV_L1_Im]]-#REF!)*720&lt;=0,0,(RD[[#This Row],[132kV_L1_Im]]-#REF!)*720)</f>
        <v>#REF!</v>
      </c>
      <c r="EY5" s="146" t="str">
        <f>IFERROR(RD[[#This Row],[33kV_OG1_Ex (MWh)]]+RD[[#This Row],[33kV_OG1_Im (MWh)]],"")</f>
        <v/>
      </c>
      <c r="EZ5" s="148" t="e">
        <f>RD[[#This Row],[33kV_OG1_Ex (MWh)]]-RD[[#This Row],[33kV_OG1_Im (MWh)]]</f>
        <v>#REF!</v>
      </c>
      <c r="FA5" s="147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7">
        <v>97</v>
      </c>
      <c r="FE5" t="s">
        <v>265</v>
      </c>
      <c r="FF5"/>
      <c r="FG5"/>
    </row>
    <row r="6" spans="1:164">
      <c r="A6" s="133">
        <f t="shared" ref="A6:A28" si="155">A5+1</f>
        <v>45746</v>
      </c>
      <c r="B6" s="138">
        <f>YEAR(RD[[#This Row],[Date]])+IF(MONTH(RD[[#This Row],[Date]])&gt;=4,1,0)</f>
        <v>2025</v>
      </c>
      <c r="C6" s="138">
        <f>YEAR(RD[[#This Row],[Date]])</f>
        <v>2025</v>
      </c>
      <c r="D6" s="58">
        <f t="shared" si="154"/>
        <v>45717</v>
      </c>
      <c r="E6" s="138">
        <f>DAY(EOMONTH(RD[[#This Row],[Date]],0))</f>
        <v>31</v>
      </c>
      <c r="F6" s="152">
        <v>0.27708333333333335</v>
      </c>
      <c r="G6" s="162">
        <v>0.75763888888888886</v>
      </c>
      <c r="H6" s="124">
        <v>7963.4</v>
      </c>
      <c r="I6" s="124">
        <v>7911</v>
      </c>
      <c r="J6" s="124">
        <v>7371.5</v>
      </c>
      <c r="K6" s="124">
        <v>7304.9</v>
      </c>
      <c r="L6" s="124">
        <v>7474.2</v>
      </c>
      <c r="M6" s="124">
        <v>7760.6</v>
      </c>
      <c r="N6" s="124">
        <v>7367.2</v>
      </c>
      <c r="O6" s="124">
        <v>8345.4</v>
      </c>
      <c r="P6" s="124">
        <v>7740.9</v>
      </c>
      <c r="Q6" s="124">
        <v>7426.3</v>
      </c>
      <c r="R6" s="124">
        <v>7786.6</v>
      </c>
      <c r="S6" s="124">
        <v>7806.4</v>
      </c>
      <c r="T6" s="124">
        <v>8001.5</v>
      </c>
      <c r="U6" s="124">
        <v>7770.1</v>
      </c>
      <c r="V6" s="124">
        <v>7947.8</v>
      </c>
      <c r="W6" s="124">
        <v>7787.9</v>
      </c>
      <c r="X6" s="124">
        <v>10559.9</v>
      </c>
      <c r="Y6" s="124">
        <v>11925</v>
      </c>
      <c r="Z6" s="124">
        <v>10539</v>
      </c>
      <c r="AA6" s="124">
        <v>11084.1</v>
      </c>
      <c r="AB6" s="124">
        <v>11509.6</v>
      </c>
      <c r="AC6" s="124">
        <v>7090.6</v>
      </c>
      <c r="AD6" s="124">
        <v>10906</v>
      </c>
      <c r="AE6" s="124">
        <v>10976.8</v>
      </c>
      <c r="AF6" s="124">
        <v>10310</v>
      </c>
      <c r="AG6" s="124">
        <v>10687</v>
      </c>
      <c r="AH6" s="124">
        <v>10841.5</v>
      </c>
      <c r="AI6" s="124">
        <v>10901.9</v>
      </c>
      <c r="AJ6" s="142">
        <v>8914.1</v>
      </c>
      <c r="AK6" s="142">
        <v>9214.1</v>
      </c>
      <c r="AL6" s="142">
        <v>8763</v>
      </c>
      <c r="AM6" s="142">
        <v>8844.2999999999993</v>
      </c>
      <c r="AN6" s="142">
        <v>8886.5</v>
      </c>
      <c r="AO6" s="142">
        <v>9213.6</v>
      </c>
      <c r="AP6" s="142">
        <v>9027</v>
      </c>
      <c r="AQ6" s="142">
        <v>8927.7999999999993</v>
      </c>
      <c r="AR6" s="142">
        <v>7275.3</v>
      </c>
      <c r="AS6" s="142">
        <v>7317.4</v>
      </c>
      <c r="AT6" s="142">
        <v>7418.7</v>
      </c>
      <c r="AU6" s="142">
        <v>7238.6</v>
      </c>
      <c r="AV6" s="142">
        <v>7563</v>
      </c>
      <c r="AW6" s="142">
        <v>7377.4</v>
      </c>
      <c r="AX6" s="142">
        <v>10013</v>
      </c>
      <c r="AY6" s="142">
        <v>11495</v>
      </c>
      <c r="AZ6" s="142">
        <v>8357</v>
      </c>
      <c r="BA6" s="142">
        <v>10143</v>
      </c>
      <c r="BB6" s="142">
        <v>10108.4</v>
      </c>
      <c r="BC6" s="142">
        <v>6861.4</v>
      </c>
      <c r="BD6" s="142">
        <v>8068.1</v>
      </c>
      <c r="BE6" s="142">
        <v>10185.299999999999</v>
      </c>
      <c r="BF6" s="142">
        <v>7915.4</v>
      </c>
      <c r="BG6" s="142">
        <v>8551</v>
      </c>
      <c r="BH6" s="142">
        <v>8615</v>
      </c>
      <c r="BI6" s="142">
        <v>2974.8</v>
      </c>
      <c r="BJ6" s="142">
        <v>1103.5</v>
      </c>
      <c r="BK6" s="142">
        <v>813</v>
      </c>
      <c r="BL6" s="142">
        <v>6023.9</v>
      </c>
      <c r="BM6" s="142">
        <v>6355.1</v>
      </c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8">
        <v>34630.199999999997</v>
      </c>
      <c r="DR6" s="168">
        <v>195.3</v>
      </c>
      <c r="DS6" s="168">
        <v>29498.1</v>
      </c>
      <c r="DT6" s="168">
        <v>208.6</v>
      </c>
      <c r="DU6" s="168">
        <v>33557.599999999999</v>
      </c>
      <c r="DV6" s="168">
        <v>373.8</v>
      </c>
      <c r="DW6" s="168">
        <v>2773.4</v>
      </c>
      <c r="DX6" s="168">
        <v>11.9</v>
      </c>
      <c r="DY6" s="168"/>
      <c r="DZ6" s="168"/>
      <c r="EA6" s="140">
        <v>82.78</v>
      </c>
      <c r="EB6" s="169">
        <v>101241118</v>
      </c>
      <c r="EC6" s="134">
        <v>835956.60800000001</v>
      </c>
      <c r="ED6" s="134">
        <v>995.08799999999997</v>
      </c>
      <c r="EE6" s="169">
        <v>95640</v>
      </c>
      <c r="EF6" s="168">
        <v>140474.29999999999</v>
      </c>
      <c r="EG6" s="168">
        <v>1657.5</v>
      </c>
      <c r="EH6" s="146">
        <f>IF((RD[[#This Row],[33 kV_F3_Ex
Incomer1]]-DQ5)*1000&lt;0,0,(RD[[#This Row],[33 kV_F3_Ex
Incomer1]]-DQ5)*1000)</f>
        <v>126399.99999999418</v>
      </c>
      <c r="EI6" s="146">
        <f>IF((RD[[#This Row],[34 kV_F3_Im
Incomer1]]-DR5)*1000&lt;0,0,(RD[[#This Row],[34 kV_F3_Im
Incomer1]]-DR5)*1000)</f>
        <v>400.00000000000568</v>
      </c>
      <c r="EJ6" s="146">
        <f>IF((RD[[#This Row],[33 kV_F4_Ex
Incomer2]]-DS5)*1000&lt;0,0,(RD[[#This Row],[33 kV_F4_Ex
Incomer2]]-DS5)*1000)</f>
        <v>120299.99999999927</v>
      </c>
      <c r="EK6" s="146">
        <f>IF((RD[[#This Row],[34 kV_F4_Im
Incomer2]]-DT5)*1000&lt;0,0,(RD[[#This Row],[34 kV_F4_Im
Incomer2]]-DT5)*1000)</f>
        <v>299.99999999998295</v>
      </c>
      <c r="EL6" s="146">
        <f>IF((RD[[#This Row],[33 kV_F5_Ex
Incomer3]]-DU5)*1000&lt;0,0,(RD[[#This Row],[33 kV_F5_Ex
Incomer3]]-DU5)*1000)</f>
        <v>153799.99999999563</v>
      </c>
      <c r="EM6" s="146">
        <f>IF((RD[[#This Row],[34 kV_F5_Im
Incomer3]]-DV5)*1000&lt;0,0,(RD[[#This Row],[34 kV_F5_Im
Incomer3]]-DV5)*1000)</f>
        <v>600.00000000002274</v>
      </c>
      <c r="EN6" s="146">
        <f>IF((RD[[#This Row],[33 kV_F6_Ex
Incomer4]]-DW5)*1000&lt;0,0,(RD[[#This Row],[33 kV_F6_Ex
Incomer4]]-DW5)*1000)</f>
        <v>76900.000000000087</v>
      </c>
      <c r="EO6" s="146">
        <f>IF((RD[[#This Row],[33 kV_F6_Im
Incomer4]]-DX5)*1000&lt;0,0,(RD[[#This Row],[33 kV_F6_Im
Incomer4]]-DX5)*1000)</f>
        <v>300.00000000000068</v>
      </c>
      <c r="EP6" s="146">
        <f>IF((RD[[#This Row],[33 kV_F7_Ex
Incomer5]]-DY5)*1000&lt;0,0,(RD[[#This Row],[33 kV_F7_Ex
Incomer5]]-DY5)*1000)</f>
        <v>0</v>
      </c>
      <c r="EQ6" s="146">
        <f>IF((RD[[#This Row],[33 kV_F7_Im
Incomer5]]-DZ5)*1000&lt;0,0,(RD[[#This Row],[33 kV_F7_Im
Incomer5]]-DZ5)*1000)</f>
        <v>0</v>
      </c>
      <c r="ER6" s="146">
        <f>IF((RD[[#This Row],[33 kV_Aux Trafo]]-EA5)*1000&lt;0,0,(RD[[#This Row],[33 kV_Aux Trafo]]-EA5)*1000)</f>
        <v>260.00000000000512</v>
      </c>
      <c r="ES6" s="158">
        <f>IF((RD[[#This Row],[33kV_OG1_Ex_]]-EB5)*1&lt;0,0,(RD[[#This Row],[33kV_OG1_Ex_]]-EB5)*1)</f>
        <v>477823</v>
      </c>
      <c r="ET6" s="146">
        <f>IF((RD[[#This Row],[33kV_OG1_Im]]-EC5)*1&lt;0,0,(RD[[#This Row],[33kV_OG1_Im]]-EC5)*1)</f>
        <v>1669.9520000000484</v>
      </c>
      <c r="EU6" s="146">
        <f>IF((RD[[#This Row],[132kV_TX1_EX]]-ED5)*720&lt;=0,"",(RD[[#This Row],[132kV_TX1_EX]]-ED5)*720)</f>
        <v>1589.7599999999784</v>
      </c>
      <c r="EV6" s="146">
        <f>IF((RD[[#This Row],[132 kV_Tx1_Im]]-EE5)*720&lt;=0,0,(RD[[#This Row],[132 kV_Tx1_Im]]-EE5)*720)</f>
        <v>342720</v>
      </c>
      <c r="EW6" s="146">
        <f>IF((RD[[#This Row],[132kV_L1_Ex]]-EF5)*720&lt;=0,0,(RD[[#This Row],[132kV_L1_Ex]]-EF5)*720)</f>
        <v>476135.99999999162</v>
      </c>
      <c r="EX6" s="146">
        <f>IF((RD[[#This Row],[132kV_L1_Im]]-EG5)*720&lt;=0,0,(RD[[#This Row],[132kV_L1_Im]]-EG5)*720)</f>
        <v>2231.9999999999345</v>
      </c>
      <c r="EY6" s="146">
        <f>IFERROR(RD[[#This Row],[33kV_OG1_Ex (MWh)]]+RD[[#This Row],[33kV_OG1_Im (MWh)]],"")</f>
        <v>479492.95200000005</v>
      </c>
      <c r="EZ6" s="148">
        <f>RD[[#This Row],[33kV_OG1_Ex (MWh)]]-RD[[#This Row],[33kV_OG1_Im (MWh)]]</f>
        <v>476153.04799999995</v>
      </c>
      <c r="FA6" s="147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7">
        <v>97</v>
      </c>
      <c r="FE6" t="s">
        <v>265</v>
      </c>
      <c r="FF6"/>
      <c r="FG6"/>
    </row>
    <row r="7" spans="1:164">
      <c r="A7" s="133">
        <f t="shared" si="155"/>
        <v>45747</v>
      </c>
      <c r="B7" s="138">
        <f>YEAR(RD[[#This Row],[Date]])+IF(MONTH(RD[[#This Row],[Date]])&gt;=4,1,0)</f>
        <v>2025</v>
      </c>
      <c r="C7" s="138">
        <f>YEAR(RD[[#This Row],[Date]])</f>
        <v>2025</v>
      </c>
      <c r="D7" s="58">
        <f t="shared" si="154"/>
        <v>45717</v>
      </c>
      <c r="E7" s="138">
        <f>DAY(EOMONTH(RD[[#This Row],[Date]],0))</f>
        <v>31</v>
      </c>
      <c r="F7" s="152">
        <v>0.28333333333333333</v>
      </c>
      <c r="G7" s="162">
        <v>0.75624999999999998</v>
      </c>
      <c r="H7" s="124">
        <v>6217.2</v>
      </c>
      <c r="I7" s="124">
        <v>6187.2</v>
      </c>
      <c r="J7" s="124">
        <v>5750.2</v>
      </c>
      <c r="K7" s="124">
        <v>5827.9</v>
      </c>
      <c r="L7" s="124">
        <v>5977.9</v>
      </c>
      <c r="M7" s="124">
        <v>6071.3</v>
      </c>
      <c r="N7" s="124">
        <v>5757.7</v>
      </c>
      <c r="O7" s="124">
        <v>6597.9</v>
      </c>
      <c r="P7" s="124">
        <v>6094.2</v>
      </c>
      <c r="Q7" s="124">
        <v>5799.3</v>
      </c>
      <c r="R7" s="124">
        <v>6104.9</v>
      </c>
      <c r="S7" s="124">
        <v>6124.6</v>
      </c>
      <c r="T7" s="124">
        <v>6339.5</v>
      </c>
      <c r="U7" s="124">
        <v>6149.9</v>
      </c>
      <c r="V7" s="124">
        <v>6281.8</v>
      </c>
      <c r="W7" s="124">
        <v>6113.2</v>
      </c>
      <c r="X7" s="124">
        <v>8334</v>
      </c>
      <c r="Y7" s="124">
        <v>9386.9</v>
      </c>
      <c r="Z7" s="124">
        <v>8268</v>
      </c>
      <c r="AA7" s="124">
        <v>8687</v>
      </c>
      <c r="AB7" s="124">
        <v>9012.2999999999993</v>
      </c>
      <c r="AC7" s="124">
        <v>5550.4</v>
      </c>
      <c r="AD7" s="124">
        <v>8504.9</v>
      </c>
      <c r="AE7" s="124">
        <v>8584.9</v>
      </c>
      <c r="AF7" s="124">
        <v>8095</v>
      </c>
      <c r="AG7" s="124">
        <v>10687</v>
      </c>
      <c r="AH7" s="124">
        <v>8480.2999999999993</v>
      </c>
      <c r="AI7" s="124">
        <v>8510</v>
      </c>
      <c r="AJ7" s="142">
        <v>6661.3</v>
      </c>
      <c r="AK7" s="142">
        <v>6886</v>
      </c>
      <c r="AL7" s="142">
        <v>6586.2</v>
      </c>
      <c r="AM7" s="142">
        <v>6722.8</v>
      </c>
      <c r="AN7" s="142">
        <v>6666.5</v>
      </c>
      <c r="AO7" s="142">
        <v>6920.1</v>
      </c>
      <c r="AP7" s="142">
        <v>6766</v>
      </c>
      <c r="AQ7" s="142">
        <v>6705</v>
      </c>
      <c r="AR7" s="142">
        <v>5433.8</v>
      </c>
      <c r="AS7" s="142">
        <v>5467.9</v>
      </c>
      <c r="AT7" s="142">
        <v>5541.3</v>
      </c>
      <c r="AU7" s="142">
        <v>5403.3</v>
      </c>
      <c r="AV7" s="142">
        <v>5648.9</v>
      </c>
      <c r="AW7" s="142">
        <v>5520.3</v>
      </c>
      <c r="AX7" s="142">
        <v>7500</v>
      </c>
      <c r="AY7" s="142">
        <v>8634</v>
      </c>
      <c r="AZ7" s="142">
        <v>6258.6</v>
      </c>
      <c r="BA7" s="142">
        <v>7581.5</v>
      </c>
      <c r="BB7" s="142">
        <v>7888.3</v>
      </c>
      <c r="BC7" s="142">
        <v>6027.8</v>
      </c>
      <c r="BD7" s="142">
        <v>6435.8</v>
      </c>
      <c r="BE7" s="142">
        <v>7909.7</v>
      </c>
      <c r="BF7" s="142">
        <v>6166.5</v>
      </c>
      <c r="BG7" s="142">
        <v>6522.8</v>
      </c>
      <c r="BH7" s="142">
        <v>4864.8</v>
      </c>
      <c r="BI7" s="142">
        <v>2252.6</v>
      </c>
      <c r="BJ7" s="142">
        <v>822.2</v>
      </c>
      <c r="BK7" s="142">
        <v>635.4</v>
      </c>
      <c r="BL7" s="142">
        <v>4908.1000000000004</v>
      </c>
      <c r="BM7" s="142">
        <v>4783.8999999999996</v>
      </c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8">
        <v>34729.4</v>
      </c>
      <c r="DR7" s="168">
        <v>195.8</v>
      </c>
      <c r="DS7" s="168">
        <v>29593.5</v>
      </c>
      <c r="DT7" s="168">
        <v>209</v>
      </c>
      <c r="DU7" s="168">
        <v>33673.199999999997</v>
      </c>
      <c r="DV7" s="168">
        <v>374.5</v>
      </c>
      <c r="DW7" s="168">
        <v>2832.2</v>
      </c>
      <c r="DX7" s="168">
        <v>12.2</v>
      </c>
      <c r="DY7" s="168"/>
      <c r="DZ7" s="168"/>
      <c r="EA7" s="140">
        <v>83.15</v>
      </c>
      <c r="EB7" s="169">
        <v>101610283</v>
      </c>
      <c r="EC7" s="134">
        <v>837989.37600000005</v>
      </c>
      <c r="ED7" s="134">
        <v>998.16</v>
      </c>
      <c r="EE7" s="169">
        <v>96008</v>
      </c>
      <c r="EF7" s="168">
        <v>140985.20000000001</v>
      </c>
      <c r="EG7" s="168">
        <v>1661.7</v>
      </c>
      <c r="EH7" s="146">
        <f>IF((RD[[#This Row],[33 kV_F3_Ex
Incomer1]]-DQ6)*1000&lt;0,0,(RD[[#This Row],[33 kV_F3_Ex
Incomer1]]-DQ6)*1000)</f>
        <v>99200.000000004366</v>
      </c>
      <c r="EI7" s="146">
        <f>IF((RD[[#This Row],[34 kV_F3_Im
Incomer1]]-DR6)*1000&lt;0,0,(RD[[#This Row],[34 kV_F3_Im
Incomer1]]-DR6)*1000)</f>
        <v>500</v>
      </c>
      <c r="EJ7" s="146">
        <f>IF((RD[[#This Row],[33 kV_F4_Ex
Incomer2]]-DS6)*1000&lt;0,0,(RD[[#This Row],[33 kV_F4_Ex
Incomer2]]-DS6)*1000)</f>
        <v>95400.000000001455</v>
      </c>
      <c r="EK7" s="146">
        <f>IF((RD[[#This Row],[34 kV_F4_Im
Incomer2]]-DT6)*1000&lt;0,0,(RD[[#This Row],[34 kV_F4_Im
Incomer2]]-DT6)*1000)</f>
        <v>400.00000000000568</v>
      </c>
      <c r="EL7" s="146">
        <f>IF((RD[[#This Row],[33 kV_F5_Ex
Incomer3]]-DU6)*1000&lt;0,0,(RD[[#This Row],[33 kV_F5_Ex
Incomer3]]-DU6)*1000)</f>
        <v>115599.99999999854</v>
      </c>
      <c r="EM7" s="146">
        <f>IF((RD[[#This Row],[34 kV_F5_Im
Incomer3]]-DV6)*1000&lt;0,0,(RD[[#This Row],[34 kV_F5_Im
Incomer3]]-DV6)*1000)</f>
        <v>699.99999999998863</v>
      </c>
      <c r="EN7" s="146">
        <f>IF((RD[[#This Row],[33 kV_F6_Ex
Incomer4]]-DW6)*1000&lt;0,0,(RD[[#This Row],[33 kV_F6_Ex
Incomer4]]-DW6)*1000)</f>
        <v>58799.999999999724</v>
      </c>
      <c r="EO7" s="146">
        <f>IF((RD[[#This Row],[33 kV_F6_Im
Incomer4]]-DX6)*1000&lt;0,0,(RD[[#This Row],[33 kV_F6_Im
Incomer4]]-DX6)*1000)</f>
        <v>299.99999999999892</v>
      </c>
      <c r="EP7" s="146">
        <f>IF((RD[[#This Row],[33 kV_F7_Ex
Incomer5]]-DY6)*1000&lt;0,0,(RD[[#This Row],[33 kV_F7_Ex
Incomer5]]-DY6)*1000)</f>
        <v>0</v>
      </c>
      <c r="EQ7" s="146">
        <f>IF((RD[[#This Row],[33 kV_F7_Im
Incomer5]]-DZ6)*1000&lt;0,0,(RD[[#This Row],[33 kV_F7_Im
Incomer5]]-DZ6)*1000)</f>
        <v>0</v>
      </c>
      <c r="ER7" s="146">
        <f>IF((RD[[#This Row],[33 kV_Aux Trafo]]-EA6)*1000&lt;0,0,(RD[[#This Row],[33 kV_Aux Trafo]]-EA6)*1000)</f>
        <v>370.00000000000455</v>
      </c>
      <c r="ES7" s="158">
        <f>IF((RD[[#This Row],[33kV_OG1_Ex_]]-EB6)*1&lt;0,0,(RD[[#This Row],[33kV_OG1_Ex_]]-EB6)*1)</f>
        <v>369165</v>
      </c>
      <c r="ET7" s="146">
        <f>IF((RD[[#This Row],[33kV_OG1_Im]]-EC6)*1&lt;0,0,(RD[[#This Row],[33kV_OG1_Im]]-EC6)*1)</f>
        <v>2032.76800000004</v>
      </c>
      <c r="EU7" s="146">
        <f>IF((RD[[#This Row],[132kV_TX1_EX]]-ED6)*720&lt;=0,"",(RD[[#This Row],[132kV_TX1_EX]]-ED6)*720)</f>
        <v>2211.840000000002</v>
      </c>
      <c r="EV7" s="146">
        <f>IF((RD[[#This Row],[132 kV_Tx1_Im]]-EE6)*720&lt;=0,0,(RD[[#This Row],[132 kV_Tx1_Im]]-EE6)*720)</f>
        <v>264960</v>
      </c>
      <c r="EW7" s="146">
        <f>IF((RD[[#This Row],[132kV_L1_Ex]]-EF6)*720&lt;=0,0,(RD[[#This Row],[132kV_L1_Ex]]-EF6)*720)</f>
        <v>367848.00000001676</v>
      </c>
      <c r="EX7" s="146">
        <f>IF((RD[[#This Row],[132kV_L1_Im]]-EG6)*720&lt;=0,0,(RD[[#This Row],[132kV_L1_Im]]-EG6)*720)</f>
        <v>3024.0000000000327</v>
      </c>
      <c r="EY7" s="146">
        <f>IFERROR(RD[[#This Row],[33kV_OG1_Ex (MWh)]]+RD[[#This Row],[33kV_OG1_Im (MWh)]],"")</f>
        <v>371197.76800000004</v>
      </c>
      <c r="EZ7" s="148">
        <f>RD[[#This Row],[33kV_OG1_Ex (MWh)]]-RD[[#This Row],[33kV_OG1_Im (MWh)]]</f>
        <v>367132.23199999996</v>
      </c>
      <c r="FA7" s="147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7">
        <v>97</v>
      </c>
      <c r="FE7" t="s">
        <v>265</v>
      </c>
      <c r="FF7"/>
      <c r="FG7"/>
    </row>
    <row r="8" spans="1:164">
      <c r="A8" s="133">
        <f t="shared" si="155"/>
        <v>45748</v>
      </c>
      <c r="B8" s="138">
        <f>YEAR(RD[[#This Row],[Date]])+IF(MONTH(RD[[#This Row],[Date]])&gt;=4,1,0)</f>
        <v>2026</v>
      </c>
      <c r="C8" s="138">
        <f>YEAR(RD[[#This Row],[Date]])</f>
        <v>2025</v>
      </c>
      <c r="D8" s="139">
        <f>A8-DAY(A8)+1</f>
        <v>45748</v>
      </c>
      <c r="E8" s="138">
        <f>DAY(EOMONTH(RD[[#This Row],[Date]],0))</f>
        <v>30</v>
      </c>
      <c r="F8" s="152">
        <v>0.28888888888888886</v>
      </c>
      <c r="G8" s="162">
        <v>0.72916666666666663</v>
      </c>
      <c r="H8" s="124">
        <v>2664</v>
      </c>
      <c r="I8" s="124">
        <v>2647</v>
      </c>
      <c r="J8" s="124">
        <v>2477</v>
      </c>
      <c r="K8" s="124">
        <v>2495</v>
      </c>
      <c r="L8" s="124">
        <v>2581</v>
      </c>
      <c r="M8" s="124">
        <v>2622</v>
      </c>
      <c r="N8" s="124">
        <v>2464</v>
      </c>
      <c r="O8" s="124">
        <v>2832</v>
      </c>
      <c r="P8" s="124">
        <v>2580</v>
      </c>
      <c r="Q8" s="124">
        <v>2513</v>
      </c>
      <c r="R8" s="124">
        <v>2626</v>
      </c>
      <c r="S8" s="124">
        <v>2518</v>
      </c>
      <c r="T8" s="124">
        <v>2699</v>
      </c>
      <c r="U8" s="124">
        <v>2672</v>
      </c>
      <c r="V8" s="124">
        <v>2688</v>
      </c>
      <c r="W8" s="124">
        <v>2562</v>
      </c>
      <c r="X8" s="203">
        <v>3625</v>
      </c>
      <c r="Y8" s="203">
        <v>4171</v>
      </c>
      <c r="Z8" s="203">
        <v>3563</v>
      </c>
      <c r="AA8" s="203">
        <v>3759</v>
      </c>
      <c r="AB8" s="203">
        <v>3944</v>
      </c>
      <c r="AC8" s="203">
        <v>2415</v>
      </c>
      <c r="AD8" s="203">
        <v>3675</v>
      </c>
      <c r="AE8" s="203">
        <v>3729</v>
      </c>
      <c r="AF8" s="203">
        <v>3533</v>
      </c>
      <c r="AG8" s="203">
        <v>3640</v>
      </c>
      <c r="AH8" s="203">
        <v>3660</v>
      </c>
      <c r="AI8" s="203">
        <v>3685</v>
      </c>
      <c r="AJ8" s="142">
        <v>3099</v>
      </c>
      <c r="AK8" s="142">
        <v>3167</v>
      </c>
      <c r="AL8" s="142">
        <v>3083</v>
      </c>
      <c r="AM8" s="142">
        <v>3132</v>
      </c>
      <c r="AN8" s="142">
        <v>3069</v>
      </c>
      <c r="AO8" s="142">
        <v>3180</v>
      </c>
      <c r="AP8" s="142">
        <v>3114</v>
      </c>
      <c r="AQ8" s="142">
        <v>3087</v>
      </c>
      <c r="AR8" s="142">
        <v>2433</v>
      </c>
      <c r="AS8" s="142">
        <v>2452</v>
      </c>
      <c r="AT8" s="142">
        <v>2483</v>
      </c>
      <c r="AU8" s="142">
        <v>2457</v>
      </c>
      <c r="AV8" s="142">
        <v>2533</v>
      </c>
      <c r="AW8" s="142">
        <v>2469</v>
      </c>
      <c r="AX8" s="142">
        <v>3493</v>
      </c>
      <c r="AY8" s="142">
        <v>4021</v>
      </c>
      <c r="AZ8" s="142">
        <v>2912</v>
      </c>
      <c r="BA8" s="142">
        <v>3550</v>
      </c>
      <c r="BB8" s="142">
        <v>3455</v>
      </c>
      <c r="BC8" s="142">
        <v>2656.6</v>
      </c>
      <c r="BD8" s="142">
        <v>2808</v>
      </c>
      <c r="BE8" s="142">
        <v>3461.8</v>
      </c>
      <c r="BF8" s="142">
        <v>2839</v>
      </c>
      <c r="BG8" s="142">
        <v>2820</v>
      </c>
      <c r="BH8" s="142">
        <v>2779</v>
      </c>
      <c r="BI8" s="142">
        <v>1005</v>
      </c>
      <c r="BJ8" s="142">
        <v>515</v>
      </c>
      <c r="BK8" s="142">
        <v>223</v>
      </c>
      <c r="BL8" s="142">
        <v>2129</v>
      </c>
      <c r="BM8" s="142">
        <v>2035</v>
      </c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59">
        <v>1.68</v>
      </c>
      <c r="CE8" s="59"/>
      <c r="CF8" s="206">
        <v>2.214</v>
      </c>
      <c r="CG8" s="206"/>
      <c r="CH8" s="206">
        <v>0.27400000000000002</v>
      </c>
      <c r="CI8" s="206"/>
      <c r="CJ8" s="59">
        <v>0.40200000000000002</v>
      </c>
      <c r="CK8" s="59"/>
      <c r="CL8" s="206">
        <v>30.347999999999999</v>
      </c>
      <c r="CM8" s="206"/>
      <c r="CN8" s="206">
        <v>37.567999999999998</v>
      </c>
      <c r="CO8" s="206"/>
      <c r="CP8" s="206">
        <v>30.975999999999999</v>
      </c>
      <c r="CQ8" s="206"/>
      <c r="CR8" s="59">
        <v>0</v>
      </c>
      <c r="CS8" s="59"/>
      <c r="CT8" s="206">
        <v>0.66600000000000004</v>
      </c>
      <c r="CU8" s="206"/>
      <c r="CV8" s="206">
        <v>1.6919999999999999</v>
      </c>
      <c r="CW8" s="258"/>
      <c r="CX8" s="204">
        <f>IFERROR(AVERAGEIF(RD[[#This Row],[IS1POA1 (KWh/m2)]:[IS7POA2 (KWh/m2)]],"&lt;&gt;0",RD[[#This Row],[IS1POA1 (KWh/m2)]:[IS7POA2 (KWh/m2)]]),"")</f>
        <v>1.68</v>
      </c>
      <c r="CY8" s="204">
        <f>IFERROR(AVERAGEIF(RD[[#This Row],[IS1GHI1 (KWh/m2)]:[IS7GHI2 (KWh/m2)]],"&lt;&gt;0",RD[[#This Row],[IS1GHI1 (KWh/m2)]:[IS7GHI2 (KWh/m2)]]),"")</f>
        <v>2.214</v>
      </c>
      <c r="CZ8" s="204">
        <f>IFERROR(AVERAGEIF(RD[[#This Row],[IS1POA_BS1 (KWh/m2)]:[IS7POA_BS2 (KWh/m2)]],"&lt;&gt;0",RD[[#This Row],[IS1POA_BS1 (KWh/m2)]:[IS7POA_BS2 (KWh/m2)]]),"")</f>
        <v>0.27400000000000002</v>
      </c>
      <c r="DA8" s="204">
        <f>IFERROR(AVERAGEIF(RD[[#This Row],[IS1GHI_BS1 (KWh/m2)]:[IS1GHI_BS1 (KWh/m2)2]],"&lt;&gt;0",RD[[#This Row],[IS1GHI_BS1 (KWh/m2)]:[IS1GHI_BS1 (KWh/m2)2]]),"")</f>
        <v>0.40200000000000002</v>
      </c>
      <c r="DB8" s="204">
        <f>IFERROR(AVERAGEIF(RD[[#This Row],[IS1AT1 (°C)]:[IS7AT2 (°C)]],"&lt;&gt;0",RD[[#This Row],[IS1AT1 (°C)]:[IS7AT2 (°C)]]),"")</f>
        <v>30.347999999999999</v>
      </c>
      <c r="DC8" s="204">
        <f>IFERROR(AVERAGEIF(RD[[#This Row],[IS1MT1 (°C)]:[IS7MT2 (°C)]],"&lt;&gt;0",RD[[#This Row],[IS1MT1 (°C)]:[IS7MT2 (°C)]]),"")</f>
        <v>37.567999999999998</v>
      </c>
      <c r="DD8" s="204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204">
        <f>IFERROR(AVERAGEIF(RD[[#This Row],[WS_Solar1_Avg (m/s)]:[IS7_WS_Solar1_Avg (m/s)]],"&lt;&gt;0",RD[[#This Row],[WS_Solar1_Avg (m/s)]:[IS7_WS_Solar1_Avg (m/s)]]),"")</f>
        <v>0.66600000000000004</v>
      </c>
      <c r="DG8" s="204">
        <f>IFERROR(AVERAGEIF(RD[[#This Row],[WS_Solar1_Max (m/s)]:[IS7_WS_Solar1_Max (m/s)]],"&lt;&gt;0",RD[[#This Row],[WS_Solar1_Max (m/s)]:[IS7_WS_Solar1_Max (m/s)]]),"")</f>
        <v>1.6919999999999999</v>
      </c>
      <c r="DH8" s="204">
        <f>SUM(RD[[#This Row],[IS1Inv1M1]:[IS4Inv4M2]])</f>
        <v>85039</v>
      </c>
      <c r="DI8" s="205">
        <f>SUM(RD[[#This Row],[IS7Inv1M1]]+RD[[#This Row],[IS7Inv2M1]])</f>
        <v>4885</v>
      </c>
      <c r="DJ8" s="204">
        <f>SUM(RD[[#This Row],[IS5Inv1M1]:[IS5Inv2M2]])</f>
        <v>12481</v>
      </c>
      <c r="DK8" s="204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86">
        <f>SUM(RD[[#This Row],[IS12Inv1M1]:[IS12Inv1M4]])</f>
        <v>0</v>
      </c>
      <c r="DO8" s="286">
        <f>SUM(RD[[#This Row],[IS13Inv1M1]:[IS13Inv2M2]])</f>
        <v>0</v>
      </c>
      <c r="DP8" s="204">
        <f>SUM(RD[[#This Row],[O2R15]:[O2R26]])</f>
        <v>165499.4</v>
      </c>
      <c r="DQ8" s="168">
        <v>34772.5</v>
      </c>
      <c r="DR8" s="168">
        <v>195.9</v>
      </c>
      <c r="DS8" s="164">
        <v>29634.7</v>
      </c>
      <c r="DT8" s="168">
        <v>209.1</v>
      </c>
      <c r="DU8" s="168">
        <v>33726.800000000003</v>
      </c>
      <c r="DV8" s="168">
        <v>374.8</v>
      </c>
      <c r="DW8" s="168">
        <v>2863</v>
      </c>
      <c r="DX8" s="168">
        <v>12.3</v>
      </c>
      <c r="DY8" s="168"/>
      <c r="DZ8" s="168"/>
      <c r="EA8" s="140">
        <v>83.32</v>
      </c>
      <c r="EB8" s="169">
        <v>101779857</v>
      </c>
      <c r="EC8" s="134">
        <v>839260.28799999994</v>
      </c>
      <c r="ED8" s="134">
        <v>999.40800000000002</v>
      </c>
      <c r="EE8" s="169">
        <v>96176</v>
      </c>
      <c r="EF8" s="168">
        <v>141219.70000000001</v>
      </c>
      <c r="EG8" s="164">
        <v>1663.4</v>
      </c>
      <c r="EH8" s="146">
        <f>IF((RD[[#This Row],[33 kV_F3_Ex
Incomer1]]-DQ7)*1000&lt;0,0,(RD[[#This Row],[33 kV_F3_Ex
Incomer1]]-DQ7)*1000)</f>
        <v>43099.999999998545</v>
      </c>
      <c r="EI8" s="146">
        <f>IF((RD[[#This Row],[34 kV_F3_Im
Incomer1]]-DR7)*1000&lt;0,0,(RD[[#This Row],[34 kV_F3_Im
Incomer1]]-DR7)*1000)</f>
        <v>99.999999999994316</v>
      </c>
      <c r="EJ8" s="146">
        <f>IF((RD[[#This Row],[33 kV_F4_Ex
Incomer2]]-DS7)*1000&lt;0,0,(RD[[#This Row],[33 kV_F4_Ex
Incomer2]]-DS7)*1000)</f>
        <v>41200.000000000728</v>
      </c>
      <c r="EK8" s="146">
        <f>IF((RD[[#This Row],[34 kV_F4_Im
Incomer2]]-DT7)*1000&lt;0,0,(RD[[#This Row],[34 kV_F4_Im
Incomer2]]-DT7)*1000)</f>
        <v>99.999999999994316</v>
      </c>
      <c r="EL8" s="146">
        <f>IF((RD[[#This Row],[33 kV_F5_Ex
Incomer3]]-DU7)*1000&lt;0,0,(RD[[#This Row],[33 kV_F5_Ex
Incomer3]]-DU7)*1000)</f>
        <v>53600.000000005821</v>
      </c>
      <c r="EM8" s="146">
        <f>IF((RD[[#This Row],[34 kV_F5_Im
Incomer3]]-DV7)*1000&lt;0,0,(RD[[#This Row],[34 kV_F5_Im
Incomer3]]-DV7)*1000)</f>
        <v>300.00000000001137</v>
      </c>
      <c r="EN8" s="146">
        <f>IF((RD[[#This Row],[33 kV_F6_Ex
Incomer4]]-DW7)*1000&lt;0,0,(RD[[#This Row],[33 kV_F6_Ex
Incomer4]]-DW7)*1000)</f>
        <v>30800.000000000182</v>
      </c>
      <c r="EO8" s="146">
        <f>IF((RD[[#This Row],[33 kV_F6_Im
Incomer4]]-DX7)*1000&lt;0,0,(RD[[#This Row],[33 kV_F6_Im
Incomer4]]-DX7)*1000)</f>
        <v>100.00000000000142</v>
      </c>
      <c r="EP8" s="146">
        <f>IF((RD[[#This Row],[33 kV_F7_Ex
Incomer5]]-DY7)*1000&lt;0,0,(RD[[#This Row],[33 kV_F7_Ex
Incomer5]]-DY7)*1000)</f>
        <v>0</v>
      </c>
      <c r="EQ8" s="146">
        <f>IF((RD[[#This Row],[33 kV_F7_Im
Incomer5]]-DZ7)*1000&lt;0,0,(RD[[#This Row],[33 kV_F7_Im
Incomer5]]-DZ7)*1000)</f>
        <v>0</v>
      </c>
      <c r="ER8" s="146">
        <f>IF((RD[[#This Row],[33 kV_Aux Trafo]]-EA7)*1000&lt;0,0,(RD[[#This Row],[33 kV_Aux Trafo]]-EA7)*1000)</f>
        <v>169.99999999998749</v>
      </c>
      <c r="ES8" s="158">
        <f>IF((RD[[#This Row],[33kV_OG1_Ex_]]-EB7)*1&lt;0,0,(RD[[#This Row],[33kV_OG1_Ex_]]-EB7)*1)</f>
        <v>169574</v>
      </c>
      <c r="ET8" s="146">
        <f>IF((RD[[#This Row],[33kV_OG1_Im]]-EC7)*1&lt;0,0,(RD[[#This Row],[33kV_OG1_Im]]-EC7)*1)</f>
        <v>1270.9119999998948</v>
      </c>
      <c r="EU8" s="146">
        <f>IF((RD[[#This Row],[132kV_TX1_EX]]-ED7)*720&lt;=0,"",(RD[[#This Row],[132kV_TX1_EX]]-ED7)*720)</f>
        <v>898.56000000003405</v>
      </c>
      <c r="EV8" s="146">
        <f>IF((RD[[#This Row],[132 kV_Tx1_Im]]-EE7)*720&lt;=0,0,(RD[[#This Row],[132 kV_Tx1_Im]]-EE7)*720)</f>
        <v>120960</v>
      </c>
      <c r="EW8" s="146">
        <f>IF((RD[[#This Row],[132kV_L1_Ex]]-EF7)*720&lt;=0,0,(RD[[#This Row],[132kV_L1_Ex]]-EF7)*720)</f>
        <v>168840</v>
      </c>
      <c r="EX8" s="146">
        <f>IF((RD[[#This Row],[132kV_L1_Im]]-EG7)*720&lt;=0,0,(RD[[#This Row],[132kV_L1_Im]]-EG7)*720)</f>
        <v>1224.0000000000327</v>
      </c>
      <c r="EY8" s="146">
        <f>IFERROR(RD[[#This Row],[33kV_OG1_Ex (MWh)]]+RD[[#This Row],[33kV_OG1_Im (MWh)]],"")</f>
        <v>170844.91199999989</v>
      </c>
      <c r="EZ8" s="148">
        <f>RD[[#This Row],[33kV_OG1_Ex (MWh)]]-RD[[#This Row],[33kV_OG1_Im (MWh)]]</f>
        <v>168303.08800000011</v>
      </c>
      <c r="FA8" s="147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7">
        <v>97</v>
      </c>
      <c r="FE8" t="s">
        <v>265</v>
      </c>
      <c r="FF8"/>
      <c r="FG8"/>
    </row>
    <row r="9" spans="1:164">
      <c r="A9" s="133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52">
        <v>0.2986111111111111</v>
      </c>
      <c r="G9" s="162">
        <v>0.73263888888888884</v>
      </c>
      <c r="H9" s="124">
        <v>5003</v>
      </c>
      <c r="I9" s="124">
        <v>4966.3</v>
      </c>
      <c r="J9" s="124">
        <v>4646.8</v>
      </c>
      <c r="K9" s="124">
        <v>4677</v>
      </c>
      <c r="L9" s="124">
        <v>4827.5</v>
      </c>
      <c r="M9" s="124">
        <v>4888.8999999999996</v>
      </c>
      <c r="N9" s="124">
        <v>4624.6000000000004</v>
      </c>
      <c r="O9" s="124">
        <v>5295.5</v>
      </c>
      <c r="P9" s="124">
        <v>4897.3</v>
      </c>
      <c r="Q9" s="124">
        <v>4820.7</v>
      </c>
      <c r="R9" s="124">
        <v>5005.6000000000004</v>
      </c>
      <c r="S9" s="124">
        <v>4934.5</v>
      </c>
      <c r="T9" s="124">
        <v>5131.5</v>
      </c>
      <c r="U9" s="124">
        <v>5025.5</v>
      </c>
      <c r="V9" s="124">
        <v>5129.8999999999996</v>
      </c>
      <c r="W9" s="124">
        <v>4859.6000000000004</v>
      </c>
      <c r="X9" s="203">
        <v>6699.1</v>
      </c>
      <c r="Y9" s="203">
        <v>7746.6</v>
      </c>
      <c r="Z9" s="203">
        <v>6621.1</v>
      </c>
      <c r="AA9" s="203">
        <v>7004.6</v>
      </c>
      <c r="AB9" s="203">
        <v>7483.8</v>
      </c>
      <c r="AC9" s="203">
        <v>4593.2</v>
      </c>
      <c r="AD9" s="203">
        <v>6871.2</v>
      </c>
      <c r="AE9" s="203">
        <v>7021.8</v>
      </c>
      <c r="AF9" s="203">
        <v>6633.8</v>
      </c>
      <c r="AG9" s="203">
        <v>6760</v>
      </c>
      <c r="AH9" s="203">
        <v>6853.3</v>
      </c>
      <c r="AI9" s="203">
        <v>6880.5</v>
      </c>
      <c r="AJ9" s="142">
        <v>5733.2</v>
      </c>
      <c r="AK9" s="142">
        <v>5892.7</v>
      </c>
      <c r="AL9" s="142">
        <v>5795.3</v>
      </c>
      <c r="AM9" s="142">
        <v>5824.4</v>
      </c>
      <c r="AN9" s="142">
        <v>5788.9</v>
      </c>
      <c r="AO9" s="142">
        <v>6010.9</v>
      </c>
      <c r="AP9" s="142">
        <v>5893.7</v>
      </c>
      <c r="AQ9" s="142">
        <v>5839.8</v>
      </c>
      <c r="AR9" s="142">
        <v>4716.3</v>
      </c>
      <c r="AS9" s="142">
        <v>4731.8</v>
      </c>
      <c r="AT9" s="142">
        <v>4763.5</v>
      </c>
      <c r="AU9" s="142">
        <v>4712.8</v>
      </c>
      <c r="AV9" s="142">
        <v>4837</v>
      </c>
      <c r="AW9" s="142">
        <v>4765.8999999999996</v>
      </c>
      <c r="AX9" s="142">
        <v>6706</v>
      </c>
      <c r="AY9" s="142">
        <v>7528</v>
      </c>
      <c r="AZ9" s="142">
        <v>5443</v>
      </c>
      <c r="BA9" s="142">
        <v>6633</v>
      </c>
      <c r="BB9" s="142">
        <v>6316.7</v>
      </c>
      <c r="BC9" s="142">
        <v>4838.3999999999996</v>
      </c>
      <c r="BD9" s="142">
        <v>5078.8</v>
      </c>
      <c r="BE9" s="142">
        <v>6320.8</v>
      </c>
      <c r="BF9" s="142">
        <v>4197.5</v>
      </c>
      <c r="BG9" s="142">
        <v>287.5</v>
      </c>
      <c r="BH9" s="142">
        <v>68.099999999999994</v>
      </c>
      <c r="BI9" s="142">
        <v>632.79999999999995</v>
      </c>
      <c r="BJ9" s="142">
        <v>504</v>
      </c>
      <c r="BK9" s="142">
        <v>201</v>
      </c>
      <c r="BL9" s="142">
        <v>2120</v>
      </c>
      <c r="BM9" s="142">
        <v>2010</v>
      </c>
      <c r="BN9" s="142">
        <v>2842</v>
      </c>
      <c r="BO9" s="142">
        <v>945.4</v>
      </c>
      <c r="BP9" s="142">
        <v>831.7</v>
      </c>
      <c r="BQ9" s="142">
        <v>1890</v>
      </c>
      <c r="BR9" s="142">
        <v>0</v>
      </c>
      <c r="BS9" s="142">
        <v>0</v>
      </c>
      <c r="BT9" s="142">
        <v>206</v>
      </c>
      <c r="BU9" s="142">
        <v>97.5</v>
      </c>
      <c r="BV9" s="142"/>
      <c r="BW9" s="142"/>
      <c r="BX9" s="142"/>
      <c r="BY9" s="142"/>
      <c r="BZ9" s="142">
        <v>625</v>
      </c>
      <c r="CA9" s="142">
        <v>523</v>
      </c>
      <c r="CB9" s="142">
        <v>1460</v>
      </c>
      <c r="CC9" s="142">
        <v>1101</v>
      </c>
      <c r="CD9" s="59">
        <v>3.0988523999999997</v>
      </c>
      <c r="CE9" s="59"/>
      <c r="CF9" s="206">
        <v>4.0104408333333366</v>
      </c>
      <c r="CG9" s="206"/>
      <c r="CH9" s="206">
        <v>0.42088406666666633</v>
      </c>
      <c r="CI9" s="206"/>
      <c r="CJ9" s="59">
        <v>0.67438216666666695</v>
      </c>
      <c r="CK9" s="59"/>
      <c r="CL9" s="206">
        <v>28.203182692307703</v>
      </c>
      <c r="CM9" s="206"/>
      <c r="CN9" s="206">
        <v>36.144302884615364</v>
      </c>
      <c r="CO9" s="206"/>
      <c r="CP9" s="206">
        <v>46.216826923076923</v>
      </c>
      <c r="CQ9" s="206"/>
      <c r="CR9" s="59">
        <v>0.23300000000000001</v>
      </c>
      <c r="CS9" s="59"/>
      <c r="CT9" s="206">
        <v>1.461758653846152</v>
      </c>
      <c r="CU9" s="206"/>
      <c r="CV9" s="206">
        <v>2.88</v>
      </c>
      <c r="CW9" s="258"/>
      <c r="CX9" s="204">
        <f>IFERROR(AVERAGEIF(RD[[#This Row],[IS1POA1 (KWh/m2)]:[IS7POA2 (KWh/m2)]],"&lt;&gt;0",RD[[#This Row],[IS1POA1 (KWh/m2)]:[IS7POA2 (KWh/m2)]]),"")</f>
        <v>3.0988523999999997</v>
      </c>
      <c r="CY9" s="204">
        <f>IFERROR(AVERAGEIF(RD[[#This Row],[IS1GHI1 (KWh/m2)]:[IS7GHI2 (KWh/m2)]],"&lt;&gt;0",RD[[#This Row],[IS1GHI1 (KWh/m2)]:[IS7GHI2 (KWh/m2)]]),"")</f>
        <v>4.0104408333333366</v>
      </c>
      <c r="CZ9" s="204">
        <f>IFERROR(AVERAGEIF(RD[[#This Row],[IS1POA_BS1 (KWh/m2)]:[IS7POA_BS2 (KWh/m2)]],"&lt;&gt;0",RD[[#This Row],[IS1POA_BS1 (KWh/m2)]:[IS7POA_BS2 (KWh/m2)]]),"")</f>
        <v>0.42088406666666633</v>
      </c>
      <c r="DA9" s="204">
        <f>IFERROR(AVERAGEIF(RD[[#This Row],[IS1GHI_BS1 (KWh/m2)]:[IS1GHI_BS1 (KWh/m2)2]],"&lt;&gt;0",RD[[#This Row],[IS1GHI_BS1 (KWh/m2)]:[IS1GHI_BS1 (KWh/m2)2]]),"")</f>
        <v>0.67438216666666695</v>
      </c>
      <c r="DB9" s="204">
        <f>IFERROR(AVERAGEIF(RD[[#This Row],[IS1AT1 (°C)]:[IS7AT2 (°C)]],"&lt;&gt;0",RD[[#This Row],[IS1AT1 (°C)]:[IS7AT2 (°C)]]),"")</f>
        <v>28.203182692307703</v>
      </c>
      <c r="DC9" s="204">
        <f>IFERROR(AVERAGEIF(RD[[#This Row],[IS1MT1 (°C)]:[IS7MT2 (°C)]],"&lt;&gt;0",RD[[#This Row],[IS1MT1 (°C)]:[IS7MT2 (°C)]]),"")</f>
        <v>36.144302884615364</v>
      </c>
      <c r="DD9" s="204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204">
        <f>IFERROR(AVERAGEIF(RD[[#This Row],[WS_Solar1_Avg (m/s)]:[IS7_WS_Solar1_Avg (m/s)]],"&lt;&gt;0",RD[[#This Row],[WS_Solar1_Avg (m/s)]:[IS7_WS_Solar1_Avg (m/s)]]),"")</f>
        <v>1.461758653846152</v>
      </c>
      <c r="DG9" s="204">
        <f>IFERROR(AVERAGEIF(RD[[#This Row],[WS_Solar1_Max (m/s)]:[IS7_WS_Solar1_Max (m/s)]],"&lt;&gt;0",RD[[#This Row],[WS_Solar1_Max (m/s)]:[IS7_WS_Solar1_Max (m/s)]]),"")</f>
        <v>2.88</v>
      </c>
      <c r="DH9" s="204">
        <f>SUM(RD[[#This Row],[IS1Inv1M1]:[IS4Inv4M2]])</f>
        <v>159903.19999999998</v>
      </c>
      <c r="DI9" s="205">
        <f>SUM(RD[[#This Row],[IS7Inv1M1]]+RD[[#This Row],[IS7Inv2M1]])</f>
        <v>9448.1</v>
      </c>
      <c r="DJ9" s="204">
        <f>SUM(RD[[#This Row],[IS5Inv1M1]:[IS5Inv2M2]])</f>
        <v>23245.599999999999</v>
      </c>
      <c r="DK9" s="204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86">
        <f>SUM(RD[[#This Row],[IS12Inv1M1]:[IS12Inv1M4]])</f>
        <v>6509.1</v>
      </c>
      <c r="DO9" s="286">
        <f>SUM(RD[[#This Row],[IS13Inv1M1]:[IS13Inv2M2]])</f>
        <v>303.5</v>
      </c>
      <c r="DP9" s="204">
        <f>SUM(RD[[#This Row],[O2R15]:[O2R26]])</f>
        <v>304616.59999999992</v>
      </c>
      <c r="DQ9" s="168">
        <v>34853.300000000003</v>
      </c>
      <c r="DR9" s="172">
        <v>196.3</v>
      </c>
      <c r="DS9" s="164">
        <v>29711.9</v>
      </c>
      <c r="DT9" s="168">
        <v>209.5</v>
      </c>
      <c r="DU9" s="172">
        <v>33827.599999999999</v>
      </c>
      <c r="DV9" s="172">
        <v>375.6</v>
      </c>
      <c r="DW9" s="168">
        <v>2910.9</v>
      </c>
      <c r="DX9" s="172">
        <v>12.9</v>
      </c>
      <c r="DY9" s="172"/>
      <c r="DZ9" s="172"/>
      <c r="EA9" s="171">
        <v>83.57</v>
      </c>
      <c r="EB9" s="169">
        <v>102087270</v>
      </c>
      <c r="EC9" s="134">
        <v>841200.76800000004</v>
      </c>
      <c r="ED9" s="169">
        <v>1002</v>
      </c>
      <c r="EE9" s="169">
        <v>96483</v>
      </c>
      <c r="EF9" s="168">
        <v>141645.20000000001</v>
      </c>
      <c r="EG9" s="245">
        <v>1667.3</v>
      </c>
      <c r="EH9" s="146">
        <f>IF((RD[[#This Row],[33 kV_F3_Ex
Incomer1]]-DQ8)*1000&lt;0,0,(RD[[#This Row],[33 kV_F3_Ex
Incomer1]]-DQ8)*1000)</f>
        <v>80800.00000000291</v>
      </c>
      <c r="EI9" s="146">
        <f>IF((RD[[#This Row],[34 kV_F3_Im
Incomer1]]-DR8)*1000&lt;0,0,(RD[[#This Row],[34 kV_F3_Im
Incomer1]]-DR8)*1000)</f>
        <v>400.00000000000568</v>
      </c>
      <c r="EJ9" s="146">
        <f>IF((RD[[#This Row],[33 kV_F4_Ex
Incomer2]]-DS8)*1000&lt;0,0,(RD[[#This Row],[33 kV_F4_Ex
Incomer2]]-DS8)*1000)</f>
        <v>77200.000000000728</v>
      </c>
      <c r="EK9" s="146">
        <f>IF((RD[[#This Row],[34 kV_F4_Im
Incomer2]]-DT8)*1000&lt;0,0,(RD[[#This Row],[34 kV_F4_Im
Incomer2]]-DT8)*1000)</f>
        <v>400.00000000000568</v>
      </c>
      <c r="EL9" s="146">
        <f>IF((RD[[#This Row],[33 kV_F5_Ex
Incomer3]]-DU8)*1000&lt;0,0,(RD[[#This Row],[33 kV_F5_Ex
Incomer3]]-DU8)*1000)</f>
        <v>100799.99999999563</v>
      </c>
      <c r="EM9" s="146">
        <f>IF((RD[[#This Row],[34 kV_F5_Im
Incomer3]]-DV8)*1000&lt;0,0,(RD[[#This Row],[34 kV_F5_Im
Incomer3]]-DV8)*1000)</f>
        <v>800.00000000001137</v>
      </c>
      <c r="EN9" s="146">
        <f>IF((RD[[#This Row],[33 kV_F6_Ex
Incomer4]]-DW8)*1000&lt;0,0,(RD[[#This Row],[33 kV_F6_Ex
Incomer4]]-DW8)*1000)</f>
        <v>47900.000000000087</v>
      </c>
      <c r="EO9" s="146">
        <f>IF((RD[[#This Row],[33 kV_F6_Im
Incomer4]]-DX8)*1000&lt;0,0,(RD[[#This Row],[33 kV_F6_Im
Incomer4]]-DX8)*1000)</f>
        <v>599.99999999999966</v>
      </c>
      <c r="EP9" s="146">
        <f>IF((RD[[#This Row],[33 kV_F7_Ex
Incomer5]]-DY8)*1000&lt;0,0,(RD[[#This Row],[33 kV_F7_Ex
Incomer5]]-DY8)*1000)</f>
        <v>0</v>
      </c>
      <c r="EQ9" s="146">
        <f>IF((RD[[#This Row],[33 kV_F7_Im
Incomer5]]-DZ8)*1000&lt;0,0,(RD[[#This Row],[33 kV_F7_Im
Incomer5]]-DZ8)*1000)</f>
        <v>0</v>
      </c>
      <c r="ER9" s="146">
        <f>IF((RD[[#This Row],[33 kV_Aux Trafo]]-EA8)*1000&lt;0,0,(RD[[#This Row],[33 kV_Aux Trafo]]-EA8)*1000)</f>
        <v>250</v>
      </c>
      <c r="ES9" s="158">
        <f>IF((RD[[#This Row],[33kV_OG1_Ex_]]-EB8)*1&lt;0,0,(RD[[#This Row],[33kV_OG1_Ex_]]-EB8)*1)</f>
        <v>307413</v>
      </c>
      <c r="ET9" s="146">
        <f>IF((RD[[#This Row],[33kV_OG1_Im]]-EC8)*1&lt;0,0,(RD[[#This Row],[33kV_OG1_Im]]-EC8)*1)</f>
        <v>1940.4800000000978</v>
      </c>
      <c r="EU9" s="146">
        <f>IF((RD[[#This Row],[132kV_TX1_EX]]-ED8)*720&lt;=0,"",(RD[[#This Row],[132kV_TX1_EX]]-ED8)*720)</f>
        <v>1866.2399999999889</v>
      </c>
      <c r="EV9" s="146">
        <f>IF((RD[[#This Row],[132 kV_Tx1_Im]]-EE8)*720&lt;=0,0,(RD[[#This Row],[132 kV_Tx1_Im]]-EE8)*720)</f>
        <v>221040</v>
      </c>
      <c r="EW9" s="146">
        <f>IF((RD[[#This Row],[132kV_L1_Ex]]-EF8)*720&lt;=0,0,(RD[[#This Row],[132kV_L1_Ex]]-EF8)*720)</f>
        <v>306360</v>
      </c>
      <c r="EX9" s="146">
        <f>IF((RD[[#This Row],[132kV_L1_Im]]-EG8)*720&lt;=0,0,(RD[[#This Row],[132kV_L1_Im]]-EG8)*720)</f>
        <v>2807.9999999999018</v>
      </c>
      <c r="EY9" s="249">
        <f>IFERROR(RD[[#This Row],[33kV_OG1_Ex (MWh)]]+RD[[#This Row],[33kV_OG1_Im (MWh)]],"")</f>
        <v>309353.4800000001</v>
      </c>
      <c r="EZ9" s="148">
        <f>RD[[#This Row],[33kV_OG1_Ex (MWh)]]-RD[[#This Row],[33kV_OG1_Im (MWh)]]</f>
        <v>305472.5199999999</v>
      </c>
      <c r="FA9" s="148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43">
        <f>IFERROR((RD[[#This Row],[Sunset Time (POA&lt;20 W/m2)]]-RD[[#This Row],[Sunrise Time (POA&gt;20 W/m2)]])*24,0)</f>
        <v>10.416666666666666</v>
      </c>
      <c r="FD9" s="244">
        <v>97</v>
      </c>
      <c r="FE9" s="303" t="s">
        <v>266</v>
      </c>
      <c r="FF9"/>
      <c r="FG9"/>
    </row>
    <row r="10" spans="1:164">
      <c r="A10" s="133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52">
        <v>0.32291666666666669</v>
      </c>
      <c r="G10" s="162">
        <v>0.74305555555555558</v>
      </c>
      <c r="H10" s="124">
        <v>6100.5</v>
      </c>
      <c r="I10" s="124">
        <v>6126</v>
      </c>
      <c r="J10" s="124">
        <v>5801.6</v>
      </c>
      <c r="K10" s="124">
        <v>5758.8</v>
      </c>
      <c r="L10" s="124">
        <v>5917.3</v>
      </c>
      <c r="M10" s="124">
        <v>6011.4</v>
      </c>
      <c r="N10" s="124">
        <v>5752.3</v>
      </c>
      <c r="O10" s="124">
        <v>6309.6</v>
      </c>
      <c r="P10" s="124">
        <v>5908</v>
      </c>
      <c r="Q10" s="124">
        <v>5806.3</v>
      </c>
      <c r="R10" s="124">
        <v>5993.5</v>
      </c>
      <c r="S10" s="124">
        <v>6001.1</v>
      </c>
      <c r="T10" s="124">
        <v>6098.2</v>
      </c>
      <c r="U10" s="124">
        <v>6082.3</v>
      </c>
      <c r="V10" s="124">
        <v>6068.2</v>
      </c>
      <c r="W10" s="124">
        <v>5902.6</v>
      </c>
      <c r="X10" s="203">
        <v>8511.2000000000007</v>
      </c>
      <c r="Y10" s="203">
        <v>9391.9</v>
      </c>
      <c r="Z10" s="203">
        <v>8317.1</v>
      </c>
      <c r="AA10" s="203">
        <v>8708.6</v>
      </c>
      <c r="AB10" s="203">
        <v>2091.8000000000002</v>
      </c>
      <c r="AC10" s="203">
        <v>1266.5999999999999</v>
      </c>
      <c r="AD10" s="203">
        <v>1905.3</v>
      </c>
      <c r="AE10" s="203">
        <v>1939.2</v>
      </c>
      <c r="AF10" s="203">
        <v>1823.7</v>
      </c>
      <c r="AG10" s="203">
        <v>1868</v>
      </c>
      <c r="AH10" s="203">
        <v>1890.9</v>
      </c>
      <c r="AI10" s="203">
        <v>1900.8</v>
      </c>
      <c r="AJ10" s="142">
        <v>7088.4</v>
      </c>
      <c r="AK10" s="142">
        <v>7272.5</v>
      </c>
      <c r="AL10" s="142">
        <v>7031.6</v>
      </c>
      <c r="AM10" s="142">
        <v>7120</v>
      </c>
      <c r="AN10" s="142">
        <v>7093.9</v>
      </c>
      <c r="AO10" s="142">
        <v>7338</v>
      </c>
      <c r="AP10" s="142">
        <v>7230.5</v>
      </c>
      <c r="AQ10" s="142">
        <v>7102.2</v>
      </c>
      <c r="AR10" s="142">
        <v>5745.5</v>
      </c>
      <c r="AS10" s="142">
        <v>5769.3</v>
      </c>
      <c r="AT10" s="142">
        <v>5762.3</v>
      </c>
      <c r="AU10" s="142">
        <v>5792.1</v>
      </c>
      <c r="AV10" s="142">
        <v>5890.7</v>
      </c>
      <c r="AW10" s="142">
        <v>5793.7</v>
      </c>
      <c r="AX10" s="142">
        <v>8246</v>
      </c>
      <c r="AY10" s="142">
        <v>8945</v>
      </c>
      <c r="AZ10" s="142">
        <v>6593</v>
      </c>
      <c r="BA10" s="142">
        <v>7964</v>
      </c>
      <c r="BB10" s="142">
        <v>6741.3</v>
      </c>
      <c r="BC10" s="142">
        <v>5133.8</v>
      </c>
      <c r="BD10" s="142">
        <v>5389.4</v>
      </c>
      <c r="BE10" s="142">
        <v>6687.4</v>
      </c>
      <c r="BF10" s="142">
        <v>5532.7</v>
      </c>
      <c r="BG10" s="142">
        <v>6423.4</v>
      </c>
      <c r="BH10" s="142">
        <v>3852.3</v>
      </c>
      <c r="BI10" s="142">
        <v>1692.8</v>
      </c>
      <c r="BJ10" s="142">
        <v>1571.5</v>
      </c>
      <c r="BK10" s="142">
        <v>650.70000000000005</v>
      </c>
      <c r="BL10" s="142">
        <v>4128.1000000000004</v>
      </c>
      <c r="BM10" s="142">
        <v>4178.8999999999996</v>
      </c>
      <c r="BN10" s="142">
        <v>3745</v>
      </c>
      <c r="BO10" s="142">
        <v>1076</v>
      </c>
      <c r="BP10" s="142">
        <v>1298</v>
      </c>
      <c r="BQ10" s="142">
        <v>2058</v>
      </c>
      <c r="BR10" s="142">
        <v>0</v>
      </c>
      <c r="BS10" s="142">
        <v>0</v>
      </c>
      <c r="BT10" s="142">
        <v>497</v>
      </c>
      <c r="BU10" s="142">
        <v>393</v>
      </c>
      <c r="BV10" s="142"/>
      <c r="BW10" s="142"/>
      <c r="BX10" s="142"/>
      <c r="BY10" s="142"/>
      <c r="BZ10" s="142">
        <v>771.7</v>
      </c>
      <c r="CA10" s="142">
        <v>659</v>
      </c>
      <c r="CB10" s="142">
        <v>2762.4</v>
      </c>
      <c r="CC10" s="142">
        <v>1805.4</v>
      </c>
      <c r="CD10" s="59">
        <v>4.5550656999999966</v>
      </c>
      <c r="CE10" s="59"/>
      <c r="CF10" s="206">
        <v>4.3913989166666703</v>
      </c>
      <c r="CG10" s="206"/>
      <c r="CH10" s="206">
        <v>0.50570113333333389</v>
      </c>
      <c r="CI10" s="206"/>
      <c r="CJ10" s="59">
        <v>0.74058401666666573</v>
      </c>
      <c r="CK10" s="59"/>
      <c r="CL10" s="206">
        <v>26.490573770491778</v>
      </c>
      <c r="CM10" s="206"/>
      <c r="CN10" s="206">
        <v>34.034232786885255</v>
      </c>
      <c r="CO10" s="206"/>
      <c r="CP10" s="206">
        <v>68.447180327868821</v>
      </c>
      <c r="CQ10" s="206"/>
      <c r="CR10" s="59">
        <v>8.819672131147567E-2</v>
      </c>
      <c r="CS10" s="59"/>
      <c r="CT10" s="206">
        <v>1.0990622950819684</v>
      </c>
      <c r="CU10" s="206"/>
      <c r="CV10" s="206">
        <v>2.952</v>
      </c>
      <c r="CW10" s="258"/>
      <c r="CX10" s="204">
        <f>IFERROR(AVERAGEIF(RD[[#This Row],[IS1POA1 (KWh/m2)]:[IS7POA2 (KWh/m2)]],"&lt;&gt;0",RD[[#This Row],[IS1POA1 (KWh/m2)]:[IS7POA2 (KWh/m2)]]),"")</f>
        <v>4.5550656999999966</v>
      </c>
      <c r="CY10" s="204">
        <f>IFERROR(AVERAGEIF(RD[[#This Row],[IS1GHI1 (KWh/m2)]:[IS7GHI2 (KWh/m2)]],"&lt;&gt;0",RD[[#This Row],[IS1GHI1 (KWh/m2)]:[IS7GHI2 (KWh/m2)]]),"")</f>
        <v>4.3913989166666703</v>
      </c>
      <c r="CZ10" s="204">
        <f>IFERROR(AVERAGEIF(RD[[#This Row],[IS1POA_BS1 (KWh/m2)]:[IS7POA_BS2 (KWh/m2)]],"&lt;&gt;0",RD[[#This Row],[IS1POA_BS1 (KWh/m2)]:[IS7POA_BS2 (KWh/m2)]]),"")</f>
        <v>0.50570113333333389</v>
      </c>
      <c r="DA10" s="204">
        <f>IFERROR(AVERAGEIF(RD[[#This Row],[IS1GHI_BS1 (KWh/m2)]:[IS1GHI_BS1 (KWh/m2)2]],"&lt;&gt;0",RD[[#This Row],[IS1GHI_BS1 (KWh/m2)]:[IS1GHI_BS1 (KWh/m2)2]]),"")</f>
        <v>0.74058401666666573</v>
      </c>
      <c r="DB10" s="204">
        <f>IFERROR(AVERAGEIF(RD[[#This Row],[IS1AT1 (°C)]:[IS7AT2 (°C)]],"&lt;&gt;0",RD[[#This Row],[IS1AT1 (°C)]:[IS7AT2 (°C)]]),"")</f>
        <v>26.490573770491778</v>
      </c>
      <c r="DC10" s="204">
        <f>IFERROR(AVERAGEIF(RD[[#This Row],[IS1MT1 (°C)]:[IS7MT2 (°C)]],"&lt;&gt;0",RD[[#This Row],[IS1MT1 (°C)]:[IS7MT2 (°C)]]),"")</f>
        <v>34.034232786885255</v>
      </c>
      <c r="DD10" s="204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204">
        <f>IFERROR(AVERAGEIF(RD[[#This Row],[WS_Solar1_Avg (m/s)]:[IS7_WS_Solar1_Avg (m/s)]],"&lt;&gt;0",RD[[#This Row],[WS_Solar1_Avg (m/s)]:[IS7_WS_Solar1_Avg (m/s)]]),"")</f>
        <v>1.0990622950819684</v>
      </c>
      <c r="DG10" s="204">
        <f>IFERROR(AVERAGEIF(RD[[#This Row],[WS_Solar1_Max (m/s)]:[IS7_WS_Solar1_Max (m/s)]],"&lt;&gt;0",RD[[#This Row],[WS_Solar1_Max (m/s)]:[IS7_WS_Solar1_Max (m/s)]]),"")</f>
        <v>2.952</v>
      </c>
      <c r="DH10" s="204">
        <f>SUM(RD[[#This Row],[IS1Inv1M1]:[IS4Inv4M2]])</f>
        <v>145252.80000000002</v>
      </c>
      <c r="DI10" s="205">
        <f>SUM(RD[[#This Row],[IS7Inv1M1]]+RD[[#This Row],[IS7Inv2M1]])</f>
        <v>11514.8</v>
      </c>
      <c r="DJ10" s="204">
        <f>SUM(RD[[#This Row],[IS5Inv1M1]:[IS5Inv2M2]])</f>
        <v>28512.5</v>
      </c>
      <c r="DK10" s="204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86">
        <f>SUM(RD[[#This Row],[IS12Inv1M1]:[IS12Inv1M4]])</f>
        <v>8177</v>
      </c>
      <c r="DO10" s="286">
        <f>SUM(RD[[#This Row],[IS13Inv1M1]:[IS13Inv2M2]])</f>
        <v>890</v>
      </c>
      <c r="DP10" s="204">
        <f>SUM(RD[[#This Row],[O2R15]:[O2R26]])</f>
        <v>336079.3</v>
      </c>
      <c r="DQ10" s="168">
        <v>34902.5</v>
      </c>
      <c r="DR10" s="168">
        <v>196.5</v>
      </c>
      <c r="DS10" s="164">
        <v>29804.6</v>
      </c>
      <c r="DT10" s="168">
        <v>209.7</v>
      </c>
      <c r="DU10" s="168">
        <v>33949.5</v>
      </c>
      <c r="DV10" s="168">
        <v>375.9</v>
      </c>
      <c r="DW10" s="168">
        <v>2977.2</v>
      </c>
      <c r="DX10" s="168">
        <v>13.2</v>
      </c>
      <c r="DY10" s="168"/>
      <c r="DZ10" s="168"/>
      <c r="EA10" s="140">
        <v>83.8</v>
      </c>
      <c r="EB10" s="169">
        <v>102418341</v>
      </c>
      <c r="EC10" s="134">
        <v>842331.45600000001</v>
      </c>
      <c r="ED10" s="169">
        <v>1004</v>
      </c>
      <c r="EE10" s="169">
        <v>96812</v>
      </c>
      <c r="EF10" s="168">
        <v>142103.4</v>
      </c>
      <c r="EG10" s="164">
        <v>1669.8</v>
      </c>
      <c r="EH10" s="146">
        <f>IF((RD[[#This Row],[33 kV_F3_Ex
Incomer1]]-DQ9)*1000&lt;0,0,(RD[[#This Row],[33 kV_F3_Ex
Incomer1]]-DQ9)*1000)</f>
        <v>49199.99999999709</v>
      </c>
      <c r="EI10" s="146">
        <f>IF((RD[[#This Row],[34 kV_F3_Im
Incomer1]]-DR9)*1000&lt;0,0,(RD[[#This Row],[34 kV_F3_Im
Incomer1]]-DR9)*1000)</f>
        <v>199.99999999998863</v>
      </c>
      <c r="EJ10" s="146">
        <f>IF((RD[[#This Row],[33 kV_F4_Ex
Incomer2]]-DS9)*1000&lt;0,0,(RD[[#This Row],[33 kV_F4_Ex
Incomer2]]-DS9)*1000)</f>
        <v>92699.99999999709</v>
      </c>
      <c r="EK10" s="146">
        <f>IF((RD[[#This Row],[34 kV_F4_Im
Incomer2]]-DT9)*1000&lt;0,0,(RD[[#This Row],[34 kV_F4_Im
Incomer2]]-DT9)*1000)</f>
        <v>199.99999999998863</v>
      </c>
      <c r="EL10" s="146">
        <f>IF((RD[[#This Row],[33 kV_F5_Ex
Incomer3]]-DU9)*1000&lt;0,0,(RD[[#This Row],[33 kV_F5_Ex
Incomer3]]-DU9)*1000)</f>
        <v>121900.00000000146</v>
      </c>
      <c r="EM10" s="146">
        <f>IF((RD[[#This Row],[34 kV_F5_Im
Incomer3]]-DV9)*1000&lt;0,0,(RD[[#This Row],[34 kV_F5_Im
Incomer3]]-DV9)*1000)</f>
        <v>299.99999999995453</v>
      </c>
      <c r="EN10" s="146">
        <f>IF((RD[[#This Row],[33 kV_F6_Ex
Incomer4]]-DW9)*1000&lt;0,0,(RD[[#This Row],[33 kV_F6_Ex
Incomer4]]-DW9)*1000)</f>
        <v>66299.999999999724</v>
      </c>
      <c r="EO10" s="146">
        <f>IF((RD[[#This Row],[33 kV_F6_Im
Incomer4]]-DX9)*1000&lt;0,0,(RD[[#This Row],[33 kV_F6_Im
Incomer4]]-DX9)*1000)</f>
        <v>299.99999999999892</v>
      </c>
      <c r="EP10" s="146">
        <f>IF((RD[[#This Row],[33 kV_F7_Ex
Incomer5]]-DY9)*1000&lt;0,0,(RD[[#This Row],[33 kV_F7_Ex
Incomer5]]-DY9)*1000)</f>
        <v>0</v>
      </c>
      <c r="EQ10" s="146">
        <f>IF((RD[[#This Row],[33 kV_F7_Im
Incomer5]]-DZ9)*1000&lt;0,0,(RD[[#This Row],[33 kV_F7_Im
Incomer5]]-DZ9)*1000)</f>
        <v>0</v>
      </c>
      <c r="ER10" s="146">
        <f>IF((RD[[#This Row],[33 kV_Aux Trafo]]-EA9)*1000&lt;0,0,(RD[[#This Row],[33 kV_Aux Trafo]]-EA9)*1000)</f>
        <v>230.00000000000398</v>
      </c>
      <c r="ES10" s="158">
        <f>IF((RD[[#This Row],[33kV_OG1_Ex_]]-EB9)*1&lt;0,0,(RD[[#This Row],[33kV_OG1_Ex_]]-EB9)*1)</f>
        <v>331071</v>
      </c>
      <c r="ET10" s="146">
        <f>IF((RD[[#This Row],[33kV_OG1_Im]]-EC9)*1&lt;0,0,(RD[[#This Row],[33kV_OG1_Im]]-EC9)*1)</f>
        <v>1130.6879999999655</v>
      </c>
      <c r="EU10" s="146">
        <f>IF((RD[[#This Row],[132kV_TX1_EX]]-ED9)*720&lt;=0,"",(RD[[#This Row],[132kV_TX1_EX]]-ED9)*720)</f>
        <v>1440</v>
      </c>
      <c r="EV10" s="146">
        <f>IF((RD[[#This Row],[132 kV_Tx1_Im]]-EE9)*720&lt;=0,0,(RD[[#This Row],[132 kV_Tx1_Im]]-EE9)*720)</f>
        <v>236880</v>
      </c>
      <c r="EW10" s="146">
        <f>IF((RD[[#This Row],[132kV_L1_Ex]]-EF9)*720&lt;=0,0,(RD[[#This Row],[132kV_L1_Ex]]-EF9)*720)</f>
        <v>329903.99999998743</v>
      </c>
      <c r="EX10" s="146">
        <f>IF((RD[[#This Row],[132kV_L1_Im]]-EG9)*720&lt;=0,0,(RD[[#This Row],[132kV_L1_Im]]-EG9)*720)</f>
        <v>1800</v>
      </c>
      <c r="EY10" s="242">
        <f>IFERROR(RD[[#This Row],[33kV_OG1_Ex (MWh)]]+RD[[#This Row],[33kV_OG1_Im (MWh)]],"")</f>
        <v>332201.68799999997</v>
      </c>
      <c r="EZ10" s="148">
        <f>RD[[#This Row],[33kV_OG1_Ex (MWh)]]-RD[[#This Row],[33kV_OG1_Im (MWh)]]</f>
        <v>329940.31200000003</v>
      </c>
      <c r="FA10" s="148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43">
        <f>IFERROR((RD[[#This Row],[Sunset Time (POA&lt;20 W/m2)]]-RD[[#This Row],[Sunrise Time (POA&gt;20 W/m2)]])*24,0)</f>
        <v>10.083333333333334</v>
      </c>
      <c r="FD10" s="244">
        <v>98</v>
      </c>
      <c r="FE10" t="s">
        <v>267</v>
      </c>
      <c r="FF10"/>
      <c r="FG10"/>
    </row>
    <row r="11" spans="1:164">
      <c r="A11" s="133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52">
        <v>0.27361111111111114</v>
      </c>
      <c r="G11" s="162">
        <v>0.76944444444444449</v>
      </c>
      <c r="H11" s="124">
        <v>8967.2000000000007</v>
      </c>
      <c r="I11" s="124">
        <v>8913.2999999999993</v>
      </c>
      <c r="J11" s="124">
        <v>8392.2999999999993</v>
      </c>
      <c r="K11" s="124">
        <v>8461.1</v>
      </c>
      <c r="L11" s="124">
        <v>8690.7000000000007</v>
      </c>
      <c r="M11" s="124">
        <v>8812.7999999999993</v>
      </c>
      <c r="N11" s="124">
        <v>8390.6</v>
      </c>
      <c r="O11" s="124">
        <v>9306.6</v>
      </c>
      <c r="P11" s="124">
        <v>8557.4</v>
      </c>
      <c r="Q11" s="124">
        <v>8500.5</v>
      </c>
      <c r="R11" s="124">
        <v>8742.6</v>
      </c>
      <c r="S11" s="124">
        <v>8717.2000000000007</v>
      </c>
      <c r="T11" s="124">
        <v>8866</v>
      </c>
      <c r="U11" s="124">
        <v>8733.1</v>
      </c>
      <c r="V11" s="124">
        <v>8824.9</v>
      </c>
      <c r="W11" s="124">
        <v>8595.4</v>
      </c>
      <c r="X11" s="203">
        <v>12050.4</v>
      </c>
      <c r="Y11" s="203">
        <v>13316.1</v>
      </c>
      <c r="Z11" s="203">
        <v>11851.6</v>
      </c>
      <c r="AA11" s="203">
        <v>12477.9</v>
      </c>
      <c r="AB11" s="203">
        <v>12654.6</v>
      </c>
      <c r="AC11" s="203">
        <v>7933.6</v>
      </c>
      <c r="AD11" s="203">
        <v>12299</v>
      </c>
      <c r="AE11" s="203">
        <v>12526.2</v>
      </c>
      <c r="AF11" s="203">
        <v>11913.4</v>
      </c>
      <c r="AG11" s="203">
        <v>12213</v>
      </c>
      <c r="AH11" s="203">
        <v>12203.7</v>
      </c>
      <c r="AI11" s="203">
        <v>12286.6</v>
      </c>
      <c r="AJ11" s="142">
        <v>10133.700000000001</v>
      </c>
      <c r="AK11" s="142">
        <v>10432.799999999999</v>
      </c>
      <c r="AL11" s="142">
        <v>10154.700000000001</v>
      </c>
      <c r="AM11" s="142">
        <v>10309.5</v>
      </c>
      <c r="AN11" s="142">
        <v>10227.1</v>
      </c>
      <c r="AO11" s="142">
        <v>10613.4</v>
      </c>
      <c r="AP11" s="142">
        <v>10415.700000000001</v>
      </c>
      <c r="AQ11" s="142">
        <v>10266</v>
      </c>
      <c r="AR11" s="142">
        <v>8420</v>
      </c>
      <c r="AS11" s="142">
        <v>8456.4</v>
      </c>
      <c r="AT11" s="142">
        <v>8418.7000000000007</v>
      </c>
      <c r="AU11" s="142">
        <v>8476.1</v>
      </c>
      <c r="AV11" s="142">
        <v>8701.1</v>
      </c>
      <c r="AW11" s="142">
        <v>8511</v>
      </c>
      <c r="AX11" s="142">
        <v>11886</v>
      </c>
      <c r="AY11" s="142">
        <v>13035</v>
      </c>
      <c r="AZ11" s="142">
        <v>8751</v>
      </c>
      <c r="BA11" s="142">
        <v>11436</v>
      </c>
      <c r="BB11" s="142">
        <v>11540</v>
      </c>
      <c r="BC11" s="142">
        <v>8858</v>
      </c>
      <c r="BD11" s="142">
        <v>9367</v>
      </c>
      <c r="BE11" s="142">
        <v>11532</v>
      </c>
      <c r="BF11" s="142">
        <v>9551</v>
      </c>
      <c r="BG11" s="142">
        <v>11214</v>
      </c>
      <c r="BH11" s="142">
        <v>6651</v>
      </c>
      <c r="BI11" s="142">
        <v>3393</v>
      </c>
      <c r="BJ11" s="142">
        <v>2915</v>
      </c>
      <c r="BK11" s="142">
        <v>1140</v>
      </c>
      <c r="BL11" s="142">
        <v>7050</v>
      </c>
      <c r="BM11" s="142">
        <v>7124</v>
      </c>
      <c r="BN11" s="142">
        <v>6730</v>
      </c>
      <c r="BO11" s="142">
        <v>2989</v>
      </c>
      <c r="BP11" s="142">
        <v>3660</v>
      </c>
      <c r="BQ11" s="142">
        <v>3515</v>
      </c>
      <c r="BR11" s="142">
        <v>0</v>
      </c>
      <c r="BS11" s="142">
        <v>0</v>
      </c>
      <c r="BT11" s="142">
        <v>844.9</v>
      </c>
      <c r="BU11" s="142">
        <v>669.9</v>
      </c>
      <c r="BV11" s="142"/>
      <c r="BW11" s="142"/>
      <c r="BX11" s="142"/>
      <c r="BY11" s="142"/>
      <c r="BZ11" s="142">
        <v>1320</v>
      </c>
      <c r="CA11" s="142">
        <v>1127.9000000000001</v>
      </c>
      <c r="CB11" s="142">
        <v>4632</v>
      </c>
      <c r="CC11" s="142">
        <v>3738</v>
      </c>
      <c r="CD11" s="59">
        <v>6.7136915833333282</v>
      </c>
      <c r="CE11" s="59"/>
      <c r="CF11" s="206">
        <v>6.6430321000000063</v>
      </c>
      <c r="CG11" s="206"/>
      <c r="CH11" s="206">
        <v>0.77825446666666664</v>
      </c>
      <c r="CI11" s="206"/>
      <c r="CJ11" s="59">
        <v>1.1981101500000002</v>
      </c>
      <c r="CK11" s="59"/>
      <c r="CL11" s="206">
        <v>28.981240174672486</v>
      </c>
      <c r="CM11" s="206"/>
      <c r="CN11" s="206">
        <v>37.302214847161579</v>
      </c>
      <c r="CO11" s="206"/>
      <c r="CP11" s="206">
        <v>51.14529257641933</v>
      </c>
      <c r="CQ11" s="206"/>
      <c r="CR11" s="59">
        <v>0</v>
      </c>
      <c r="CS11" s="59"/>
      <c r="CT11" s="206">
        <v>0.73128471615720525</v>
      </c>
      <c r="CU11" s="206"/>
      <c r="CV11" s="206">
        <v>2.9550000000000001</v>
      </c>
      <c r="CW11" s="258"/>
      <c r="CX11" s="204">
        <f>IFERROR(AVERAGEIF(RD[[#This Row],[IS1POA1 (KWh/m2)]:[IS7POA2 (KWh/m2)]],"&lt;&gt;0",RD[[#This Row],[IS1POA1 (KWh/m2)]:[IS7POA2 (KWh/m2)]]),"")</f>
        <v>6.7136915833333282</v>
      </c>
      <c r="CY11" s="204">
        <f>IFERROR(AVERAGEIF(RD[[#This Row],[IS1GHI1 (KWh/m2)]:[IS7GHI2 (KWh/m2)]],"&lt;&gt;0",RD[[#This Row],[IS1GHI1 (KWh/m2)]:[IS7GHI2 (KWh/m2)]]),"")</f>
        <v>6.6430321000000063</v>
      </c>
      <c r="CZ11" s="204">
        <f>IFERROR(AVERAGEIF(RD[[#This Row],[IS1POA_BS1 (KWh/m2)]:[IS7POA_BS2 (KWh/m2)]],"&lt;&gt;0",RD[[#This Row],[IS1POA_BS1 (KWh/m2)]:[IS7POA_BS2 (KWh/m2)]]),"")</f>
        <v>0.77825446666666664</v>
      </c>
      <c r="DA11" s="204">
        <f>IFERROR(AVERAGEIF(RD[[#This Row],[IS1GHI_BS1 (KWh/m2)]:[IS1GHI_BS1 (KWh/m2)2]],"&lt;&gt;0",RD[[#This Row],[IS1GHI_BS1 (KWh/m2)]:[IS1GHI_BS1 (KWh/m2)2]]),"")</f>
        <v>1.1981101500000002</v>
      </c>
      <c r="DB11" s="204">
        <f>IFERROR(AVERAGEIF(RD[[#This Row],[IS1AT1 (°C)]:[IS7AT2 (°C)]],"&lt;&gt;0",RD[[#This Row],[IS1AT1 (°C)]:[IS7AT2 (°C)]]),"")</f>
        <v>28.981240174672486</v>
      </c>
      <c r="DC11" s="204">
        <f>IFERROR(AVERAGEIF(RD[[#This Row],[IS1MT1 (°C)]:[IS7MT2 (°C)]],"&lt;&gt;0",RD[[#This Row],[IS1MT1 (°C)]:[IS7MT2 (°C)]]),"")</f>
        <v>37.302214847161579</v>
      </c>
      <c r="DD11" s="204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204">
        <f>IFERROR(AVERAGEIF(RD[[#This Row],[WS_Solar1_Avg (m/s)]:[IS7_WS_Solar1_Avg (m/s)]],"&lt;&gt;0",RD[[#This Row],[WS_Solar1_Avg (m/s)]:[IS7_WS_Solar1_Avg (m/s)]]),"")</f>
        <v>0.73128471615720525</v>
      </c>
      <c r="DG11" s="204">
        <f>IFERROR(AVERAGEIF(RD[[#This Row],[WS_Solar1_Max (m/s)]:[IS7_WS_Solar1_Max (m/s)]],"&lt;&gt;0",RD[[#This Row],[WS_Solar1_Max (m/s)]:[IS7_WS_Solar1_Max (m/s)]]),"")</f>
        <v>2.9550000000000001</v>
      </c>
      <c r="DH11" s="204">
        <f>SUM(RD[[#This Row],[IS1Inv1M1]:[IS4Inv4M2]])</f>
        <v>283197.8</v>
      </c>
      <c r="DI11" s="205">
        <f>SUM(RD[[#This Row],[IS7Inv1M1]]+RD[[#This Row],[IS7Inv2M1]])</f>
        <v>16876.400000000001</v>
      </c>
      <c r="DJ11" s="204">
        <f>SUM(RD[[#This Row],[IS5Inv1M1]:[IS5Inv2M2]])</f>
        <v>41030.699999999997</v>
      </c>
      <c r="DK11" s="204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86">
        <f>SUM(RD[[#This Row],[IS12Inv1M1]:[IS12Inv1M4]])</f>
        <v>16894</v>
      </c>
      <c r="DO11" s="286">
        <f>SUM(RD[[#This Row],[IS13Inv1M1]:[IS13Inv2M2]])</f>
        <v>1514.8</v>
      </c>
      <c r="DP11" s="204">
        <f>SUM(RD[[#This Row],[O2R15]:[O2R26]])</f>
        <v>581403.70000000007</v>
      </c>
      <c r="DQ11" s="168">
        <v>35045.1</v>
      </c>
      <c r="DR11" s="168">
        <v>196.9</v>
      </c>
      <c r="DS11" s="164">
        <v>29939.9</v>
      </c>
      <c r="DT11" s="168">
        <v>210.1</v>
      </c>
      <c r="DU11" s="168">
        <v>34125.4</v>
      </c>
      <c r="DV11" s="168">
        <v>376.6</v>
      </c>
      <c r="DW11" s="168">
        <v>3095.4</v>
      </c>
      <c r="DX11" s="168">
        <v>13.7</v>
      </c>
      <c r="DY11" s="168"/>
      <c r="DZ11" s="168"/>
      <c r="EA11" s="140">
        <v>84.06</v>
      </c>
      <c r="EB11" s="246">
        <v>102990856</v>
      </c>
      <c r="EC11" s="240">
        <v>844410.56</v>
      </c>
      <c r="ED11" s="246">
        <v>1007</v>
      </c>
      <c r="EE11" s="246">
        <v>97383</v>
      </c>
      <c r="EF11" s="164">
        <v>142895.70000000001</v>
      </c>
      <c r="EG11" s="164">
        <v>1673.5</v>
      </c>
      <c r="EH11" s="146">
        <f>IF((RD[[#This Row],[33 kV_F3_Ex
Incomer1]]-DQ10)*1000&lt;0,0,(RD[[#This Row],[33 kV_F3_Ex
Incomer1]]-DQ10)*1000)</f>
        <v>142599.99999999854</v>
      </c>
      <c r="EI11" s="146">
        <f>IF((RD[[#This Row],[34 kV_F3_Im
Incomer1]]-DR10)*1000&lt;0,0,(RD[[#This Row],[34 kV_F3_Im
Incomer1]]-DR10)*1000)</f>
        <v>400.00000000000568</v>
      </c>
      <c r="EJ11" s="146">
        <f>IF((RD[[#This Row],[33 kV_F4_Ex
Incomer2]]-DS10)*1000&lt;0,0,(RD[[#This Row],[33 kV_F4_Ex
Incomer2]]-DS10)*1000)</f>
        <v>135300.00000000291</v>
      </c>
      <c r="EK11" s="146">
        <f>IF((RD[[#This Row],[34 kV_F4_Im
Incomer2]]-DT10)*1000&lt;0,0,(RD[[#This Row],[34 kV_F4_Im
Incomer2]]-DT10)*1000)</f>
        <v>400.00000000000568</v>
      </c>
      <c r="EL11" s="146">
        <f>IF((RD[[#This Row],[33 kV_F5_Ex
Incomer3]]-DU10)*1000&lt;0,0,(RD[[#This Row],[33 kV_F5_Ex
Incomer3]]-DU10)*1000)</f>
        <v>175900.00000000146</v>
      </c>
      <c r="EM11" s="146">
        <f>IF((RD[[#This Row],[34 kV_F5_Im
Incomer3]]-DV10)*1000&lt;0,0,(RD[[#This Row],[34 kV_F5_Im
Incomer3]]-DV10)*1000)</f>
        <v>700.00000000004547</v>
      </c>
      <c r="EN11" s="146">
        <f>IF((RD[[#This Row],[33 kV_F6_Ex
Incomer4]]-DW10)*1000&lt;0,0,(RD[[#This Row],[33 kV_F6_Ex
Incomer4]]-DW10)*1000)</f>
        <v>118200.00000000028</v>
      </c>
      <c r="EO11" s="146">
        <f>IF((RD[[#This Row],[33 kV_F6_Im
Incomer4]]-DX10)*1000&lt;0,0,(RD[[#This Row],[33 kV_F6_Im
Incomer4]]-DX10)*1000)</f>
        <v>500</v>
      </c>
      <c r="EP11" s="146">
        <f>IF((RD[[#This Row],[33 kV_F7_Ex
Incomer5]]-DY10)*1000&lt;0,0,(RD[[#This Row],[33 kV_F7_Ex
Incomer5]]-DY10)*1000)</f>
        <v>0</v>
      </c>
      <c r="EQ11" s="146">
        <f>IF((RD[[#This Row],[33 kV_F7_Im
Incomer5]]-DZ10)*1000&lt;0,0,(RD[[#This Row],[33 kV_F7_Im
Incomer5]]-DZ10)*1000)</f>
        <v>0</v>
      </c>
      <c r="ER11" s="146">
        <f>IF((RD[[#This Row],[33 kV_Aux Trafo]]-EA10)*1000&lt;0,0,(RD[[#This Row],[33 kV_Aux Trafo]]-EA10)*1000)</f>
        <v>260.00000000000512</v>
      </c>
      <c r="ES11" s="158">
        <f>IF((RD[[#This Row],[33kV_OG1_Ex_]]-EB10)*1&lt;0,0,(RD[[#This Row],[33kV_OG1_Ex_]]-EB10)*1)</f>
        <v>572515</v>
      </c>
      <c r="ET11" s="146">
        <f>IF((RD[[#This Row],[33kV_OG1_Im]]-EC10)*1&lt;0,0,(RD[[#This Row],[33kV_OG1_Im]]-EC10)*1)</f>
        <v>2079.1040000000503</v>
      </c>
      <c r="EU11" s="146">
        <f>IF((RD[[#This Row],[132kV_TX1_EX]]-ED10)*720&lt;=0,"",(RD[[#This Row],[132kV_TX1_EX]]-ED10)*720)</f>
        <v>2160</v>
      </c>
      <c r="EV11" s="146">
        <f>IF((RD[[#This Row],[132 kV_Tx1_Im]]-EE10)*720&lt;=0,0,(RD[[#This Row],[132 kV_Tx1_Im]]-EE10)*720)</f>
        <v>411120</v>
      </c>
      <c r="EW11" s="146">
        <f>IF((RD[[#This Row],[132kV_L1_Ex]]-EF10)*720&lt;=0,0,(RD[[#This Row],[132kV_L1_Ex]]-EF10)*720)</f>
        <v>570456.00000001257</v>
      </c>
      <c r="EX11" s="146">
        <f>IF((RD[[#This Row],[132kV_L1_Im]]-EG10)*720&lt;=0,0,(RD[[#This Row],[132kV_L1_Im]]-EG10)*720)</f>
        <v>2664.0000000000327</v>
      </c>
      <c r="EY11" s="242">
        <f>IFERROR(RD[[#This Row],[33kV_OG1_Ex (MWh)]]+RD[[#This Row],[33kV_OG1_Im (MWh)]],"")</f>
        <v>574594.10400000005</v>
      </c>
      <c r="EZ11" s="148">
        <f>RD[[#This Row],[33kV_OG1_Ex (MWh)]]-RD[[#This Row],[33kV_OG1_Im (MWh)]]</f>
        <v>570435.89599999995</v>
      </c>
      <c r="FA11" s="148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43">
        <f>IFERROR((RD[[#This Row],[Sunset Time (POA&lt;20 W/m2)]]-RD[[#This Row],[Sunrise Time (POA&gt;20 W/m2)]])*24,0)</f>
        <v>11.9</v>
      </c>
      <c r="FD11" s="244">
        <v>100</v>
      </c>
      <c r="FE11" t="s">
        <v>265</v>
      </c>
      <c r="FF11"/>
      <c r="FG11"/>
    </row>
    <row r="12" spans="1:164">
      <c r="A12" s="133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52">
        <v>0.27152777777777776</v>
      </c>
      <c r="G12" s="162">
        <v>0.7631944444444444</v>
      </c>
      <c r="H12" s="124">
        <v>8957.4</v>
      </c>
      <c r="I12" s="124">
        <v>8930.7999999999993</v>
      </c>
      <c r="J12" s="124">
        <v>8552</v>
      </c>
      <c r="K12" s="124">
        <v>8605.7000000000007</v>
      </c>
      <c r="L12" s="124">
        <v>8801.1</v>
      </c>
      <c r="M12" s="124">
        <v>8868.6</v>
      </c>
      <c r="N12" s="124">
        <v>8575.7999999999993</v>
      </c>
      <c r="O12" s="124">
        <v>9289.7000000000007</v>
      </c>
      <c r="P12" s="124">
        <v>8687.6</v>
      </c>
      <c r="Q12" s="124">
        <v>8623.4</v>
      </c>
      <c r="R12" s="124">
        <v>8867.2999999999993</v>
      </c>
      <c r="S12" s="124">
        <v>8843.7999999999993</v>
      </c>
      <c r="T12" s="124">
        <v>9000.9</v>
      </c>
      <c r="U12" s="124">
        <v>8861.7999999999993</v>
      </c>
      <c r="V12" s="124">
        <v>8946.7999999999993</v>
      </c>
      <c r="W12" s="124">
        <v>8727.2999999999993</v>
      </c>
      <c r="X12" s="203">
        <v>12361.2</v>
      </c>
      <c r="Y12" s="203">
        <v>13529.4</v>
      </c>
      <c r="Z12" s="203">
        <v>12158.5</v>
      </c>
      <c r="AA12" s="203">
        <v>12712.4</v>
      </c>
      <c r="AB12" s="203">
        <v>13344.1</v>
      </c>
      <c r="AC12" s="203">
        <v>8201.1</v>
      </c>
      <c r="AD12" s="203">
        <v>12600.7</v>
      </c>
      <c r="AE12" s="203">
        <v>12888.3</v>
      </c>
      <c r="AF12" s="203">
        <v>12271</v>
      </c>
      <c r="AG12" s="203">
        <v>12500.3</v>
      </c>
      <c r="AH12" s="203">
        <v>12565.3</v>
      </c>
      <c r="AI12" s="203">
        <v>12595.7</v>
      </c>
      <c r="AJ12" s="142">
        <v>10417.4</v>
      </c>
      <c r="AK12" s="142">
        <v>10722.5</v>
      </c>
      <c r="AL12" s="142">
        <v>10438.9</v>
      </c>
      <c r="AM12" s="142">
        <v>10586.2</v>
      </c>
      <c r="AN12" s="142">
        <v>10522.2</v>
      </c>
      <c r="AO12" s="142">
        <v>10912.7</v>
      </c>
      <c r="AP12" s="142">
        <v>10701.7</v>
      </c>
      <c r="AQ12" s="142">
        <v>10544.9</v>
      </c>
      <c r="AR12" s="142">
        <v>8609.9</v>
      </c>
      <c r="AS12" s="142">
        <v>8655.9</v>
      </c>
      <c r="AT12" s="142">
        <v>8668.2999999999993</v>
      </c>
      <c r="AU12" s="142">
        <v>8691.2000000000007</v>
      </c>
      <c r="AV12" s="142">
        <v>8855.2000000000007</v>
      </c>
      <c r="AW12" s="142">
        <v>8717.7000000000007</v>
      </c>
      <c r="AX12" s="142">
        <v>12223.7</v>
      </c>
      <c r="AY12" s="142">
        <v>13261.4</v>
      </c>
      <c r="AZ12" s="142">
        <v>8481.4</v>
      </c>
      <c r="BA12" s="142">
        <v>11906.7</v>
      </c>
      <c r="BB12" s="142">
        <v>11811.3</v>
      </c>
      <c r="BC12" s="142">
        <v>9089.9</v>
      </c>
      <c r="BD12" s="142">
        <v>9636.9</v>
      </c>
      <c r="BE12" s="142">
        <v>11844.8</v>
      </c>
      <c r="BF12" s="142">
        <v>9766.7000000000007</v>
      </c>
      <c r="BG12" s="142">
        <v>11489.5</v>
      </c>
      <c r="BH12" s="142">
        <v>6805.8</v>
      </c>
      <c r="BI12" s="142">
        <v>3486.8</v>
      </c>
      <c r="BJ12" s="142">
        <v>3033.1</v>
      </c>
      <c r="BK12" s="142">
        <v>1168.0999999999999</v>
      </c>
      <c r="BL12" s="142">
        <v>7276.4</v>
      </c>
      <c r="BM12" s="142">
        <v>7440.1</v>
      </c>
      <c r="BN12" s="142">
        <v>6951</v>
      </c>
      <c r="BO12" s="142">
        <v>3648</v>
      </c>
      <c r="BP12" s="142">
        <v>4383</v>
      </c>
      <c r="BQ12" s="142">
        <v>3495</v>
      </c>
      <c r="BR12" s="142">
        <v>0</v>
      </c>
      <c r="BS12" s="142">
        <v>0</v>
      </c>
      <c r="BT12" s="142">
        <v>876</v>
      </c>
      <c r="BU12" s="142">
        <v>678</v>
      </c>
      <c r="BV12" s="142"/>
      <c r="BW12" s="142"/>
      <c r="BX12" s="142"/>
      <c r="BY12" s="142"/>
      <c r="BZ12" s="142">
        <v>1343</v>
      </c>
      <c r="CA12" s="142">
        <v>1154</v>
      </c>
      <c r="CB12" s="142">
        <v>4879</v>
      </c>
      <c r="CC12" s="142">
        <v>4732</v>
      </c>
      <c r="CD12" s="59">
        <v>7.0237711999999988</v>
      </c>
      <c r="CE12" s="59"/>
      <c r="CF12" s="206">
        <v>6.9011737333333381</v>
      </c>
      <c r="CG12" s="206"/>
      <c r="CH12" s="206">
        <v>0.83065995000000026</v>
      </c>
      <c r="CI12" s="206"/>
      <c r="CJ12" s="59">
        <v>1.2698613999999997</v>
      </c>
      <c r="CK12" s="59"/>
      <c r="CL12" s="206">
        <v>30.65649837133547</v>
      </c>
      <c r="CM12" s="206"/>
      <c r="CN12" s="206">
        <v>38.092573289902283</v>
      </c>
      <c r="CO12" s="206"/>
      <c r="CP12" s="206">
        <v>33.925716612377805</v>
      </c>
      <c r="CQ12" s="206"/>
      <c r="CR12" s="59">
        <v>0</v>
      </c>
      <c r="CS12" s="59"/>
      <c r="CT12" s="206">
        <v>0.82883061889250742</v>
      </c>
      <c r="CU12" s="206"/>
      <c r="CV12" s="206">
        <v>2.9670000000000001</v>
      </c>
      <c r="CW12" s="258"/>
      <c r="CX12" s="204">
        <f>IFERROR(AVERAGEIF(RD[[#This Row],[IS1POA1 (KWh/m2)]:[IS7POA2 (KWh/m2)]],"&lt;&gt;0",RD[[#This Row],[IS1POA1 (KWh/m2)]:[IS7POA2 (KWh/m2)]]),"")</f>
        <v>7.0237711999999988</v>
      </c>
      <c r="CY12" s="204">
        <f>IFERROR(AVERAGEIF(RD[[#This Row],[IS1GHI1 (KWh/m2)]:[IS7GHI2 (KWh/m2)]],"&lt;&gt;0",RD[[#This Row],[IS1GHI1 (KWh/m2)]:[IS7GHI2 (KWh/m2)]]),"")</f>
        <v>6.9011737333333381</v>
      </c>
      <c r="CZ12" s="204">
        <f>IFERROR(AVERAGEIF(RD[[#This Row],[IS1POA_BS1 (KWh/m2)]:[IS7POA_BS2 (KWh/m2)]],"&lt;&gt;0",RD[[#This Row],[IS1POA_BS1 (KWh/m2)]:[IS7POA_BS2 (KWh/m2)]]),"")</f>
        <v>0.83065995000000026</v>
      </c>
      <c r="DA12" s="204">
        <f>IFERROR(AVERAGEIF(RD[[#This Row],[IS1GHI_BS1 (KWh/m2)]:[IS1GHI_BS1 (KWh/m2)2]],"&lt;&gt;0",RD[[#This Row],[IS1GHI_BS1 (KWh/m2)]:[IS1GHI_BS1 (KWh/m2)2]]),"")</f>
        <v>1.2698613999999997</v>
      </c>
      <c r="DB12" s="204">
        <f>IFERROR(AVERAGEIF(RD[[#This Row],[IS1AT1 (°C)]:[IS7AT2 (°C)]],"&lt;&gt;0",RD[[#This Row],[IS1AT1 (°C)]:[IS7AT2 (°C)]]),"")</f>
        <v>30.65649837133547</v>
      </c>
      <c r="DC12" s="204">
        <f>IFERROR(AVERAGEIF(RD[[#This Row],[IS1MT1 (°C)]:[IS7MT2 (°C)]],"&lt;&gt;0",RD[[#This Row],[IS1MT1 (°C)]:[IS7MT2 (°C)]]),"")</f>
        <v>38.092573289902283</v>
      </c>
      <c r="DD12" s="204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204">
        <f>IFERROR(AVERAGEIF(RD[[#This Row],[WS_Solar1_Avg (m/s)]:[IS7_WS_Solar1_Avg (m/s)]],"&lt;&gt;0",RD[[#This Row],[WS_Solar1_Avg (m/s)]:[IS7_WS_Solar1_Avg (m/s)]]),"")</f>
        <v>0.82883061889250742</v>
      </c>
      <c r="DG12" s="204">
        <f>IFERROR(AVERAGEIF(RD[[#This Row],[WS_Solar1_Max (m/s)]:[IS7_WS_Solar1_Max (m/s)]],"&lt;&gt;0",RD[[#This Row],[WS_Solar1_Max (m/s)]:[IS7_WS_Solar1_Max (m/s)]]),"")</f>
        <v>2.9670000000000001</v>
      </c>
      <c r="DH12" s="204">
        <f>SUM(RD[[#This Row],[IS1Inv1M1]:[IS4Inv4M2]])</f>
        <v>288868</v>
      </c>
      <c r="DI12" s="205">
        <f>SUM(RD[[#This Row],[IS7Inv1M1]]+RD[[#This Row],[IS7Inv2M1]])</f>
        <v>17265.8</v>
      </c>
      <c r="DJ12" s="204">
        <f>SUM(RD[[#This Row],[IS5Inv1M1]:[IS5Inv2M2]])</f>
        <v>42165</v>
      </c>
      <c r="DK12" s="204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86">
        <f>SUM(RD[[#This Row],[IS12Inv1M1]:[IS12Inv1M4]])</f>
        <v>18477</v>
      </c>
      <c r="DO12" s="286">
        <f>SUM(RD[[#This Row],[IS13Inv1M1]:[IS13Inv2M2]])</f>
        <v>1554</v>
      </c>
      <c r="DP12" s="204">
        <f>SUM(RD[[#This Row],[O2R15]:[O2R26]])</f>
        <v>596774.30000000005</v>
      </c>
      <c r="DQ12" s="164">
        <v>35191.699999999997</v>
      </c>
      <c r="DR12" s="168">
        <v>197.3</v>
      </c>
      <c r="DS12" s="164">
        <v>30076.6</v>
      </c>
      <c r="DT12" s="164">
        <v>210.4</v>
      </c>
      <c r="DU12" s="168">
        <v>34305.4</v>
      </c>
      <c r="DV12" s="168">
        <v>377.2</v>
      </c>
      <c r="DW12" s="164">
        <v>3219</v>
      </c>
      <c r="DX12" s="168">
        <v>14.1</v>
      </c>
      <c r="DY12" s="168"/>
      <c r="DZ12" s="168"/>
      <c r="EA12" s="140">
        <v>84.34</v>
      </c>
      <c r="EB12" s="241">
        <v>103578411</v>
      </c>
      <c r="EC12" s="240">
        <v>846357.63199999998</v>
      </c>
      <c r="ED12" s="241">
        <v>1009</v>
      </c>
      <c r="EE12" s="241">
        <v>97968</v>
      </c>
      <c r="EF12" s="164">
        <v>143708.79999999999</v>
      </c>
      <c r="EG12" s="164">
        <v>1677</v>
      </c>
      <c r="EH12" s="146">
        <f>IF((RD[[#This Row],[33 kV_F3_Ex
Incomer1]]-DQ11)*1000&lt;0,0,(RD[[#This Row],[33 kV_F3_Ex
Incomer1]]-DQ11)*1000)</f>
        <v>146599.99999999854</v>
      </c>
      <c r="EI12" s="146">
        <f>IF((RD[[#This Row],[34 kV_F3_Im
Incomer1]]-DR11)*1000&lt;0,0,(RD[[#This Row],[34 kV_F3_Im
Incomer1]]-DR11)*1000)</f>
        <v>400.00000000000568</v>
      </c>
      <c r="EJ12" s="146">
        <f>IF((RD[[#This Row],[33 kV_F4_Ex
Incomer2]]-DS11)*1000&lt;0,0,(RD[[#This Row],[33 kV_F4_Ex
Incomer2]]-DS11)*1000)</f>
        <v>136699.99999999709</v>
      </c>
      <c r="EK12" s="146">
        <f>IF((RD[[#This Row],[34 kV_F4_Im
Incomer2]]-DT11)*1000&lt;0,0,(RD[[#This Row],[34 kV_F4_Im
Incomer2]]-DT11)*1000)</f>
        <v>300.00000000001137</v>
      </c>
      <c r="EL12" s="146">
        <f>IF((RD[[#This Row],[33 kV_F5_Ex
Incomer3]]-DU11)*1000&lt;0,0,(RD[[#This Row],[33 kV_F5_Ex
Incomer3]]-DU11)*1000)</f>
        <v>180000</v>
      </c>
      <c r="EM12" s="146">
        <f>IF((RD[[#This Row],[34 kV_F5_Im
Incomer3]]-DV11)*1000&lt;0,0,(RD[[#This Row],[34 kV_F5_Im
Incomer3]]-DV11)*1000)</f>
        <v>599.99999999996589</v>
      </c>
      <c r="EN12" s="146">
        <f>IF((RD[[#This Row],[33 kV_F6_Ex
Incomer4]]-DW11)*1000&lt;0,0,(RD[[#This Row],[33 kV_F6_Ex
Incomer4]]-DW11)*1000)</f>
        <v>123599.99999999991</v>
      </c>
      <c r="EO12" s="146">
        <f>IF((RD[[#This Row],[33 kV_F6_Im
Incomer4]]-DX11)*1000&lt;0,0,(RD[[#This Row],[33 kV_F6_Im
Incomer4]]-DX11)*1000)</f>
        <v>400.00000000000034</v>
      </c>
      <c r="EP12" s="146">
        <f>IF((RD[[#This Row],[33 kV_F7_Ex
Incomer5]]-DY11)*1000&lt;0,0,(RD[[#This Row],[33 kV_F7_Ex
Incomer5]]-DY11)*1000)</f>
        <v>0</v>
      </c>
      <c r="EQ12" s="146">
        <f>IF((RD[[#This Row],[33 kV_F7_Im
Incomer5]]-DZ11)*1000&lt;0,0,(RD[[#This Row],[33 kV_F7_Im
Incomer5]]-DZ11)*1000)</f>
        <v>0</v>
      </c>
      <c r="ER12" s="146">
        <f>IF((RD[[#This Row],[33 kV_Aux Trafo]]-EA11)*1000&lt;0,0,(RD[[#This Row],[33 kV_Aux Trafo]]-EA11)*1000)</f>
        <v>280.00000000000114</v>
      </c>
      <c r="ES12" s="158">
        <f>IF((RD[[#This Row],[33kV_OG1_Ex_]]-EB11)*1&lt;0,0,(RD[[#This Row],[33kV_OG1_Ex_]]-EB11)*1)</f>
        <v>587555</v>
      </c>
      <c r="ET12" s="146">
        <f>IF((RD[[#This Row],[33kV_OG1_Im]]-EC11)*1&lt;0,0,(RD[[#This Row],[33kV_OG1_Im]]-EC11)*1)</f>
        <v>1947.0719999999274</v>
      </c>
      <c r="EU12" s="146">
        <f>IF((RD[[#This Row],[132kV_TX1_EX]]-ED11)*720&lt;=0,"",(RD[[#This Row],[132kV_TX1_EX]]-ED11)*720)</f>
        <v>1440</v>
      </c>
      <c r="EV12" s="146">
        <f>IF((RD[[#This Row],[132 kV_Tx1_Im]]-EE11)*720&lt;=0,0,(RD[[#This Row],[132 kV_Tx1_Im]]-EE11)*720)</f>
        <v>421200</v>
      </c>
      <c r="EW12" s="146">
        <f>IF((RD[[#This Row],[132kV_L1_Ex]]-EF11)*720&lt;=0,0,(RD[[#This Row],[132kV_L1_Ex]]-EF11)*720)</f>
        <v>585431.99999998324</v>
      </c>
      <c r="EX12" s="146">
        <f>IF((RD[[#This Row],[132kV_L1_Im]]-EG11)*720&lt;=0,0,(RD[[#This Row],[132kV_L1_Im]]-EG11)*720)</f>
        <v>2520</v>
      </c>
      <c r="EY12" s="242">
        <f>IFERROR(RD[[#This Row],[33kV_OG1_Ex (MWh)]]+RD[[#This Row],[33kV_OG1_Im (MWh)]],"")</f>
        <v>589502.07199999993</v>
      </c>
      <c r="EZ12" s="148">
        <f>RD[[#This Row],[33kV_OG1_Ex (MWh)]]-RD[[#This Row],[33kV_OG1_Im (MWh)]]</f>
        <v>585607.92800000007</v>
      </c>
      <c r="FA12" s="148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43">
        <f>IFERROR((RD[[#This Row],[Sunset Time (POA&lt;20 W/m2)]]-RD[[#This Row],[Sunrise Time (POA&gt;20 W/m2)]])*24,0)</f>
        <v>11.799999999999999</v>
      </c>
      <c r="FD12" s="244">
        <v>102</v>
      </c>
      <c r="FE12" t="s">
        <v>265</v>
      </c>
      <c r="FF12"/>
      <c r="FG12"/>
    </row>
    <row r="13" spans="1:164">
      <c r="A13" s="133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52">
        <v>0.27152777777777776</v>
      </c>
      <c r="G13" s="162">
        <v>0.76249999999999996</v>
      </c>
      <c r="H13" s="124">
        <v>9034.7000000000007</v>
      </c>
      <c r="I13" s="124">
        <v>9022</v>
      </c>
      <c r="J13" s="124">
        <v>8668.9</v>
      </c>
      <c r="K13" s="124">
        <v>8730.1</v>
      </c>
      <c r="L13" s="124">
        <v>8920.1</v>
      </c>
      <c r="M13" s="124">
        <v>8976.7000000000007</v>
      </c>
      <c r="N13" s="124">
        <v>8717.7999999999993</v>
      </c>
      <c r="O13" s="124">
        <v>9375.6</v>
      </c>
      <c r="P13" s="124">
        <v>8802</v>
      </c>
      <c r="Q13" s="124">
        <v>8738.4</v>
      </c>
      <c r="R13" s="124">
        <v>8973.6</v>
      </c>
      <c r="S13" s="124">
        <v>8951.2000000000007</v>
      </c>
      <c r="T13" s="124">
        <v>9113.7000000000007</v>
      </c>
      <c r="U13" s="124">
        <v>8970.7000000000007</v>
      </c>
      <c r="V13" s="124">
        <v>9053.9</v>
      </c>
      <c r="W13" s="124">
        <v>8867.5</v>
      </c>
      <c r="X13" s="203">
        <v>12619.4</v>
      </c>
      <c r="Y13" s="203">
        <v>13698.8</v>
      </c>
      <c r="Z13" s="203">
        <v>12442.5</v>
      </c>
      <c r="AA13" s="203">
        <v>12924.6</v>
      </c>
      <c r="AB13" s="203">
        <v>13541.8</v>
      </c>
      <c r="AC13" s="203">
        <v>8461.7000000000007</v>
      </c>
      <c r="AD13" s="203">
        <v>12863.6</v>
      </c>
      <c r="AE13" s="203">
        <v>13007.5</v>
      </c>
      <c r="AF13" s="203">
        <v>12530.8</v>
      </c>
      <c r="AG13" s="203">
        <v>12739</v>
      </c>
      <c r="AH13" s="203">
        <v>12769.1</v>
      </c>
      <c r="AI13" s="203">
        <v>12857.3</v>
      </c>
      <c r="AJ13" s="142">
        <v>10703.6</v>
      </c>
      <c r="AK13" s="142">
        <v>11018.8</v>
      </c>
      <c r="AL13" s="142">
        <v>10726.5</v>
      </c>
      <c r="AM13" s="142">
        <v>10872.8</v>
      </c>
      <c r="AN13" s="142">
        <v>10814.4</v>
      </c>
      <c r="AO13" s="142">
        <v>11216.2</v>
      </c>
      <c r="AP13" s="142">
        <v>10987.6</v>
      </c>
      <c r="AQ13" s="142">
        <v>10827</v>
      </c>
      <c r="AR13" s="142">
        <v>8772.1</v>
      </c>
      <c r="AS13" s="142">
        <v>8821.7999999999993</v>
      </c>
      <c r="AT13" s="142">
        <v>8841.9</v>
      </c>
      <c r="AU13" s="142">
        <v>8850.9</v>
      </c>
      <c r="AV13" s="142">
        <v>8993.5</v>
      </c>
      <c r="AW13" s="142">
        <v>8878.2999999999993</v>
      </c>
      <c r="AX13" s="142">
        <v>12531.3</v>
      </c>
      <c r="AY13" s="142">
        <v>13521.6</v>
      </c>
      <c r="AZ13" s="142">
        <v>8899.2000000000007</v>
      </c>
      <c r="BA13" s="142">
        <v>11300</v>
      </c>
      <c r="BB13" s="142">
        <v>12143.1</v>
      </c>
      <c r="BC13" s="142">
        <v>9369.9</v>
      </c>
      <c r="BD13" s="142">
        <v>9916.5</v>
      </c>
      <c r="BE13" s="142">
        <v>12152.6</v>
      </c>
      <c r="BF13" s="142">
        <v>9966.4</v>
      </c>
      <c r="BG13" s="142">
        <v>11716.5</v>
      </c>
      <c r="BH13" s="142">
        <v>6957.4</v>
      </c>
      <c r="BI13" s="142">
        <v>3693.1</v>
      </c>
      <c r="BJ13" s="142">
        <v>3681</v>
      </c>
      <c r="BK13" s="142">
        <v>1668.7</v>
      </c>
      <c r="BL13" s="142">
        <v>7499</v>
      </c>
      <c r="BM13" s="142">
        <v>7644</v>
      </c>
      <c r="BN13" s="142">
        <v>7084</v>
      </c>
      <c r="BO13" s="142">
        <v>4120</v>
      </c>
      <c r="BP13" s="142">
        <v>5899</v>
      </c>
      <c r="BQ13" s="142">
        <v>3709</v>
      </c>
      <c r="BR13" s="142">
        <v>0</v>
      </c>
      <c r="BS13" s="142">
        <v>0</v>
      </c>
      <c r="BT13" s="142">
        <v>903</v>
      </c>
      <c r="BU13" s="142">
        <v>685</v>
      </c>
      <c r="BV13" s="142"/>
      <c r="BW13" s="142"/>
      <c r="BX13" s="142"/>
      <c r="BY13" s="142"/>
      <c r="BZ13" s="142">
        <v>1394</v>
      </c>
      <c r="CA13" s="142">
        <v>1189</v>
      </c>
      <c r="CB13" s="142">
        <v>5120</v>
      </c>
      <c r="CC13" s="142">
        <v>5179</v>
      </c>
      <c r="CD13" s="59">
        <v>7.2617078499999996</v>
      </c>
      <c r="CE13" s="59"/>
      <c r="CF13" s="206">
        <v>7.1267072166666701</v>
      </c>
      <c r="CG13" s="206"/>
      <c r="CH13" s="206">
        <v>0.85638393333333385</v>
      </c>
      <c r="CI13" s="206"/>
      <c r="CJ13" s="59">
        <v>1.3176237000000013</v>
      </c>
      <c r="CK13" s="59"/>
      <c r="CL13" s="206">
        <v>32.570993031358924</v>
      </c>
      <c r="CM13" s="206"/>
      <c r="CN13" s="206">
        <v>39.887005226480888</v>
      </c>
      <c r="CO13" s="206"/>
      <c r="CP13" s="206">
        <v>22.446341463414647</v>
      </c>
      <c r="CQ13" s="206"/>
      <c r="CR13" s="59">
        <v>0</v>
      </c>
      <c r="CS13" s="59"/>
      <c r="CT13" s="206">
        <v>0.9254790940766543</v>
      </c>
      <c r="CU13" s="206"/>
      <c r="CV13" s="206">
        <v>2.496</v>
      </c>
      <c r="CW13" s="258"/>
      <c r="CX13" s="204">
        <f>IFERROR(AVERAGEIF(RD[[#This Row],[IS1POA1 (KWh/m2)]:[IS7POA2 (KWh/m2)]],"&lt;&gt;0",RD[[#This Row],[IS1POA1 (KWh/m2)]:[IS7POA2 (KWh/m2)]]),"")</f>
        <v>7.2617078499999996</v>
      </c>
      <c r="CY13" s="204">
        <f>IFERROR(AVERAGEIF(RD[[#This Row],[IS1GHI1 (KWh/m2)]:[IS7GHI2 (KWh/m2)]],"&lt;&gt;0",RD[[#This Row],[IS1GHI1 (KWh/m2)]:[IS7GHI2 (KWh/m2)]]),"")</f>
        <v>7.1267072166666701</v>
      </c>
      <c r="CZ13" s="204">
        <f>IFERROR(AVERAGEIF(RD[[#This Row],[IS1POA_BS1 (KWh/m2)]:[IS7POA_BS2 (KWh/m2)]],"&lt;&gt;0",RD[[#This Row],[IS1POA_BS1 (KWh/m2)]:[IS7POA_BS2 (KWh/m2)]]),"")</f>
        <v>0.85638393333333385</v>
      </c>
      <c r="DA13" s="204">
        <f>IFERROR(AVERAGEIF(RD[[#This Row],[IS1GHI_BS1 (KWh/m2)]:[IS1GHI_BS1 (KWh/m2)2]],"&lt;&gt;0",RD[[#This Row],[IS1GHI_BS1 (KWh/m2)]:[IS1GHI_BS1 (KWh/m2)2]]),"")</f>
        <v>1.3176237000000013</v>
      </c>
      <c r="DB13" s="204">
        <f>IFERROR(AVERAGEIF(RD[[#This Row],[IS1AT1 (°C)]:[IS7AT2 (°C)]],"&lt;&gt;0",RD[[#This Row],[IS1AT1 (°C)]:[IS7AT2 (°C)]]),"")</f>
        <v>32.570993031358924</v>
      </c>
      <c r="DC13" s="204">
        <f>IFERROR(AVERAGEIF(RD[[#This Row],[IS1MT1 (°C)]:[IS7MT2 (°C)]],"&lt;&gt;0",RD[[#This Row],[IS1MT1 (°C)]:[IS7MT2 (°C)]]),"")</f>
        <v>39.887005226480888</v>
      </c>
      <c r="DD13" s="204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204">
        <f>IFERROR(AVERAGEIF(RD[[#This Row],[WS_Solar1_Avg (m/s)]:[IS7_WS_Solar1_Avg (m/s)]],"&lt;&gt;0",RD[[#This Row],[WS_Solar1_Avg (m/s)]:[IS7_WS_Solar1_Avg (m/s)]]),"")</f>
        <v>0.9254790940766543</v>
      </c>
      <c r="DG13" s="204">
        <f>IFERROR(AVERAGEIF(RD[[#This Row],[WS_Solar1_Max (m/s)]:[IS7_WS_Solar1_Max (m/s)]],"&lt;&gt;0",RD[[#This Row],[WS_Solar1_Max (m/s)]:[IS7_WS_Solar1_Max (m/s)]]),"")</f>
        <v>2.496</v>
      </c>
      <c r="DH13" s="204">
        <f>SUM(RD[[#This Row],[IS1Inv1M1]:[IS4Inv4M2]])</f>
        <v>293372.99999999994</v>
      </c>
      <c r="DI13" s="205">
        <f>SUM(RD[[#This Row],[IS7Inv1M1]]+RD[[#This Row],[IS7Inv2M1]])</f>
        <v>17593.900000000001</v>
      </c>
      <c r="DJ13" s="204">
        <f>SUM(RD[[#This Row],[IS5Inv1M1]:[IS5Inv2M2]])</f>
        <v>43321.7</v>
      </c>
      <c r="DK13" s="204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86">
        <f>SUM(RD[[#This Row],[IS12Inv1M1]:[IS12Inv1M4]])</f>
        <v>20812</v>
      </c>
      <c r="DO13" s="286">
        <f>SUM(RD[[#This Row],[IS13Inv1M1]:[IS13Inv2M2]])</f>
        <v>1588</v>
      </c>
      <c r="DP13" s="204">
        <f>SUM(RD[[#This Row],[O2R15]:[O2R26]])</f>
        <v>611640.69999999995</v>
      </c>
      <c r="DQ13" s="164">
        <v>35340.9</v>
      </c>
      <c r="DR13" s="168">
        <v>197.7</v>
      </c>
      <c r="DS13" s="164">
        <v>30214.400000000001</v>
      </c>
      <c r="DT13" s="164">
        <v>210.7</v>
      </c>
      <c r="DU13" s="168">
        <v>34490.6</v>
      </c>
      <c r="DV13" s="168">
        <v>377.8</v>
      </c>
      <c r="DW13" s="164">
        <v>3348.5</v>
      </c>
      <c r="DX13" s="168">
        <v>14.4</v>
      </c>
      <c r="DY13" s="168"/>
      <c r="DZ13" s="168"/>
      <c r="EA13" s="140">
        <v>84.6</v>
      </c>
      <c r="EB13" s="241">
        <v>104181514</v>
      </c>
      <c r="EC13" s="240">
        <v>848075.90599999996</v>
      </c>
      <c r="ED13" s="241">
        <v>1011</v>
      </c>
      <c r="EE13" s="241">
        <v>98568</v>
      </c>
      <c r="EF13" s="164">
        <v>144543.70000000001</v>
      </c>
      <c r="EG13" s="164">
        <v>1680</v>
      </c>
      <c r="EH13" s="146">
        <f>IF((RD[[#This Row],[33 kV_F3_Ex
Incomer1]]-DQ12)*1000&lt;0,0,(RD[[#This Row],[33 kV_F3_Ex
Incomer1]]-DQ12)*1000)</f>
        <v>149200.00000000437</v>
      </c>
      <c r="EI13" s="146">
        <f>IF((RD[[#This Row],[34 kV_F3_Im
Incomer1]]-DR12)*1000&lt;0,0,(RD[[#This Row],[34 kV_F3_Im
Incomer1]]-DR12)*1000)</f>
        <v>399.99999999997726</v>
      </c>
      <c r="EJ13" s="146">
        <f>IF((RD[[#This Row],[33 kV_F4_Ex
Incomer2]]-DS12)*1000&lt;0,0,(RD[[#This Row],[33 kV_F4_Ex
Incomer2]]-DS12)*1000)</f>
        <v>137800.00000000291</v>
      </c>
      <c r="EK13" s="146">
        <f>IF((RD[[#This Row],[34 kV_F4_Im
Incomer2]]-DT12)*1000&lt;0,0,(RD[[#This Row],[34 kV_F4_Im
Incomer2]]-DT12)*1000)</f>
        <v>299.99999999998295</v>
      </c>
      <c r="EL13" s="146">
        <f>IF((RD[[#This Row],[33 kV_F5_Ex
Incomer3]]-DU12)*1000&lt;0,0,(RD[[#This Row],[33 kV_F5_Ex
Incomer3]]-DU12)*1000)</f>
        <v>185199.99999999709</v>
      </c>
      <c r="EM13" s="146">
        <f>IF((RD[[#This Row],[34 kV_F5_Im
Incomer3]]-DV12)*1000&lt;0,0,(RD[[#This Row],[34 kV_F5_Im
Incomer3]]-DV12)*1000)</f>
        <v>600.00000000002274</v>
      </c>
      <c r="EN13" s="146">
        <f>IF((RD[[#This Row],[33 kV_F6_Ex
Incomer4]]-DW12)*1000&lt;0,0,(RD[[#This Row],[33 kV_F6_Ex
Incomer4]]-DW12)*1000)</f>
        <v>129500</v>
      </c>
      <c r="EO13" s="146">
        <f>IF((RD[[#This Row],[33 kV_F6_Im
Incomer4]]-DX12)*1000&lt;0,0,(RD[[#This Row],[33 kV_F6_Im
Incomer4]]-DX12)*1000)</f>
        <v>300.00000000000068</v>
      </c>
      <c r="EP13" s="146">
        <f>IF((RD[[#This Row],[33 kV_F7_Ex
Incomer5]]-DY12)*1000&lt;0,0,(RD[[#This Row],[33 kV_F7_Ex
Incomer5]]-DY12)*1000)</f>
        <v>0</v>
      </c>
      <c r="EQ13" s="146">
        <f>IF((RD[[#This Row],[33 kV_F7_Im
Incomer5]]-DZ12)*1000&lt;0,0,(RD[[#This Row],[33 kV_F7_Im
Incomer5]]-DZ12)*1000)</f>
        <v>0</v>
      </c>
      <c r="ER13" s="146">
        <f>IF((RD[[#This Row],[33 kV_Aux Trafo]]-EA12)*1000&lt;0,0,(RD[[#This Row],[33 kV_Aux Trafo]]-EA12)*1000)</f>
        <v>259.99999999999091</v>
      </c>
      <c r="ES13" s="158">
        <f>IF((RD[[#This Row],[33kV_OG1_Ex_]]-EB12)*1&lt;0,0,(RD[[#This Row],[33kV_OG1_Ex_]]-EB12)*1)</f>
        <v>603103</v>
      </c>
      <c r="ET13" s="146">
        <f>IF((RD[[#This Row],[33kV_OG1_Im]]-EC12)*1&lt;0,0,(RD[[#This Row],[33kV_OG1_Im]]-EC12)*1)</f>
        <v>1718.2739999999758</v>
      </c>
      <c r="EU13" s="146">
        <f>IF((RD[[#This Row],[132kV_TX1_EX]]-ED12)*720&lt;=0,"",(RD[[#This Row],[132kV_TX1_EX]]-ED12)*720)</f>
        <v>1440</v>
      </c>
      <c r="EV13" s="146">
        <f>IF((RD[[#This Row],[132 kV_Tx1_Im]]-EE12)*720&lt;=0,0,(RD[[#This Row],[132 kV_Tx1_Im]]-EE12)*720)</f>
        <v>432000</v>
      </c>
      <c r="EW13" s="146">
        <f>IF((RD[[#This Row],[132kV_L1_Ex]]-EF12)*720&lt;=0,0,(RD[[#This Row],[132kV_L1_Ex]]-EF12)*720)</f>
        <v>601128.00000001676</v>
      </c>
      <c r="EX13" s="146">
        <f>IF((RD[[#This Row],[132kV_L1_Im]]-EG12)*720&lt;=0,0,(RD[[#This Row],[132kV_L1_Im]]-EG12)*720)</f>
        <v>2160</v>
      </c>
      <c r="EY13" s="242">
        <f>IFERROR(RD[[#This Row],[33kV_OG1_Ex (MWh)]]+RD[[#This Row],[33kV_OG1_Im (MWh)]],"")</f>
        <v>604821.27399999998</v>
      </c>
      <c r="EZ13" s="148">
        <f>RD[[#This Row],[33kV_OG1_Ex (MWh)]]-RD[[#This Row],[33kV_OG1_Im (MWh)]]</f>
        <v>601384.72600000002</v>
      </c>
      <c r="FA13" s="148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43">
        <f>IFERROR((RD[[#This Row],[Sunset Time (POA&lt;20 W/m2)]]-RD[[#This Row],[Sunrise Time (POA&gt;20 W/m2)]])*24,0)</f>
        <v>11.783333333333333</v>
      </c>
      <c r="FD13" s="244">
        <v>102</v>
      </c>
      <c r="FE13" t="s">
        <v>265</v>
      </c>
      <c r="FF13"/>
      <c r="FG13"/>
    </row>
    <row r="14" spans="1:164">
      <c r="A14" s="133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52">
        <v>0.2902777777777778</v>
      </c>
      <c r="G14" s="162">
        <v>0.76388888888888884</v>
      </c>
      <c r="H14" s="124">
        <v>9028.4</v>
      </c>
      <c r="I14" s="124">
        <v>9020.1</v>
      </c>
      <c r="J14" s="124">
        <v>8664.7999999999993</v>
      </c>
      <c r="K14" s="124">
        <v>8729</v>
      </c>
      <c r="L14" s="124">
        <v>8915.4</v>
      </c>
      <c r="M14" s="124">
        <v>8995.5</v>
      </c>
      <c r="N14" s="124">
        <v>8717.5</v>
      </c>
      <c r="O14" s="124">
        <v>9369</v>
      </c>
      <c r="P14" s="124">
        <v>8814.7000000000007</v>
      </c>
      <c r="Q14" s="124">
        <v>8747.4</v>
      </c>
      <c r="R14" s="124">
        <v>8989.2999999999993</v>
      </c>
      <c r="S14" s="124">
        <v>8970.7999999999993</v>
      </c>
      <c r="T14" s="124">
        <v>9129.4</v>
      </c>
      <c r="U14" s="124">
        <v>8983.5</v>
      </c>
      <c r="V14" s="124">
        <v>9075.7999999999993</v>
      </c>
      <c r="W14" s="124">
        <v>8901.1</v>
      </c>
      <c r="X14" s="203">
        <v>12660.3</v>
      </c>
      <c r="Y14" s="203">
        <v>13738.7</v>
      </c>
      <c r="Z14" s="203">
        <v>12487.1</v>
      </c>
      <c r="AA14" s="203">
        <v>13149.6</v>
      </c>
      <c r="AB14" s="203">
        <v>13533.4</v>
      </c>
      <c r="AC14" s="203">
        <v>8453.2000000000007</v>
      </c>
      <c r="AD14" s="203">
        <v>12874.4</v>
      </c>
      <c r="AE14" s="203">
        <v>13004.9</v>
      </c>
      <c r="AF14" s="203">
        <v>12494.2</v>
      </c>
      <c r="AG14" s="203">
        <v>12729</v>
      </c>
      <c r="AH14" s="203">
        <v>12758.8</v>
      </c>
      <c r="AI14" s="203">
        <v>12863.9</v>
      </c>
      <c r="AJ14" s="142">
        <v>10662.6</v>
      </c>
      <c r="AK14" s="142">
        <v>10968.3</v>
      </c>
      <c r="AL14" s="142">
        <v>10671.9</v>
      </c>
      <c r="AM14" s="142">
        <v>10822.1</v>
      </c>
      <c r="AN14" s="142">
        <v>10764.4</v>
      </c>
      <c r="AO14" s="142">
        <v>11159.1</v>
      </c>
      <c r="AP14" s="142">
        <v>10948.3</v>
      </c>
      <c r="AQ14" s="142">
        <v>10794.8</v>
      </c>
      <c r="AR14" s="142">
        <v>8736.1</v>
      </c>
      <c r="AS14" s="142">
        <v>8775.9</v>
      </c>
      <c r="AT14" s="142">
        <v>8786.7999999999993</v>
      </c>
      <c r="AU14" s="142">
        <v>8800.9</v>
      </c>
      <c r="AV14" s="142">
        <v>8948.6</v>
      </c>
      <c r="AW14" s="142">
        <v>8831.5</v>
      </c>
      <c r="AX14" s="142">
        <v>12468</v>
      </c>
      <c r="AY14" s="142">
        <v>13508</v>
      </c>
      <c r="AZ14" s="142">
        <v>10143</v>
      </c>
      <c r="BA14" s="142">
        <v>12261</v>
      </c>
      <c r="BB14" s="142">
        <v>12176</v>
      </c>
      <c r="BC14" s="142">
        <v>9415</v>
      </c>
      <c r="BD14" s="142">
        <v>10005</v>
      </c>
      <c r="BE14" s="142">
        <v>12175</v>
      </c>
      <c r="BF14" s="142">
        <v>10777</v>
      </c>
      <c r="BG14" s="142">
        <v>11709</v>
      </c>
      <c r="BH14" s="142">
        <v>6952</v>
      </c>
      <c r="BI14" s="142">
        <v>3733</v>
      </c>
      <c r="BJ14" s="142">
        <v>3857</v>
      </c>
      <c r="BK14" s="142">
        <v>2267</v>
      </c>
      <c r="BL14" s="142">
        <v>7485</v>
      </c>
      <c r="BM14" s="142">
        <v>7812</v>
      </c>
      <c r="BN14" s="142">
        <v>3706</v>
      </c>
      <c r="BO14" s="142">
        <v>5918.6</v>
      </c>
      <c r="BP14" s="142">
        <v>3831</v>
      </c>
      <c r="BQ14" s="142">
        <v>7092.6</v>
      </c>
      <c r="BR14" s="142">
        <v>0</v>
      </c>
      <c r="BS14" s="142">
        <v>0</v>
      </c>
      <c r="BT14" s="142">
        <v>1613</v>
      </c>
      <c r="BU14" s="142">
        <v>874.9</v>
      </c>
      <c r="BV14" s="142"/>
      <c r="BW14" s="142"/>
      <c r="BX14" s="142"/>
      <c r="BY14" s="142"/>
      <c r="BZ14" s="142">
        <v>1395.2</v>
      </c>
      <c r="CA14" s="142">
        <v>1189.5</v>
      </c>
      <c r="CB14" s="142">
        <v>5120.7</v>
      </c>
      <c r="CC14" s="142">
        <v>5592</v>
      </c>
      <c r="CD14" s="59">
        <v>7.3114926833333271</v>
      </c>
      <c r="CE14" s="59"/>
      <c r="CF14" s="206">
        <v>7.1847138333333245</v>
      </c>
      <c r="CG14" s="206"/>
      <c r="CH14" s="206">
        <v>0.8737235333333343</v>
      </c>
      <c r="CI14" s="206"/>
      <c r="CJ14" s="59">
        <v>1.3355898833333333</v>
      </c>
      <c r="CK14" s="59"/>
      <c r="CL14" s="206">
        <v>33.641074523396867</v>
      </c>
      <c r="CM14" s="206"/>
      <c r="CN14" s="206">
        <v>40.8464974003466</v>
      </c>
      <c r="CO14" s="206"/>
      <c r="CP14" s="206">
        <v>18.576689774696689</v>
      </c>
      <c r="CQ14" s="206"/>
      <c r="CR14" s="59">
        <v>0</v>
      </c>
      <c r="CS14" s="59"/>
      <c r="CT14" s="206">
        <v>1.0249913344887345</v>
      </c>
      <c r="CU14" s="206"/>
      <c r="CV14" s="206">
        <v>2.88</v>
      </c>
      <c r="CW14" s="258"/>
      <c r="CX14" s="204">
        <f>IFERROR(AVERAGEIF(RD[[#This Row],[IS1POA1 (KWh/m2)]:[IS7POA2 (KWh/m2)]],"&lt;&gt;0",RD[[#This Row],[IS1POA1 (KWh/m2)]:[IS7POA2 (KWh/m2)]]),"")</f>
        <v>7.3114926833333271</v>
      </c>
      <c r="CY14" s="204">
        <f>IFERROR(AVERAGEIF(RD[[#This Row],[IS1GHI1 (KWh/m2)]:[IS7GHI2 (KWh/m2)]],"&lt;&gt;0",RD[[#This Row],[IS1GHI1 (KWh/m2)]:[IS7GHI2 (KWh/m2)]]),"")</f>
        <v>7.1847138333333245</v>
      </c>
      <c r="CZ14" s="204">
        <f>IFERROR(AVERAGEIF(RD[[#This Row],[IS1POA_BS1 (KWh/m2)]:[IS7POA_BS2 (KWh/m2)]],"&lt;&gt;0",RD[[#This Row],[IS1POA_BS1 (KWh/m2)]:[IS7POA_BS2 (KWh/m2)]]),"")</f>
        <v>0.8737235333333343</v>
      </c>
      <c r="DA14" s="204">
        <f>IFERROR(AVERAGEIF(RD[[#This Row],[IS1GHI_BS1 (KWh/m2)]:[IS1GHI_BS1 (KWh/m2)2]],"&lt;&gt;0",RD[[#This Row],[IS1GHI_BS1 (KWh/m2)]:[IS1GHI_BS1 (KWh/m2)2]]),"")</f>
        <v>1.3355898833333333</v>
      </c>
      <c r="DB14" s="204">
        <f>IFERROR(AVERAGEIF(RD[[#This Row],[IS1AT1 (°C)]:[IS7AT2 (°C)]],"&lt;&gt;0",RD[[#This Row],[IS1AT1 (°C)]:[IS7AT2 (°C)]]),"")</f>
        <v>33.641074523396867</v>
      </c>
      <c r="DC14" s="204">
        <f>IFERROR(AVERAGEIF(RD[[#This Row],[IS1MT1 (°C)]:[IS7MT2 (°C)]],"&lt;&gt;0",RD[[#This Row],[IS1MT1 (°C)]:[IS7MT2 (°C)]]),"")</f>
        <v>40.8464974003466</v>
      </c>
      <c r="DD14" s="204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204">
        <f>IFERROR(AVERAGEIF(RD[[#This Row],[WS_Solar1_Avg (m/s)]:[IS7_WS_Solar1_Avg (m/s)]],"&lt;&gt;0",RD[[#This Row],[WS_Solar1_Avg (m/s)]:[IS7_WS_Solar1_Avg (m/s)]]),"")</f>
        <v>1.0249913344887345</v>
      </c>
      <c r="DG14" s="204">
        <f>IFERROR(AVERAGEIF(RD[[#This Row],[WS_Solar1_Max (m/s)]:[IS7_WS_Solar1_Max (m/s)]],"&lt;&gt;0",RD[[#This Row],[WS_Solar1_Max (m/s)]:[IS7_WS_Solar1_Max (m/s)]]),"")</f>
        <v>2.88</v>
      </c>
      <c r="DH14" s="204">
        <f>SUM(RD[[#This Row],[IS1Inv1M1]:[IS4Inv4M2]])</f>
        <v>293799.2</v>
      </c>
      <c r="DI14" s="205">
        <f>SUM(RD[[#This Row],[IS7Inv1M1]]+RD[[#This Row],[IS7Inv2M1]])</f>
        <v>17512</v>
      </c>
      <c r="DJ14" s="204">
        <f>SUM(RD[[#This Row],[IS5Inv1M1]:[IS5Inv2M2]])</f>
        <v>43124.9</v>
      </c>
      <c r="DK14" s="204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86">
        <f>SUM(RD[[#This Row],[IS12Inv1M1]:[IS12Inv1M4]])</f>
        <v>20548.2</v>
      </c>
      <c r="DO14" s="286">
        <f>SUM(RD[[#This Row],[IS13Inv1M1]:[IS13Inv2M2]])</f>
        <v>2487.9</v>
      </c>
      <c r="DP14" s="204">
        <f>SUM(RD[[#This Row],[O2R15]:[O2R26]])</f>
        <v>616547</v>
      </c>
      <c r="DQ14" s="164">
        <v>35490.400000000001</v>
      </c>
      <c r="DR14" s="168">
        <v>198.1</v>
      </c>
      <c r="DS14" s="164">
        <v>30353.1</v>
      </c>
      <c r="DT14" s="164">
        <v>211.1</v>
      </c>
      <c r="DU14" s="168">
        <v>34675.599999999999</v>
      </c>
      <c r="DV14" s="168">
        <v>378.5</v>
      </c>
      <c r="DW14" s="164">
        <v>3480.9</v>
      </c>
      <c r="DX14" s="168">
        <v>14.9</v>
      </c>
      <c r="DY14" s="168"/>
      <c r="DZ14" s="168"/>
      <c r="EA14" s="140">
        <v>84.88</v>
      </c>
      <c r="EB14" s="241">
        <v>104787632</v>
      </c>
      <c r="EC14" s="240">
        <v>850093.50399999996</v>
      </c>
      <c r="ED14" s="241">
        <v>1014</v>
      </c>
      <c r="EE14" s="241">
        <v>99172</v>
      </c>
      <c r="EF14" s="164">
        <v>145382.70000000001</v>
      </c>
      <c r="EG14" s="164">
        <v>1683.6</v>
      </c>
      <c r="EH14" s="146">
        <f>IF((RD[[#This Row],[33 kV_F3_Ex
Incomer1]]-DQ13)*1000&lt;0,0,(RD[[#This Row],[33 kV_F3_Ex
Incomer1]]-DQ13)*1000)</f>
        <v>149500</v>
      </c>
      <c r="EI14" s="146">
        <f>IF((RD[[#This Row],[34 kV_F3_Im
Incomer1]]-DR13)*1000&lt;0,0,(RD[[#This Row],[34 kV_F3_Im
Incomer1]]-DR13)*1000)</f>
        <v>400.00000000000568</v>
      </c>
      <c r="EJ14" s="146">
        <f>IF((RD[[#This Row],[33 kV_F4_Ex
Incomer2]]-DS13)*1000&lt;0,0,(RD[[#This Row],[33 kV_F4_Ex
Incomer2]]-DS13)*1000)</f>
        <v>138699.99999999709</v>
      </c>
      <c r="EK14" s="146">
        <f>IF((RD[[#This Row],[34 kV_F4_Im
Incomer2]]-DT13)*1000&lt;0,0,(RD[[#This Row],[34 kV_F4_Im
Incomer2]]-DT13)*1000)</f>
        <v>400.00000000000568</v>
      </c>
      <c r="EL14" s="146">
        <f>IF((RD[[#This Row],[33 kV_F5_Ex
Incomer3]]-DU13)*1000&lt;0,0,(RD[[#This Row],[33 kV_F5_Ex
Incomer3]]-DU13)*1000)</f>
        <v>185000</v>
      </c>
      <c r="EM14" s="146">
        <f>IF((RD[[#This Row],[34 kV_F5_Im
Incomer3]]-DV13)*1000&lt;0,0,(RD[[#This Row],[34 kV_F5_Im
Incomer3]]-DV13)*1000)</f>
        <v>699.99999999998863</v>
      </c>
      <c r="EN14" s="146">
        <f>IF((RD[[#This Row],[33 kV_F6_Ex
Incomer4]]-DW13)*1000&lt;0,0,(RD[[#This Row],[33 kV_F6_Ex
Incomer4]]-DW13)*1000)</f>
        <v>132400.00000000009</v>
      </c>
      <c r="EO14" s="146">
        <f>IF((RD[[#This Row],[33 kV_F6_Im
Incomer4]]-DX13)*1000&lt;0,0,(RD[[#This Row],[33 kV_F6_Im
Incomer4]]-DX13)*1000)</f>
        <v>500</v>
      </c>
      <c r="EP14" s="146">
        <f>IF((RD[[#This Row],[33 kV_F7_Ex
Incomer5]]-DY13)*1000&lt;0,0,(RD[[#This Row],[33 kV_F7_Ex
Incomer5]]-DY13)*1000)</f>
        <v>0</v>
      </c>
      <c r="EQ14" s="146">
        <f>IF((RD[[#This Row],[33 kV_F7_Im
Incomer5]]-DZ13)*1000&lt;0,0,(RD[[#This Row],[33 kV_F7_Im
Incomer5]]-DZ13)*1000)</f>
        <v>0</v>
      </c>
      <c r="ER14" s="146">
        <f>IF((RD[[#This Row],[33 kV_Aux Trafo]]-EA13)*1000&lt;0,0,(RD[[#This Row],[33 kV_Aux Trafo]]-EA13)*1000)</f>
        <v>280.00000000000114</v>
      </c>
      <c r="ES14" s="158">
        <f>IF((RD[[#This Row],[33kV_OG1_Ex_]]-EB13)*1&lt;0,0,(RD[[#This Row],[33kV_OG1_Ex_]]-EB13)*1)</f>
        <v>606118</v>
      </c>
      <c r="ET14" s="146">
        <f>IF((RD[[#This Row],[33kV_OG1_Im]]-EC13)*1&lt;0,0,(RD[[#This Row],[33kV_OG1_Im]]-EC13)*1)</f>
        <v>2017.5979999999981</v>
      </c>
      <c r="EU14" s="146">
        <f>IF((RD[[#This Row],[132kV_TX1_EX]]-ED13)*720&lt;=0,"",(RD[[#This Row],[132kV_TX1_EX]]-ED13)*720)</f>
        <v>2160</v>
      </c>
      <c r="EV14" s="146">
        <f>IF((RD[[#This Row],[132 kV_Tx1_Im]]-EE13)*720&lt;=0,0,(RD[[#This Row],[132 kV_Tx1_Im]]-EE13)*720)</f>
        <v>434880</v>
      </c>
      <c r="EW14" s="146">
        <f>IF((RD[[#This Row],[132kV_L1_Ex]]-EF13)*720&lt;=0,0,(RD[[#This Row],[132kV_L1_Ex]]-EF13)*720)</f>
        <v>604080</v>
      </c>
      <c r="EX14" s="146">
        <f>IF((RD[[#This Row],[132kV_L1_Im]]-EG13)*720&lt;=0,0,(RD[[#This Row],[132kV_L1_Im]]-EG13)*720)</f>
        <v>2591.9999999999345</v>
      </c>
      <c r="EY14" s="242">
        <f>IFERROR(RD[[#This Row],[33kV_OG1_Ex (MWh)]]+RD[[#This Row],[33kV_OG1_Im (MWh)]],"")</f>
        <v>608135.598</v>
      </c>
      <c r="EZ14" s="148">
        <f>RD[[#This Row],[33kV_OG1_Ex (MWh)]]-RD[[#This Row],[33kV_OG1_Im (MWh)]]</f>
        <v>604100.402</v>
      </c>
      <c r="FA14" s="148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43">
        <f>IFERROR((RD[[#This Row],[Sunset Time (POA&lt;20 W/m2)]]-RD[[#This Row],[Sunrise Time (POA&gt;20 W/m2)]])*24,0)</f>
        <v>11.366666666666665</v>
      </c>
      <c r="FD14" s="244">
        <v>102</v>
      </c>
      <c r="FE14" t="s">
        <v>268</v>
      </c>
      <c r="FF14"/>
      <c r="FG14"/>
    </row>
    <row r="15" spans="1:164">
      <c r="A15" s="133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52">
        <v>0.27013888888888887</v>
      </c>
      <c r="G15" s="162">
        <v>0.76458333333333328</v>
      </c>
      <c r="H15" s="124">
        <v>8902.2000000000007</v>
      </c>
      <c r="I15" s="124">
        <v>8897</v>
      </c>
      <c r="J15" s="124">
        <v>8557.2000000000007</v>
      </c>
      <c r="K15" s="124">
        <v>8617.2000000000007</v>
      </c>
      <c r="L15" s="124">
        <v>8814.4</v>
      </c>
      <c r="M15" s="124">
        <v>8910</v>
      </c>
      <c r="N15" s="124">
        <v>8603.9</v>
      </c>
      <c r="O15" s="124">
        <v>9244</v>
      </c>
      <c r="P15" s="124">
        <v>8675.4</v>
      </c>
      <c r="Q15" s="124">
        <v>8631.2000000000007</v>
      </c>
      <c r="R15" s="124">
        <v>8880.9</v>
      </c>
      <c r="S15" s="124">
        <v>8859.2000000000007</v>
      </c>
      <c r="T15" s="124">
        <v>9032.9</v>
      </c>
      <c r="U15" s="124">
        <v>8874.4</v>
      </c>
      <c r="V15" s="124">
        <v>8972.7000000000007</v>
      </c>
      <c r="W15" s="124">
        <v>8784.4</v>
      </c>
      <c r="X15" s="203">
        <v>12461.6</v>
      </c>
      <c r="Y15" s="203">
        <v>13586.3</v>
      </c>
      <c r="Z15" s="203">
        <v>12269.5</v>
      </c>
      <c r="AA15" s="203">
        <v>12889.6</v>
      </c>
      <c r="AB15" s="203">
        <v>13368</v>
      </c>
      <c r="AC15" s="203">
        <v>8318.6</v>
      </c>
      <c r="AD15" s="203">
        <v>12687</v>
      </c>
      <c r="AE15" s="203">
        <v>12834.8</v>
      </c>
      <c r="AF15" s="203">
        <v>12295.3</v>
      </c>
      <c r="AG15" s="203">
        <v>12586</v>
      </c>
      <c r="AH15" s="203">
        <v>12573.5</v>
      </c>
      <c r="AI15" s="203">
        <v>12699.1</v>
      </c>
      <c r="AJ15" s="142">
        <v>10445</v>
      </c>
      <c r="AK15" s="142">
        <v>10743.3</v>
      </c>
      <c r="AL15" s="142">
        <v>10453.1</v>
      </c>
      <c r="AM15" s="142">
        <v>10603</v>
      </c>
      <c r="AN15" s="142">
        <v>10549</v>
      </c>
      <c r="AO15" s="142">
        <v>10946.5</v>
      </c>
      <c r="AP15" s="142">
        <v>10737</v>
      </c>
      <c r="AQ15" s="142">
        <v>10599.2</v>
      </c>
      <c r="AR15" s="142">
        <v>8620.7999999999993</v>
      </c>
      <c r="AS15" s="142">
        <v>8665.5</v>
      </c>
      <c r="AT15" s="142">
        <v>8661.1</v>
      </c>
      <c r="AU15" s="142">
        <v>8674.2000000000007</v>
      </c>
      <c r="AV15" s="142">
        <v>8835.5</v>
      </c>
      <c r="AW15" s="142">
        <v>8719.9</v>
      </c>
      <c r="AX15" s="142">
        <v>12284</v>
      </c>
      <c r="AY15" s="142">
        <v>13371</v>
      </c>
      <c r="AZ15" s="142">
        <v>9963</v>
      </c>
      <c r="BA15" s="142">
        <v>12046</v>
      </c>
      <c r="BB15" s="142">
        <v>8057.3</v>
      </c>
      <c r="BC15" s="142">
        <v>5287</v>
      </c>
      <c r="BD15" s="142">
        <v>9819.4</v>
      </c>
      <c r="BE15" s="142">
        <v>11891.4</v>
      </c>
      <c r="BF15" s="142">
        <v>10776.5</v>
      </c>
      <c r="BG15" s="142">
        <v>11468.6</v>
      </c>
      <c r="BH15" s="142">
        <v>6800</v>
      </c>
      <c r="BI15" s="142">
        <v>3640</v>
      </c>
      <c r="BJ15" s="142">
        <v>5207.5</v>
      </c>
      <c r="BK15" s="142">
        <v>3476.9</v>
      </c>
      <c r="BL15" s="142">
        <v>7263.9</v>
      </c>
      <c r="BM15" s="142">
        <v>7003.3</v>
      </c>
      <c r="BN15" s="142">
        <v>6923</v>
      </c>
      <c r="BO15" s="142">
        <v>3921</v>
      </c>
      <c r="BP15" s="142">
        <v>5782</v>
      </c>
      <c r="BQ15" s="142">
        <v>3611</v>
      </c>
      <c r="BR15" s="142">
        <v>0</v>
      </c>
      <c r="BS15" s="142">
        <v>0</v>
      </c>
      <c r="BT15" s="142">
        <v>1740</v>
      </c>
      <c r="BU15" s="142">
        <v>845</v>
      </c>
      <c r="BV15" s="142"/>
      <c r="BW15" s="142"/>
      <c r="BX15" s="142"/>
      <c r="BY15" s="142"/>
      <c r="BZ15" s="142">
        <v>1356</v>
      </c>
      <c r="CA15" s="142">
        <v>1156</v>
      </c>
      <c r="CB15" s="142">
        <v>4988</v>
      </c>
      <c r="CC15" s="142">
        <v>6053</v>
      </c>
      <c r="CD15" s="59">
        <v>7.195246400000002</v>
      </c>
      <c r="CE15" s="59"/>
      <c r="CF15" s="206">
        <v>7.0545122499999966</v>
      </c>
      <c r="CG15" s="206"/>
      <c r="CH15" s="206">
        <v>0.88503054999999997</v>
      </c>
      <c r="CI15" s="206"/>
      <c r="CJ15" s="59">
        <v>1.3287214333333337</v>
      </c>
      <c r="CK15" s="59"/>
      <c r="CL15" s="206">
        <v>33.79870801033595</v>
      </c>
      <c r="CM15" s="206"/>
      <c r="CN15" s="206">
        <v>41.103325581395296</v>
      </c>
      <c r="CO15" s="206"/>
      <c r="CP15" s="206">
        <v>18.198191214470288</v>
      </c>
      <c r="CQ15" s="206"/>
      <c r="CR15" s="59">
        <v>0</v>
      </c>
      <c r="CS15" s="59"/>
      <c r="CT15" s="206">
        <v>0.94429198966408301</v>
      </c>
      <c r="CU15" s="206"/>
      <c r="CV15" s="206">
        <v>2.9340000000000002</v>
      </c>
      <c r="CW15" s="258"/>
      <c r="CX15" s="204">
        <f>IFERROR(AVERAGEIF(RD[[#This Row],[IS1POA1 (KWh/m2)]:[IS7POA2 (KWh/m2)]],"&lt;&gt;0",RD[[#This Row],[IS1POA1 (KWh/m2)]:[IS7POA2 (KWh/m2)]]),"")</f>
        <v>7.195246400000002</v>
      </c>
      <c r="CY15" s="204">
        <f>IFERROR(AVERAGEIF(RD[[#This Row],[IS1GHI1 (KWh/m2)]:[IS7GHI2 (KWh/m2)]],"&lt;&gt;0",RD[[#This Row],[IS1GHI1 (KWh/m2)]:[IS7GHI2 (KWh/m2)]]),"")</f>
        <v>7.0545122499999966</v>
      </c>
      <c r="CZ15" s="204">
        <f>IFERROR(AVERAGEIF(RD[[#This Row],[IS1POA_BS1 (KWh/m2)]:[IS7POA_BS2 (KWh/m2)]],"&lt;&gt;0",RD[[#This Row],[IS1POA_BS1 (KWh/m2)]:[IS7POA_BS2 (KWh/m2)]]),"")</f>
        <v>0.88503054999999997</v>
      </c>
      <c r="DA15" s="204">
        <f>IFERROR(AVERAGEIF(RD[[#This Row],[IS1GHI_BS1 (KWh/m2)]:[IS1GHI_BS1 (KWh/m2)2]],"&lt;&gt;0",RD[[#This Row],[IS1GHI_BS1 (KWh/m2)]:[IS1GHI_BS1 (KWh/m2)2]]),"")</f>
        <v>1.3287214333333337</v>
      </c>
      <c r="DB15" s="204">
        <f>IFERROR(AVERAGEIF(RD[[#This Row],[IS1AT1 (°C)]:[IS7AT2 (°C)]],"&lt;&gt;0",RD[[#This Row],[IS1AT1 (°C)]:[IS7AT2 (°C)]]),"")</f>
        <v>33.79870801033595</v>
      </c>
      <c r="DC15" s="204">
        <f>IFERROR(AVERAGEIF(RD[[#This Row],[IS1MT1 (°C)]:[IS7MT2 (°C)]],"&lt;&gt;0",RD[[#This Row],[IS1MT1 (°C)]:[IS7MT2 (°C)]]),"")</f>
        <v>41.103325581395296</v>
      </c>
      <c r="DD15" s="204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204">
        <f>IFERROR(AVERAGEIF(RD[[#This Row],[WS_Solar1_Avg (m/s)]:[IS7_WS_Solar1_Avg (m/s)]],"&lt;&gt;0",RD[[#This Row],[WS_Solar1_Avg (m/s)]:[IS7_WS_Solar1_Avg (m/s)]]),"")</f>
        <v>0.94429198966408301</v>
      </c>
      <c r="DG15" s="204">
        <f>IFERROR(AVERAGEIF(RD[[#This Row],[WS_Solar1_Max (m/s)]:[IS7_WS_Solar1_Max (m/s)]],"&lt;&gt;0",RD[[#This Row],[WS_Solar1_Max (m/s)]:[IS7_WS_Solar1_Max (m/s)]]),"")</f>
        <v>2.9340000000000002</v>
      </c>
      <c r="DH15" s="204">
        <f>SUM(RD[[#This Row],[IS1Inv1M1]:[IS4Inv4M2]])</f>
        <v>289826.29999999993</v>
      </c>
      <c r="DI15" s="205">
        <f>SUM(RD[[#This Row],[IS7Inv1M1]]+RD[[#This Row],[IS7Inv2M1]])</f>
        <v>17286.3</v>
      </c>
      <c r="DJ15" s="204">
        <f>SUM(RD[[#This Row],[IS5Inv1M1]:[IS5Inv2M2]])</f>
        <v>42244.4</v>
      </c>
      <c r="DK15" s="204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86">
        <f>SUM(RD[[#This Row],[IS12Inv1M1]:[IS12Inv1M4]])</f>
        <v>20237</v>
      </c>
      <c r="DO15" s="286">
        <f>SUM(RD[[#This Row],[IS13Inv1M1]:[IS13Inv2M2]])</f>
        <v>2585</v>
      </c>
      <c r="DP15" s="204">
        <f>SUM(RD[[#This Row],[O2R15]:[O2R26]])</f>
        <v>601810.19999999995</v>
      </c>
      <c r="DQ15" s="164">
        <v>35637.800000000003</v>
      </c>
      <c r="DR15" s="168">
        <v>198.5</v>
      </c>
      <c r="DS15" s="164">
        <v>30490</v>
      </c>
      <c r="DT15" s="164">
        <v>211.4</v>
      </c>
      <c r="DU15" s="168">
        <v>34857.5</v>
      </c>
      <c r="DV15" s="168">
        <v>379.1</v>
      </c>
      <c r="DW15" s="164">
        <v>3605.8</v>
      </c>
      <c r="DX15" s="168">
        <v>15.3</v>
      </c>
      <c r="DY15" s="168"/>
      <c r="DZ15" s="168"/>
      <c r="EA15" s="140">
        <v>85.18</v>
      </c>
      <c r="EB15" s="241">
        <v>105379184</v>
      </c>
      <c r="EC15" s="240">
        <v>851951.23199999996</v>
      </c>
      <c r="ED15" s="241">
        <v>1016</v>
      </c>
      <c r="EE15" s="241">
        <v>99761</v>
      </c>
      <c r="EF15" s="164">
        <v>146201.5</v>
      </c>
      <c r="EG15" s="164">
        <v>1686.9</v>
      </c>
      <c r="EH15" s="146">
        <f>IF((RD[[#This Row],[33 kV_F3_Ex
Incomer1]]-DQ14)*1000&lt;0,0,(RD[[#This Row],[33 kV_F3_Ex
Incomer1]]-DQ14)*1000)</f>
        <v>147400.00000000146</v>
      </c>
      <c r="EI15" s="146">
        <f>IF((RD[[#This Row],[34 kV_F3_Im
Incomer1]]-DR14)*1000&lt;0,0,(RD[[#This Row],[34 kV_F3_Im
Incomer1]]-DR14)*1000)</f>
        <v>400.00000000000568</v>
      </c>
      <c r="EJ15" s="146">
        <f>IF((RD[[#This Row],[33 kV_F4_Ex
Incomer2]]-DS14)*1000&lt;0,0,(RD[[#This Row],[33 kV_F4_Ex
Incomer2]]-DS14)*1000)</f>
        <v>136900.00000000146</v>
      </c>
      <c r="EK15" s="146">
        <f>IF((RD[[#This Row],[34 kV_F4_Im
Incomer2]]-DT14)*1000&lt;0,0,(RD[[#This Row],[34 kV_F4_Im
Incomer2]]-DT14)*1000)</f>
        <v>300.00000000001137</v>
      </c>
      <c r="EL15" s="146">
        <f>IF((RD[[#This Row],[33 kV_F5_Ex
Incomer3]]-DU14)*1000&lt;0,0,(RD[[#This Row],[33 kV_F5_Ex
Incomer3]]-DU14)*1000)</f>
        <v>181900.00000000146</v>
      </c>
      <c r="EM15" s="146">
        <f>IF((RD[[#This Row],[34 kV_F5_Im
Incomer3]]-DV14)*1000&lt;0,0,(RD[[#This Row],[34 kV_F5_Im
Incomer3]]-DV14)*1000)</f>
        <v>600.00000000002274</v>
      </c>
      <c r="EN15" s="146">
        <f>IF((RD[[#This Row],[33 kV_F6_Ex
Incomer4]]-DW14)*1000&lt;0,0,(RD[[#This Row],[33 kV_F6_Ex
Incomer4]]-DW14)*1000)</f>
        <v>124900.00000000009</v>
      </c>
      <c r="EO15" s="146">
        <f>IF((RD[[#This Row],[33 kV_F6_Im
Incomer4]]-DX14)*1000&lt;0,0,(RD[[#This Row],[33 kV_F6_Im
Incomer4]]-DX14)*1000)</f>
        <v>400.00000000000034</v>
      </c>
      <c r="EP15" s="146">
        <f>IF((RD[[#This Row],[33 kV_F7_Ex
Incomer5]]-DY14)*1000&lt;0,0,(RD[[#This Row],[33 kV_F7_Ex
Incomer5]]-DY14)*1000)</f>
        <v>0</v>
      </c>
      <c r="EQ15" s="146">
        <f>IF((RD[[#This Row],[33 kV_F7_Im
Incomer5]]-DZ14)*1000&lt;0,0,(RD[[#This Row],[33 kV_F7_Im
Incomer5]]-DZ14)*1000)</f>
        <v>0</v>
      </c>
      <c r="ER15" s="146">
        <f>IF((RD[[#This Row],[33 kV_Aux Trafo]]-EA14)*1000&lt;0,0,(RD[[#This Row],[33 kV_Aux Trafo]]-EA14)*1000)</f>
        <v>300.00000000001137</v>
      </c>
      <c r="ES15" s="158">
        <f>IF((RD[[#This Row],[33kV_OG1_Ex_]]-EB14)*1&lt;0,0,(RD[[#This Row],[33kV_OG1_Ex_]]-EB14)*1)</f>
        <v>591552</v>
      </c>
      <c r="ET15" s="146">
        <f>IF((RD[[#This Row],[33kV_OG1_Im]]-EC14)*1&lt;0,0,(RD[[#This Row],[33kV_OG1_Im]]-EC14)*1)</f>
        <v>1857.7280000000028</v>
      </c>
      <c r="EU15" s="146">
        <f>IF((RD[[#This Row],[132kV_TX1_EX]]-ED14)*720&lt;=0,"",(RD[[#This Row],[132kV_TX1_EX]]-ED14)*720)</f>
        <v>1440</v>
      </c>
      <c r="EV15" s="146">
        <f>IF((RD[[#This Row],[132 kV_Tx1_Im]]-EE14)*720&lt;=0,0,(RD[[#This Row],[132 kV_Tx1_Im]]-EE14)*720)</f>
        <v>424080</v>
      </c>
      <c r="EW15" s="146">
        <f>IF((RD[[#This Row],[132kV_L1_Ex]]-EF14)*720&lt;=0,0,(RD[[#This Row],[132kV_L1_Ex]]-EF14)*720)</f>
        <v>589535.99999999162</v>
      </c>
      <c r="EX15" s="146">
        <f>IF((RD[[#This Row],[132kV_L1_Im]]-EG14)*720&lt;=0,0,(RD[[#This Row],[132kV_L1_Im]]-EG14)*720)</f>
        <v>2376.000000000131</v>
      </c>
      <c r="EY15" s="242">
        <f>IFERROR(RD[[#This Row],[33kV_OG1_Ex (MWh)]]+RD[[#This Row],[33kV_OG1_Im (MWh)]],"")</f>
        <v>593409.728</v>
      </c>
      <c r="EZ15" s="148">
        <f>RD[[#This Row],[33kV_OG1_Ex (MWh)]]-RD[[#This Row],[33kV_OG1_Im (MWh)]]</f>
        <v>589694.272</v>
      </c>
      <c r="FA15" s="148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43">
        <f>IFERROR((RD[[#This Row],[Sunset Time (POA&lt;20 W/m2)]]-RD[[#This Row],[Sunrise Time (POA&gt;20 W/m2)]])*24,0)</f>
        <v>11.866666666666665</v>
      </c>
      <c r="FD15" s="244">
        <v>102</v>
      </c>
      <c r="FE15" s="303" t="s">
        <v>269</v>
      </c>
      <c r="FF15"/>
      <c r="FG15"/>
    </row>
    <row r="16" spans="1:164">
      <c r="A16" s="133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52">
        <v>0.2722222222222222</v>
      </c>
      <c r="G16" s="162">
        <v>0.76180555555555551</v>
      </c>
      <c r="H16" s="124">
        <v>8229.2000000000007</v>
      </c>
      <c r="I16" s="124">
        <v>8180.5</v>
      </c>
      <c r="J16" s="124">
        <v>7655.2</v>
      </c>
      <c r="K16" s="124">
        <v>7720.5</v>
      </c>
      <c r="L16" s="124">
        <v>7942.9</v>
      </c>
      <c r="M16" s="124">
        <v>8133.6</v>
      </c>
      <c r="N16" s="124">
        <v>7704</v>
      </c>
      <c r="O16" s="124">
        <v>8638</v>
      </c>
      <c r="P16" s="124">
        <v>8033.8</v>
      </c>
      <c r="Q16" s="124">
        <v>7840.5</v>
      </c>
      <c r="R16" s="124">
        <v>8182.5</v>
      </c>
      <c r="S16" s="124">
        <v>8179.8</v>
      </c>
      <c r="T16" s="124">
        <v>8360.4</v>
      </c>
      <c r="U16" s="124">
        <v>8194.7999999999993</v>
      </c>
      <c r="V16" s="124">
        <v>8283.2999999999993</v>
      </c>
      <c r="W16" s="124">
        <v>8051.5</v>
      </c>
      <c r="X16" s="203">
        <v>11092.5</v>
      </c>
      <c r="Y16" s="203">
        <v>12527.8</v>
      </c>
      <c r="Z16" s="203">
        <v>10870.1</v>
      </c>
      <c r="AA16" s="203">
        <v>11408.5</v>
      </c>
      <c r="AB16" s="203">
        <v>12308</v>
      </c>
      <c r="AC16" s="203">
        <v>7405</v>
      </c>
      <c r="AD16" s="203">
        <v>11386.5</v>
      </c>
      <c r="AE16" s="203">
        <v>11603.1</v>
      </c>
      <c r="AF16" s="203">
        <v>10933.1</v>
      </c>
      <c r="AG16" s="203">
        <v>11249.8</v>
      </c>
      <c r="AH16" s="203">
        <v>11249.4</v>
      </c>
      <c r="AI16" s="203">
        <v>11407.4</v>
      </c>
      <c r="AJ16" s="142">
        <v>9250.1</v>
      </c>
      <c r="AK16" s="142">
        <v>9507.2999999999993</v>
      </c>
      <c r="AL16" s="142">
        <v>9250</v>
      </c>
      <c r="AM16" s="142">
        <v>9380.6</v>
      </c>
      <c r="AN16" s="142">
        <v>9406.6</v>
      </c>
      <c r="AO16" s="142">
        <v>9741.9</v>
      </c>
      <c r="AP16" s="142">
        <v>9584.7000000000007</v>
      </c>
      <c r="AQ16" s="142">
        <v>9438.6</v>
      </c>
      <c r="AR16" s="142">
        <v>7726.7</v>
      </c>
      <c r="AS16" s="142">
        <v>7771.9</v>
      </c>
      <c r="AT16" s="142">
        <v>7699.8</v>
      </c>
      <c r="AU16" s="142">
        <v>7715.5</v>
      </c>
      <c r="AV16" s="142">
        <v>7927.4</v>
      </c>
      <c r="AW16" s="142">
        <v>7798.4</v>
      </c>
      <c r="AX16" s="142">
        <v>11003.1</v>
      </c>
      <c r="AY16" s="142">
        <v>12299.8</v>
      </c>
      <c r="AZ16" s="142">
        <v>8824.5</v>
      </c>
      <c r="BA16" s="142">
        <v>10644.6</v>
      </c>
      <c r="BB16" s="142">
        <v>10517</v>
      </c>
      <c r="BC16" s="142">
        <v>8164.4</v>
      </c>
      <c r="BD16" s="142">
        <v>8661.6</v>
      </c>
      <c r="BE16" s="142">
        <v>10521</v>
      </c>
      <c r="BF16" s="142">
        <v>9490.4</v>
      </c>
      <c r="BG16" s="142">
        <v>10196</v>
      </c>
      <c r="BH16" s="142">
        <v>5973.6</v>
      </c>
      <c r="BI16" s="142">
        <v>4158.8999999999996</v>
      </c>
      <c r="BJ16" s="142">
        <v>4597.3</v>
      </c>
      <c r="BK16" s="142">
        <v>4248.3999999999996</v>
      </c>
      <c r="BL16" s="142">
        <v>6315</v>
      </c>
      <c r="BM16" s="142">
        <v>6214.6</v>
      </c>
      <c r="BN16" s="142">
        <v>6081.8</v>
      </c>
      <c r="BO16" s="142">
        <v>3559.8</v>
      </c>
      <c r="BP16" s="142">
        <v>5072.3999999999996</v>
      </c>
      <c r="BQ16" s="142">
        <v>3166</v>
      </c>
      <c r="BR16" s="142">
        <v>0</v>
      </c>
      <c r="BS16" s="142">
        <v>0</v>
      </c>
      <c r="BT16" s="142">
        <v>1578</v>
      </c>
      <c r="BU16" s="142">
        <v>737</v>
      </c>
      <c r="BV16" s="142"/>
      <c r="BW16" s="142"/>
      <c r="BX16" s="142"/>
      <c r="BY16" s="142"/>
      <c r="BZ16" s="142">
        <v>1172.9000000000001</v>
      </c>
      <c r="CA16" s="142">
        <v>999.5</v>
      </c>
      <c r="CB16" s="142">
        <v>4349.6000000000004</v>
      </c>
      <c r="CC16" s="142">
        <v>5122</v>
      </c>
      <c r="CD16" s="59">
        <v>6.3737436833333359</v>
      </c>
      <c r="CE16" s="59"/>
      <c r="CF16" s="206">
        <v>6.2230471166666685</v>
      </c>
      <c r="CG16" s="206"/>
      <c r="CH16" s="206">
        <v>0.80677334999999928</v>
      </c>
      <c r="CI16" s="206"/>
      <c r="CJ16" s="59">
        <v>1.2042739666666684</v>
      </c>
      <c r="CK16" s="59"/>
      <c r="CL16" s="206">
        <v>33.301143884892149</v>
      </c>
      <c r="CM16" s="206"/>
      <c r="CN16" s="206">
        <v>43.264656115107854</v>
      </c>
      <c r="CO16" s="206"/>
      <c r="CP16" s="206">
        <v>19.770762589928072</v>
      </c>
      <c r="CQ16" s="206"/>
      <c r="CR16" s="59">
        <v>0</v>
      </c>
      <c r="CS16" s="59"/>
      <c r="CT16" s="206">
        <v>0.67707841726618623</v>
      </c>
      <c r="CU16" s="206"/>
      <c r="CV16" s="206">
        <v>2.496</v>
      </c>
      <c r="CW16" s="258"/>
      <c r="CX16" s="204">
        <f>IFERROR(AVERAGEIF(RD[[#This Row],[IS1POA1 (KWh/m2)]:[IS7POA2 (KWh/m2)]],"&lt;&gt;0",RD[[#This Row],[IS1POA1 (KWh/m2)]:[IS7POA2 (KWh/m2)]]),"")</f>
        <v>6.3737436833333359</v>
      </c>
      <c r="CY16" s="204">
        <f>IFERROR(AVERAGEIF(RD[[#This Row],[IS1GHI1 (KWh/m2)]:[IS7GHI2 (KWh/m2)]],"&lt;&gt;0",RD[[#This Row],[IS1GHI1 (KWh/m2)]:[IS7GHI2 (KWh/m2)]]),"")</f>
        <v>6.2230471166666685</v>
      </c>
      <c r="CZ16" s="204">
        <f>IFERROR(AVERAGEIF(RD[[#This Row],[IS1POA_BS1 (KWh/m2)]:[IS7POA_BS2 (KWh/m2)]],"&lt;&gt;0",RD[[#This Row],[IS1POA_BS1 (KWh/m2)]:[IS7POA_BS2 (KWh/m2)]]),"")</f>
        <v>0.80677334999999928</v>
      </c>
      <c r="DA16" s="204">
        <f>IFERROR(AVERAGEIF(RD[[#This Row],[IS1GHI_BS1 (KWh/m2)]:[IS1GHI_BS1 (KWh/m2)2]],"&lt;&gt;0",RD[[#This Row],[IS1GHI_BS1 (KWh/m2)]:[IS1GHI_BS1 (KWh/m2)2]]),"")</f>
        <v>1.2042739666666684</v>
      </c>
      <c r="DB16" s="204">
        <f>IFERROR(AVERAGEIF(RD[[#This Row],[IS1AT1 (°C)]:[IS7AT2 (°C)]],"&lt;&gt;0",RD[[#This Row],[IS1AT1 (°C)]:[IS7AT2 (°C)]]),"")</f>
        <v>33.301143884892149</v>
      </c>
      <c r="DC16" s="204">
        <f>IFERROR(AVERAGEIF(RD[[#This Row],[IS1MT1 (°C)]:[IS7MT2 (°C)]],"&lt;&gt;0",RD[[#This Row],[IS1MT1 (°C)]:[IS7MT2 (°C)]]),"")</f>
        <v>43.264656115107854</v>
      </c>
      <c r="DD16" s="204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204">
        <f>IFERROR(AVERAGEIF(RD[[#This Row],[WS_Solar1_Avg (m/s)]:[IS7_WS_Solar1_Avg (m/s)]],"&lt;&gt;0",RD[[#This Row],[WS_Solar1_Avg (m/s)]:[IS7_WS_Solar1_Avg (m/s)]]),"")</f>
        <v>0.67707841726618623</v>
      </c>
      <c r="DG16" s="204">
        <f>IFERROR(AVERAGEIF(RD[[#This Row],[WS_Solar1_Max (m/s)]:[IS7_WS_Solar1_Max (m/s)]],"&lt;&gt;0",RD[[#This Row],[WS_Solar1_Max (m/s)]:[IS7_WS_Solar1_Max (m/s)]]),"")</f>
        <v>2.496</v>
      </c>
      <c r="DH16" s="204">
        <f>SUM(RD[[#This Row],[IS1Inv1M1]:[IS4Inv4M2]])</f>
        <v>262771.7</v>
      </c>
      <c r="DI16" s="205">
        <f>SUM(RD[[#This Row],[IS7Inv1M1]]+RD[[#This Row],[IS7Inv2M1]])</f>
        <v>15498.599999999999</v>
      </c>
      <c r="DJ16" s="204">
        <f>SUM(RD[[#This Row],[IS5Inv1M1]:[IS5Inv2M2]])</f>
        <v>37388</v>
      </c>
      <c r="DK16" s="204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86">
        <f>SUM(RD[[#This Row],[IS12Inv1M1]:[IS12Inv1M4]])</f>
        <v>17880</v>
      </c>
      <c r="DO16" s="286">
        <f>SUM(RD[[#This Row],[IS13Inv1M1]:[IS13Inv2M2]])</f>
        <v>2315</v>
      </c>
      <c r="DP16" s="204">
        <f>SUM(RD[[#This Row],[O2R15]:[O2R26]])</f>
        <v>548640.4</v>
      </c>
      <c r="DQ16" s="164">
        <v>35770.300000000003</v>
      </c>
      <c r="DR16" s="168">
        <v>199.1</v>
      </c>
      <c r="DS16" s="164">
        <v>30615.4</v>
      </c>
      <c r="DT16" s="164">
        <v>211.9</v>
      </c>
      <c r="DU16" s="168">
        <v>35020</v>
      </c>
      <c r="DV16" s="168">
        <v>380</v>
      </c>
      <c r="DW16" s="164">
        <v>3725</v>
      </c>
      <c r="DX16" s="168">
        <v>15.9</v>
      </c>
      <c r="DY16" s="168"/>
      <c r="DZ16" s="168"/>
      <c r="EA16" s="140">
        <v>85.55</v>
      </c>
      <c r="EB16" s="241">
        <v>105919365</v>
      </c>
      <c r="EC16" s="240">
        <v>854759.23199999996</v>
      </c>
      <c r="ED16" s="241">
        <v>1020</v>
      </c>
      <c r="EE16" s="241">
        <v>100299</v>
      </c>
      <c r="EF16" s="164">
        <v>146949.20000000001</v>
      </c>
      <c r="EG16" s="164">
        <v>1691.9</v>
      </c>
      <c r="EH16" s="146">
        <f>IF((RD[[#This Row],[33 kV_F3_Ex
Incomer1]]-DQ15)*1000&lt;0,0,(RD[[#This Row],[33 kV_F3_Ex
Incomer1]]-DQ15)*1000)</f>
        <v>132500</v>
      </c>
      <c r="EI16" s="146">
        <f>IF((RD[[#This Row],[34 kV_F3_Im
Incomer1]]-DR15)*1000&lt;0,0,(RD[[#This Row],[34 kV_F3_Im
Incomer1]]-DR15)*1000)</f>
        <v>599.99999999999432</v>
      </c>
      <c r="EJ16" s="146">
        <f>IF((RD[[#This Row],[33 kV_F4_Ex
Incomer2]]-DS15)*1000&lt;0,0,(RD[[#This Row],[33 kV_F4_Ex
Incomer2]]-DS15)*1000)</f>
        <v>125400.00000000146</v>
      </c>
      <c r="EK16" s="146">
        <f>IF((RD[[#This Row],[34 kV_F4_Im
Incomer2]]-DT15)*1000&lt;0,0,(RD[[#This Row],[34 kV_F4_Im
Incomer2]]-DT15)*1000)</f>
        <v>500</v>
      </c>
      <c r="EL16" s="146">
        <f>IF((RD[[#This Row],[33 kV_F5_Ex
Incomer3]]-DU15)*1000&lt;0,0,(RD[[#This Row],[33 kV_F5_Ex
Incomer3]]-DU15)*1000)</f>
        <v>162500</v>
      </c>
      <c r="EM16" s="146">
        <f>IF((RD[[#This Row],[34 kV_F5_Im
Incomer3]]-DV15)*1000&lt;0,0,(RD[[#This Row],[34 kV_F5_Im
Incomer3]]-DV15)*1000)</f>
        <v>899.99999999997726</v>
      </c>
      <c r="EN16" s="146">
        <f>IF((RD[[#This Row],[33 kV_F6_Ex
Incomer4]]-DW15)*1000&lt;0,0,(RD[[#This Row],[33 kV_F6_Ex
Incomer4]]-DW15)*1000)</f>
        <v>119199.99999999983</v>
      </c>
      <c r="EO16" s="146">
        <f>IF((RD[[#This Row],[33 kV_F6_Im
Incomer4]]-DX15)*1000&lt;0,0,(RD[[#This Row],[33 kV_F6_Im
Incomer4]]-DX15)*1000)</f>
        <v>599.99999999999966</v>
      </c>
      <c r="EP16" s="146">
        <f>IF((RD[[#This Row],[33 kV_F7_Ex
Incomer5]]-DY15)*1000&lt;0,0,(RD[[#This Row],[33 kV_F7_Ex
Incomer5]]-DY15)*1000)</f>
        <v>0</v>
      </c>
      <c r="EQ16" s="146">
        <f>IF((RD[[#This Row],[33 kV_F7_Im
Incomer5]]-DZ15)*1000&lt;0,0,(RD[[#This Row],[33 kV_F7_Im
Incomer5]]-DZ15)*1000)</f>
        <v>0</v>
      </c>
      <c r="ER16" s="146">
        <f>IF((RD[[#This Row],[33 kV_Aux Trafo]]-EA15)*1000&lt;0,0,(RD[[#This Row],[33 kV_Aux Trafo]]-EA15)*1000)</f>
        <v>369.99999999999034</v>
      </c>
      <c r="ES16" s="158">
        <f>IF((RD[[#This Row],[33kV_OG1_Ex_]]-EB15)*1&lt;0,0,(RD[[#This Row],[33kV_OG1_Ex_]]-EB15)*1)</f>
        <v>540181</v>
      </c>
      <c r="ET16" s="146">
        <f>IF((RD[[#This Row],[33kV_OG1_Im]]-EC15)*1&lt;0,0,(RD[[#This Row],[33kV_OG1_Im]]-EC15)*1)</f>
        <v>2808</v>
      </c>
      <c r="EU16" s="146">
        <f>IF((RD[[#This Row],[132kV_TX1_EX]]-ED15)*720&lt;=0,"",(RD[[#This Row],[132kV_TX1_EX]]-ED15)*720)</f>
        <v>2880</v>
      </c>
      <c r="EV16" s="146">
        <f>IF((RD[[#This Row],[132 kV_Tx1_Im]]-EE15)*720&lt;=0,0,(RD[[#This Row],[132 kV_Tx1_Im]]-EE15)*720)</f>
        <v>387360</v>
      </c>
      <c r="EW16" s="146">
        <f>IF((RD[[#This Row],[132kV_L1_Ex]]-EF15)*720&lt;=0,0,(RD[[#This Row],[132kV_L1_Ex]]-EF15)*720)</f>
        <v>538344.00000000838</v>
      </c>
      <c r="EX16" s="146">
        <f>IF((RD[[#This Row],[132kV_L1_Im]]-EG15)*720&lt;=0,0,(RD[[#This Row],[132kV_L1_Im]]-EG15)*720)</f>
        <v>3600</v>
      </c>
      <c r="EY16" s="242">
        <f>IFERROR(RD[[#This Row],[33kV_OG1_Ex (MWh)]]+RD[[#This Row],[33kV_OG1_Im (MWh)]],"")</f>
        <v>542989</v>
      </c>
      <c r="EZ16" s="148">
        <f>RD[[#This Row],[33kV_OG1_Ex (MWh)]]-RD[[#This Row],[33kV_OG1_Im (MWh)]]</f>
        <v>537373</v>
      </c>
      <c r="FA16" s="148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43">
        <f>IFERROR((RD[[#This Row],[Sunset Time (POA&lt;20 W/m2)]]-RD[[#This Row],[Sunrise Time (POA&gt;20 W/m2)]])*24,0)</f>
        <v>11.75</v>
      </c>
      <c r="FD16" s="244">
        <v>102</v>
      </c>
      <c r="FE16" t="s">
        <v>265</v>
      </c>
      <c r="FF16"/>
      <c r="FG16"/>
    </row>
    <row r="17" spans="1:163">
      <c r="A17" s="133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52">
        <v>0.27013888888888887</v>
      </c>
      <c r="G17" s="162">
        <v>0.76388888888888884</v>
      </c>
      <c r="H17" s="124">
        <v>8779</v>
      </c>
      <c r="I17" s="124">
        <v>8766.9</v>
      </c>
      <c r="J17" s="124">
        <v>8369.2000000000007</v>
      </c>
      <c r="K17" s="124">
        <v>8426</v>
      </c>
      <c r="L17" s="124">
        <v>8617</v>
      </c>
      <c r="M17" s="124">
        <v>8734.2999999999993</v>
      </c>
      <c r="N17" s="124">
        <v>8435.2000000000007</v>
      </c>
      <c r="O17" s="124">
        <v>9140.9</v>
      </c>
      <c r="P17" s="124">
        <v>8555.4</v>
      </c>
      <c r="Q17" s="124">
        <v>8444.4</v>
      </c>
      <c r="R17" s="124">
        <v>8718.2000000000007</v>
      </c>
      <c r="S17" s="124">
        <v>8712.7000000000007</v>
      </c>
      <c r="T17" s="124">
        <v>8871.9</v>
      </c>
      <c r="U17" s="124">
        <v>8730.9</v>
      </c>
      <c r="V17" s="124">
        <v>8804.5</v>
      </c>
      <c r="W17" s="124">
        <v>8633.7999999999993</v>
      </c>
      <c r="X17" s="203">
        <v>12147.3</v>
      </c>
      <c r="Y17" s="203">
        <v>13296.7</v>
      </c>
      <c r="Z17" s="203">
        <v>11945.7</v>
      </c>
      <c r="AA17" s="203">
        <v>12529.3</v>
      </c>
      <c r="AB17" s="203">
        <v>13059.2</v>
      </c>
      <c r="AC17" s="203">
        <v>8030</v>
      </c>
      <c r="AD17" s="203">
        <v>12369</v>
      </c>
      <c r="AE17" s="203">
        <v>12520.3</v>
      </c>
      <c r="AF17" s="203">
        <v>11890.8</v>
      </c>
      <c r="AG17" s="203">
        <v>12240</v>
      </c>
      <c r="AH17" s="203">
        <v>12264.5</v>
      </c>
      <c r="AI17" s="203">
        <v>12393.2</v>
      </c>
      <c r="AJ17" s="142">
        <v>10039.299999999999</v>
      </c>
      <c r="AK17" s="142">
        <v>10324.700000000001</v>
      </c>
      <c r="AL17" s="142">
        <v>9901.1</v>
      </c>
      <c r="AM17" s="142">
        <v>10192.700000000001</v>
      </c>
      <c r="AN17" s="142">
        <v>10236</v>
      </c>
      <c r="AO17" s="142">
        <v>10571.8</v>
      </c>
      <c r="AP17" s="142">
        <v>10391</v>
      </c>
      <c r="AQ17" s="142">
        <v>10261.1</v>
      </c>
      <c r="AR17" s="142">
        <v>8351.2999999999993</v>
      </c>
      <c r="AS17" s="142">
        <v>8428.9</v>
      </c>
      <c r="AT17" s="142">
        <v>8355.4</v>
      </c>
      <c r="AU17" s="142">
        <v>8378.7000000000007</v>
      </c>
      <c r="AV17" s="142">
        <v>8560.9</v>
      </c>
      <c r="AW17" s="142">
        <v>8489.7999999999993</v>
      </c>
      <c r="AX17" s="142">
        <v>11891</v>
      </c>
      <c r="AY17" s="142">
        <v>12969</v>
      </c>
      <c r="AZ17" s="142">
        <v>9527</v>
      </c>
      <c r="BA17" s="142">
        <v>11514</v>
      </c>
      <c r="BB17" s="142">
        <v>8099</v>
      </c>
      <c r="BC17" s="142">
        <v>5450</v>
      </c>
      <c r="BD17" s="142">
        <v>9467</v>
      </c>
      <c r="BE17" s="142">
        <v>11504</v>
      </c>
      <c r="BF17" s="142">
        <v>10430</v>
      </c>
      <c r="BG17" s="142">
        <v>11193</v>
      </c>
      <c r="BH17" s="142">
        <v>7137</v>
      </c>
      <c r="BI17" s="142">
        <v>4613</v>
      </c>
      <c r="BJ17" s="142">
        <v>6374</v>
      </c>
      <c r="BK17" s="142">
        <v>4745</v>
      </c>
      <c r="BL17" s="142">
        <v>7094</v>
      </c>
      <c r="BM17" s="142">
        <v>7047</v>
      </c>
      <c r="BN17" s="142">
        <v>6864</v>
      </c>
      <c r="BO17" s="142">
        <v>4374</v>
      </c>
      <c r="BP17" s="142">
        <v>5354</v>
      </c>
      <c r="BQ17" s="142">
        <v>3502.5</v>
      </c>
      <c r="BR17" s="142">
        <v>0</v>
      </c>
      <c r="BS17" s="142">
        <v>0</v>
      </c>
      <c r="BT17" s="142">
        <v>1765.8</v>
      </c>
      <c r="BU17" s="142">
        <v>825</v>
      </c>
      <c r="BV17" s="142"/>
      <c r="BW17" s="142"/>
      <c r="BX17" s="142"/>
      <c r="BY17" s="142"/>
      <c r="BZ17" s="142">
        <v>1312.6</v>
      </c>
      <c r="CA17" s="142">
        <v>1118</v>
      </c>
      <c r="CB17" s="142">
        <v>4670</v>
      </c>
      <c r="CC17" s="142">
        <v>6743</v>
      </c>
      <c r="CD17" s="59">
        <v>7.0734217833333304</v>
      </c>
      <c r="CE17" s="59"/>
      <c r="CF17" s="206">
        <v>6.8726599833333353</v>
      </c>
      <c r="CG17" s="206"/>
      <c r="CH17" s="206">
        <v>0.90686493333333273</v>
      </c>
      <c r="CI17" s="206"/>
      <c r="CJ17" s="59">
        <v>1.3100595666666666</v>
      </c>
      <c r="CK17" s="59"/>
      <c r="CL17" s="206">
        <v>34.802471111111082</v>
      </c>
      <c r="CM17" s="206"/>
      <c r="CN17" s="206">
        <v>48.381240888888932</v>
      </c>
      <c r="CO17" s="206"/>
      <c r="CP17" s="206">
        <v>20.884071111111076</v>
      </c>
      <c r="CQ17" s="206"/>
      <c r="CR17" s="59">
        <v>0</v>
      </c>
      <c r="CS17" s="59"/>
      <c r="CT17" s="206">
        <v>1.3233893333333344</v>
      </c>
      <c r="CU17" s="206"/>
      <c r="CV17" s="206">
        <v>3.4350000000000001</v>
      </c>
      <c r="CW17" s="258"/>
      <c r="CX17" s="204">
        <f>IFERROR(AVERAGEIF(RD[[#This Row],[IS1POA1 (KWh/m2)]:[IS7POA2 (KWh/m2)]],"&lt;&gt;0",RD[[#This Row],[IS1POA1 (KWh/m2)]:[IS7POA2 (KWh/m2)]]),"")</f>
        <v>7.0734217833333304</v>
      </c>
      <c r="CY17" s="204">
        <f>IFERROR(AVERAGEIF(RD[[#This Row],[IS1GHI1 (KWh/m2)]:[IS7GHI2 (KWh/m2)]],"&lt;&gt;0",RD[[#This Row],[IS1GHI1 (KWh/m2)]:[IS7GHI2 (KWh/m2)]]),"")</f>
        <v>6.8726599833333353</v>
      </c>
      <c r="CZ17" s="204">
        <f>IFERROR(AVERAGEIF(RD[[#This Row],[IS1POA_BS1 (KWh/m2)]:[IS7POA_BS2 (KWh/m2)]],"&lt;&gt;0",RD[[#This Row],[IS1POA_BS1 (KWh/m2)]:[IS7POA_BS2 (KWh/m2)]]),"")</f>
        <v>0.90686493333333273</v>
      </c>
      <c r="DA17" s="204">
        <f>IFERROR(AVERAGEIF(RD[[#This Row],[IS1GHI_BS1 (KWh/m2)]:[IS1GHI_BS1 (KWh/m2)2]],"&lt;&gt;0",RD[[#This Row],[IS1GHI_BS1 (KWh/m2)]:[IS1GHI_BS1 (KWh/m2)2]]),"")</f>
        <v>1.3100595666666666</v>
      </c>
      <c r="DB17" s="204">
        <f>IFERROR(AVERAGEIF(RD[[#This Row],[IS1AT1 (°C)]:[IS7AT2 (°C)]],"&lt;&gt;0",RD[[#This Row],[IS1AT1 (°C)]:[IS7AT2 (°C)]]),"")</f>
        <v>34.802471111111082</v>
      </c>
      <c r="DC17" s="204">
        <f>IFERROR(AVERAGEIF(RD[[#This Row],[IS1MT1 (°C)]:[IS7MT2 (°C)]],"&lt;&gt;0",RD[[#This Row],[IS1MT1 (°C)]:[IS7MT2 (°C)]]),"")</f>
        <v>48.381240888888932</v>
      </c>
      <c r="DD17" s="204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204">
        <f>IFERROR(AVERAGEIF(RD[[#This Row],[WS_Solar1_Avg (m/s)]:[IS7_WS_Solar1_Avg (m/s)]],"&lt;&gt;0",RD[[#This Row],[WS_Solar1_Avg (m/s)]:[IS7_WS_Solar1_Avg (m/s)]]),"")</f>
        <v>1.3233893333333344</v>
      </c>
      <c r="DG17" s="204">
        <f>IFERROR(AVERAGEIF(RD[[#This Row],[WS_Solar1_Max (m/s)]:[IS7_WS_Solar1_Max (m/s)]],"&lt;&gt;0",RD[[#This Row],[WS_Solar1_Max (m/s)]:[IS7_WS_Solar1_Max (m/s)]]),"")</f>
        <v>3.4350000000000001</v>
      </c>
      <c r="DH17" s="204">
        <f>SUM(RD[[#This Row],[IS1Inv1M1]:[IS4Inv4M2]])</f>
        <v>283426.3</v>
      </c>
      <c r="DI17" s="205">
        <f>SUM(RD[[#This Row],[IS7Inv1M1]]+RD[[#This Row],[IS7Inv2M1]])</f>
        <v>16780.199999999997</v>
      </c>
      <c r="DJ17" s="204">
        <f>SUM(RD[[#This Row],[IS5Inv1M1]:[IS5Inv2M2]])</f>
        <v>40457.800000000003</v>
      </c>
      <c r="DK17" s="204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86">
        <f>SUM(RD[[#This Row],[IS12Inv1M1]:[IS12Inv1M4]])</f>
        <v>20094.5</v>
      </c>
      <c r="DO17" s="286">
        <f>SUM(RD[[#This Row],[IS13Inv1M1]:[IS13Inv2M2]])</f>
        <v>2590.8000000000002</v>
      </c>
      <c r="DP17" s="204">
        <f>SUM(RD[[#This Row],[O2R15]:[O2R26]])</f>
        <v>591491.9</v>
      </c>
      <c r="DQ17" s="164">
        <v>35913.800000000003</v>
      </c>
      <c r="DR17" s="168">
        <v>199.3</v>
      </c>
      <c r="DS17" s="164">
        <v>30749.599999999999</v>
      </c>
      <c r="DT17" s="164">
        <v>212.1</v>
      </c>
      <c r="DU17" s="168">
        <v>35195.599999999999</v>
      </c>
      <c r="DV17" s="168">
        <v>380.4</v>
      </c>
      <c r="DW17" s="164">
        <v>3852.5</v>
      </c>
      <c r="DX17" s="168">
        <v>16.3</v>
      </c>
      <c r="DY17" s="168"/>
      <c r="DZ17" s="168"/>
      <c r="EA17" s="140">
        <v>85.81</v>
      </c>
      <c r="EB17" s="241">
        <v>106500956</v>
      </c>
      <c r="EC17" s="240">
        <v>856109.24800000002</v>
      </c>
      <c r="ED17" s="241">
        <v>1022</v>
      </c>
      <c r="EE17" s="241">
        <v>100878</v>
      </c>
      <c r="EF17" s="164">
        <v>147754.20000000001</v>
      </c>
      <c r="EG17" s="164">
        <v>1694.2</v>
      </c>
      <c r="EH17" s="146">
        <f>IF((RD[[#This Row],[33 kV_F3_Ex
Incomer1]]-DQ16)*1000&lt;0,0,(RD[[#This Row],[33 kV_F3_Ex
Incomer1]]-DQ16)*1000)</f>
        <v>143500</v>
      </c>
      <c r="EI17" s="146">
        <f>IF((RD[[#This Row],[34 kV_F3_Im
Incomer1]]-DR16)*1000&lt;0,0,(RD[[#This Row],[34 kV_F3_Im
Incomer1]]-DR16)*1000)</f>
        <v>200.00000000001705</v>
      </c>
      <c r="EJ17" s="146">
        <f>IF((RD[[#This Row],[33 kV_F4_Ex
Incomer2]]-DS16)*1000&lt;0,0,(RD[[#This Row],[33 kV_F4_Ex
Incomer2]]-DS16)*1000)</f>
        <v>134199.99999999709</v>
      </c>
      <c r="EK17" s="146">
        <f>IF((RD[[#This Row],[34 kV_F4_Im
Incomer2]]-DT16)*1000&lt;0,0,(RD[[#This Row],[34 kV_F4_Im
Incomer2]]-DT16)*1000)</f>
        <v>199.99999999998863</v>
      </c>
      <c r="EL17" s="146">
        <f>IF((RD[[#This Row],[33 kV_F5_Ex
Incomer3]]-DU16)*1000&lt;0,0,(RD[[#This Row],[33 kV_F5_Ex
Incomer3]]-DU16)*1000)</f>
        <v>175599.99999999854</v>
      </c>
      <c r="EM17" s="146">
        <f>IF((RD[[#This Row],[34 kV_F5_Im
Incomer3]]-DV16)*1000&lt;0,0,(RD[[#This Row],[34 kV_F5_Im
Incomer3]]-DV16)*1000)</f>
        <v>399.99999999997726</v>
      </c>
      <c r="EN17" s="146">
        <f>IF((RD[[#This Row],[33 kV_F6_Ex
Incomer4]]-DW16)*1000&lt;0,0,(RD[[#This Row],[33 kV_F6_Ex
Incomer4]]-DW16)*1000)</f>
        <v>127500</v>
      </c>
      <c r="EO17" s="146">
        <f>IF((RD[[#This Row],[33 kV_F6_Im
Incomer4]]-DX16)*1000&lt;0,0,(RD[[#This Row],[33 kV_F6_Im
Incomer4]]-DX16)*1000)</f>
        <v>400.00000000000034</v>
      </c>
      <c r="EP17" s="146">
        <f>IF((RD[[#This Row],[33 kV_F7_Ex
Incomer5]]-DY16)*1000&lt;0,0,(RD[[#This Row],[33 kV_F7_Ex
Incomer5]]-DY16)*1000)</f>
        <v>0</v>
      </c>
      <c r="EQ17" s="146">
        <f>IF((RD[[#This Row],[33 kV_F7_Im
Incomer5]]-DZ16)*1000&lt;0,0,(RD[[#This Row],[33 kV_F7_Im
Incomer5]]-DZ16)*1000)</f>
        <v>0</v>
      </c>
      <c r="ER17" s="146">
        <f>IF((RD[[#This Row],[33 kV_Aux Trafo]]-EA16)*1000&lt;0,0,(RD[[#This Row],[33 kV_Aux Trafo]]-EA16)*1000)</f>
        <v>260.00000000000512</v>
      </c>
      <c r="ES17" s="158">
        <f>IF((RD[[#This Row],[33kV_OG1_Ex_]]-EB16)*1&lt;0,0,(RD[[#This Row],[33kV_OG1_Ex_]]-EB16)*1)</f>
        <v>581591</v>
      </c>
      <c r="ET17" s="146">
        <f>IF((RD[[#This Row],[33kV_OG1_Im]]-EC16)*1&lt;0,0,(RD[[#This Row],[33kV_OG1_Im]]-EC16)*1)</f>
        <v>1350.0160000000615</v>
      </c>
      <c r="EU17" s="146">
        <f>IF((RD[[#This Row],[132kV_TX1_EX]]-ED16)*720&lt;=0,"",(RD[[#This Row],[132kV_TX1_EX]]-ED16)*720)</f>
        <v>1440</v>
      </c>
      <c r="EV17" s="146">
        <f>IF((RD[[#This Row],[132 kV_Tx1_Im]]-EE16)*720&lt;=0,0,(RD[[#This Row],[132 kV_Tx1_Im]]-EE16)*720)</f>
        <v>416880</v>
      </c>
      <c r="EW17" s="146">
        <f>IF((RD[[#This Row],[132kV_L1_Ex]]-EF16)*720&lt;=0,0,(RD[[#This Row],[132kV_L1_Ex]]-EF16)*720)</f>
        <v>579600</v>
      </c>
      <c r="EX17" s="146">
        <f>IF((RD[[#This Row],[132kV_L1_Im]]-EG16)*720&lt;=0,0,(RD[[#This Row],[132kV_L1_Im]]-EG16)*720)</f>
        <v>1655.9999999999673</v>
      </c>
      <c r="EY17" s="242">
        <f>IFERROR(RD[[#This Row],[33kV_OG1_Ex (MWh)]]+RD[[#This Row],[33kV_OG1_Im (MWh)]],"")</f>
        <v>582941.01600000006</v>
      </c>
      <c r="EZ17" s="148">
        <f>RD[[#This Row],[33kV_OG1_Ex (MWh)]]-RD[[#This Row],[33kV_OG1_Im (MWh)]]</f>
        <v>580240.98399999994</v>
      </c>
      <c r="FA17" s="148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43">
        <f>IFERROR((RD[[#This Row],[Sunset Time (POA&lt;20 W/m2)]]-RD[[#This Row],[Sunrise Time (POA&gt;20 W/m2)]])*24,0)</f>
        <v>11.85</v>
      </c>
      <c r="FD17" s="244">
        <v>102</v>
      </c>
      <c r="FE17" t="s">
        <v>265</v>
      </c>
      <c r="FF17"/>
      <c r="FG17"/>
    </row>
    <row r="18" spans="1:163">
      <c r="A18" s="133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52">
        <v>0.27083333333333331</v>
      </c>
      <c r="G18" s="162">
        <v>0.76527777777777772</v>
      </c>
      <c r="H18" s="124">
        <v>8884</v>
      </c>
      <c r="I18" s="124">
        <v>8858.5</v>
      </c>
      <c r="J18" s="124">
        <v>8441.7000000000007</v>
      </c>
      <c r="K18" s="124">
        <v>8540.4</v>
      </c>
      <c r="L18" s="124">
        <v>8713.2000000000007</v>
      </c>
      <c r="M18" s="124">
        <v>8832</v>
      </c>
      <c r="N18" s="124">
        <v>8519</v>
      </c>
      <c r="O18" s="124">
        <v>9265.7000000000007</v>
      </c>
      <c r="P18" s="124">
        <v>8631.6</v>
      </c>
      <c r="Q18" s="124">
        <v>8568.4</v>
      </c>
      <c r="R18" s="124">
        <v>8787.4</v>
      </c>
      <c r="S18" s="124">
        <v>8766</v>
      </c>
      <c r="T18" s="124">
        <v>8933.7999999999993</v>
      </c>
      <c r="U18" s="124">
        <v>8812.6</v>
      </c>
      <c r="V18" s="124">
        <v>8880.2000000000007</v>
      </c>
      <c r="W18" s="124">
        <v>8699.1</v>
      </c>
      <c r="X18" s="203">
        <v>12270.6</v>
      </c>
      <c r="Y18" s="203">
        <v>13420.9</v>
      </c>
      <c r="Z18" s="203">
        <v>12043</v>
      </c>
      <c r="AA18" s="203">
        <v>12628.5</v>
      </c>
      <c r="AB18" s="203">
        <v>13205.7</v>
      </c>
      <c r="AC18" s="203">
        <v>8105.5</v>
      </c>
      <c r="AD18" s="203">
        <v>12467.7</v>
      </c>
      <c r="AE18" s="203">
        <v>12627.3</v>
      </c>
      <c r="AF18" s="203">
        <v>12027.3</v>
      </c>
      <c r="AG18" s="203">
        <v>12349</v>
      </c>
      <c r="AH18" s="203">
        <v>12389.2</v>
      </c>
      <c r="AI18" s="203">
        <v>12482.7</v>
      </c>
      <c r="AJ18" s="142">
        <v>10256.799999999999</v>
      </c>
      <c r="AK18" s="142">
        <v>10515.9</v>
      </c>
      <c r="AL18" s="142">
        <v>10202.6</v>
      </c>
      <c r="AM18" s="142">
        <v>10244.299999999999</v>
      </c>
      <c r="AN18" s="142">
        <v>10324.799999999999</v>
      </c>
      <c r="AO18" s="142">
        <v>10649</v>
      </c>
      <c r="AP18" s="142">
        <v>10480.1</v>
      </c>
      <c r="AQ18" s="142">
        <v>10333.9</v>
      </c>
      <c r="AR18" s="142">
        <v>8428.7000000000007</v>
      </c>
      <c r="AS18" s="142">
        <v>8483.7999999999993</v>
      </c>
      <c r="AT18" s="142">
        <v>8485.7000000000007</v>
      </c>
      <c r="AU18" s="142">
        <v>8433.6</v>
      </c>
      <c r="AV18" s="142">
        <v>8702.2999999999993</v>
      </c>
      <c r="AW18" s="142">
        <v>8578.2999999999993</v>
      </c>
      <c r="AX18" s="142">
        <v>11986</v>
      </c>
      <c r="AY18" s="142">
        <v>13111</v>
      </c>
      <c r="AZ18" s="142">
        <v>9629</v>
      </c>
      <c r="BA18" s="142">
        <v>11593</v>
      </c>
      <c r="BB18" s="142">
        <v>11553</v>
      </c>
      <c r="BC18" s="142">
        <v>8957</v>
      </c>
      <c r="BD18" s="142">
        <v>9496</v>
      </c>
      <c r="BE18" s="142">
        <v>11524</v>
      </c>
      <c r="BF18" s="142">
        <v>10733</v>
      </c>
      <c r="BG18" s="142">
        <v>11224</v>
      </c>
      <c r="BH18" s="142">
        <v>7158</v>
      </c>
      <c r="BI18" s="142">
        <v>4624</v>
      </c>
      <c r="BJ18" s="142">
        <v>6637</v>
      </c>
      <c r="BK18" s="142">
        <v>5033</v>
      </c>
      <c r="BL18" s="142">
        <v>7133</v>
      </c>
      <c r="BM18" s="142">
        <v>7097</v>
      </c>
      <c r="BN18" s="142">
        <v>6970</v>
      </c>
      <c r="BO18" s="142">
        <v>4377</v>
      </c>
      <c r="BP18" s="142">
        <v>5649</v>
      </c>
      <c r="BQ18" s="142">
        <v>3324</v>
      </c>
      <c r="BR18" s="142">
        <v>0</v>
      </c>
      <c r="BS18" s="142">
        <v>0</v>
      </c>
      <c r="BT18" s="142">
        <v>1764</v>
      </c>
      <c r="BU18" s="142">
        <v>824</v>
      </c>
      <c r="BV18" s="142"/>
      <c r="BW18" s="142"/>
      <c r="BX18" s="142"/>
      <c r="BY18" s="142"/>
      <c r="BZ18" s="142">
        <v>1325</v>
      </c>
      <c r="CA18" s="142">
        <v>1129</v>
      </c>
      <c r="CB18" s="142">
        <v>4688</v>
      </c>
      <c r="CC18" s="142">
        <v>7260</v>
      </c>
      <c r="CD18" s="59">
        <v>7.0755978333333296</v>
      </c>
      <c r="CE18" s="59"/>
      <c r="CF18" s="206">
        <v>6.9105347333333302</v>
      </c>
      <c r="CG18" s="206"/>
      <c r="CH18" s="206">
        <v>0.903054466666667</v>
      </c>
      <c r="CI18" s="206"/>
      <c r="CJ18" s="59">
        <v>1.3228814166666651</v>
      </c>
      <c r="CK18" s="59"/>
      <c r="CL18" s="206">
        <v>32.857876480541414</v>
      </c>
      <c r="CM18" s="206"/>
      <c r="CN18" s="206">
        <v>45.95619543147204</v>
      </c>
      <c r="CO18" s="206"/>
      <c r="CP18" s="206">
        <v>28.471260575296082</v>
      </c>
      <c r="CQ18" s="206"/>
      <c r="CR18" s="59">
        <v>0</v>
      </c>
      <c r="CS18" s="59"/>
      <c r="CT18" s="206">
        <v>1.4104035532994941</v>
      </c>
      <c r="CU18" s="206"/>
      <c r="CV18" s="206">
        <v>3.3119999999999998</v>
      </c>
      <c r="CW18" s="258"/>
      <c r="CX18" s="204">
        <f>IFERROR(AVERAGEIF(RD[[#This Row],[IS1POA1 (KWh/m2)]:[IS7POA2 (KWh/m2)]],"&lt;&gt;0",RD[[#This Row],[IS1POA1 (KWh/m2)]:[IS7POA2 (KWh/m2)]]),"")</f>
        <v>7.0755978333333296</v>
      </c>
      <c r="CY18" s="204">
        <f>IFERROR(AVERAGEIF(RD[[#This Row],[IS1GHI1 (KWh/m2)]:[IS7GHI2 (KWh/m2)]],"&lt;&gt;0",RD[[#This Row],[IS1GHI1 (KWh/m2)]:[IS7GHI2 (KWh/m2)]]),"")</f>
        <v>6.9105347333333302</v>
      </c>
      <c r="CZ18" s="204">
        <f>IFERROR(AVERAGEIF(RD[[#This Row],[IS1POA_BS1 (KWh/m2)]:[IS7POA_BS2 (KWh/m2)]],"&lt;&gt;0",RD[[#This Row],[IS1POA_BS1 (KWh/m2)]:[IS7POA_BS2 (KWh/m2)]]),"")</f>
        <v>0.903054466666667</v>
      </c>
      <c r="DA18" s="204">
        <f>IFERROR(AVERAGEIF(RD[[#This Row],[IS1GHI_BS1 (KWh/m2)]:[IS1GHI_BS1 (KWh/m2)2]],"&lt;&gt;0",RD[[#This Row],[IS1GHI_BS1 (KWh/m2)]:[IS1GHI_BS1 (KWh/m2)2]]),"")</f>
        <v>1.3228814166666651</v>
      </c>
      <c r="DB18" s="204">
        <f>IFERROR(AVERAGEIF(RD[[#This Row],[IS1AT1 (°C)]:[IS7AT2 (°C)]],"&lt;&gt;0",RD[[#This Row],[IS1AT1 (°C)]:[IS7AT2 (°C)]]),"")</f>
        <v>32.857876480541414</v>
      </c>
      <c r="DC18" s="204">
        <f>IFERROR(AVERAGEIF(RD[[#This Row],[IS1MT1 (°C)]:[IS7MT2 (°C)]],"&lt;&gt;0",RD[[#This Row],[IS1MT1 (°C)]:[IS7MT2 (°C)]]),"")</f>
        <v>45.95619543147204</v>
      </c>
      <c r="DD18" s="204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204">
        <f>IFERROR(AVERAGEIF(RD[[#This Row],[WS_Solar1_Avg (m/s)]:[IS7_WS_Solar1_Avg (m/s)]],"&lt;&gt;0",RD[[#This Row],[WS_Solar1_Avg (m/s)]:[IS7_WS_Solar1_Avg (m/s)]]),"")</f>
        <v>1.4104035532994941</v>
      </c>
      <c r="DG18" s="204">
        <f>IFERROR(AVERAGEIF(RD[[#This Row],[WS_Solar1_Max (m/s)]:[IS7_WS_Solar1_Max (m/s)]],"&lt;&gt;0",RD[[#This Row],[WS_Solar1_Max (m/s)]:[IS7_WS_Solar1_Max (m/s)]]),"")</f>
        <v>3.3119999999999998</v>
      </c>
      <c r="DH18" s="204">
        <f>SUM(RD[[#This Row],[IS1Inv1M1]:[IS4Inv4M2]])</f>
        <v>286151</v>
      </c>
      <c r="DI18" s="205">
        <f>SUM(RD[[#This Row],[IS7Inv1M1]]+RD[[#This Row],[IS7Inv2M1]])</f>
        <v>16912.5</v>
      </c>
      <c r="DJ18" s="204">
        <f>SUM(RD[[#This Row],[IS5Inv1M1]:[IS5Inv2M2]])</f>
        <v>41219.599999999991</v>
      </c>
      <c r="DK18" s="204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86">
        <f>SUM(RD[[#This Row],[IS12Inv1M1]:[IS12Inv1M4]])</f>
        <v>20320</v>
      </c>
      <c r="DO18" s="286">
        <f>SUM(RD[[#This Row],[IS13Inv1M1]:[IS13Inv2M2]])</f>
        <v>2588</v>
      </c>
      <c r="DP18" s="204">
        <f>SUM(RD[[#This Row],[O2R15]:[O2R26]])</f>
        <v>605068.80000000005</v>
      </c>
      <c r="DQ18" s="164">
        <v>36058.699999999997</v>
      </c>
      <c r="DR18" s="168">
        <v>199.8</v>
      </c>
      <c r="DS18" s="164">
        <v>30885.5</v>
      </c>
      <c r="DT18" s="164">
        <v>212.6</v>
      </c>
      <c r="DU18" s="168">
        <v>35373.199999999997</v>
      </c>
      <c r="DV18" s="168">
        <v>381.2</v>
      </c>
      <c r="DW18" s="164">
        <v>3988.6</v>
      </c>
      <c r="DX18" s="168">
        <v>16.899999999999999</v>
      </c>
      <c r="DY18" s="168"/>
      <c r="DZ18" s="168"/>
      <c r="EA18" s="140">
        <v>86.13</v>
      </c>
      <c r="EB18" s="241">
        <v>107095990</v>
      </c>
      <c r="EC18" s="240">
        <v>858690.81599999999</v>
      </c>
      <c r="ED18" s="241">
        <v>1025</v>
      </c>
      <c r="EE18" s="241">
        <v>101471</v>
      </c>
      <c r="EF18" s="164">
        <v>148577.70000000001</v>
      </c>
      <c r="EG18" s="164">
        <v>1698.8</v>
      </c>
      <c r="EH18" s="146">
        <f>IF((RD[[#This Row],[33 kV_F3_Ex
Incomer1]]-DQ17)*1000&lt;0,0,(RD[[#This Row],[33 kV_F3_Ex
Incomer1]]-DQ17)*1000)</f>
        <v>144899.99999999418</v>
      </c>
      <c r="EI18" s="146">
        <f>IF((RD[[#This Row],[34 kV_F3_Im
Incomer1]]-DR17)*1000&lt;0,0,(RD[[#This Row],[34 kV_F3_Im
Incomer1]]-DR17)*1000)</f>
        <v>500</v>
      </c>
      <c r="EJ18" s="146">
        <f>IF((RD[[#This Row],[33 kV_F4_Ex
Incomer2]]-DS17)*1000&lt;0,0,(RD[[#This Row],[33 kV_F4_Ex
Incomer2]]-DS17)*1000)</f>
        <v>135900.00000000146</v>
      </c>
      <c r="EK18" s="146">
        <f>IF((RD[[#This Row],[34 kV_F4_Im
Incomer2]]-DT17)*1000&lt;0,0,(RD[[#This Row],[34 kV_F4_Im
Incomer2]]-DT17)*1000)</f>
        <v>500</v>
      </c>
      <c r="EL18" s="146">
        <f>IF((RD[[#This Row],[33 kV_F5_Ex
Incomer3]]-DU17)*1000&lt;0,0,(RD[[#This Row],[33 kV_F5_Ex
Incomer3]]-DU17)*1000)</f>
        <v>177599.99999999854</v>
      </c>
      <c r="EM18" s="146">
        <f>IF((RD[[#This Row],[34 kV_F5_Im
Incomer3]]-DV17)*1000&lt;0,0,(RD[[#This Row],[34 kV_F5_Im
Incomer3]]-DV17)*1000)</f>
        <v>800.00000000001137</v>
      </c>
      <c r="EN18" s="146">
        <f>IF((RD[[#This Row],[33 kV_F6_Ex
Incomer4]]-DW17)*1000&lt;0,0,(RD[[#This Row],[33 kV_F6_Ex
Incomer4]]-DW17)*1000)</f>
        <v>136099.99999999991</v>
      </c>
      <c r="EO18" s="146">
        <f>IF((RD[[#This Row],[33 kV_F6_Im
Incomer4]]-DX17)*1000&lt;0,0,(RD[[#This Row],[33 kV_F6_Im
Incomer4]]-DX17)*1000)</f>
        <v>599.99999999999784</v>
      </c>
      <c r="EP18" s="146">
        <f>IF((RD[[#This Row],[33 kV_F7_Ex
Incomer5]]-DY17)*1000&lt;0,0,(RD[[#This Row],[33 kV_F7_Ex
Incomer5]]-DY17)*1000)</f>
        <v>0</v>
      </c>
      <c r="EQ18" s="146">
        <f>IF((RD[[#This Row],[33 kV_F7_Im
Incomer5]]-DZ17)*1000&lt;0,0,(RD[[#This Row],[33 kV_F7_Im
Incomer5]]-DZ17)*1000)</f>
        <v>0</v>
      </c>
      <c r="ER18" s="146">
        <f>IF((RD[[#This Row],[33 kV_Aux Trafo]]-EA17)*1000&lt;0,0,(RD[[#This Row],[33 kV_Aux Trafo]]-EA17)*1000)</f>
        <v>319.99999999999318</v>
      </c>
      <c r="ES18" s="158">
        <f>IF((RD[[#This Row],[33kV_OG1_Ex_]]-EB17)*1&lt;0,0,(RD[[#This Row],[33kV_OG1_Ex_]]-EB17)*1)</f>
        <v>595034</v>
      </c>
      <c r="ET18" s="146">
        <f>IF((RD[[#This Row],[33kV_OG1_Im]]-EC17)*1&lt;0,0,(RD[[#This Row],[33kV_OG1_Im]]-EC17)*1)</f>
        <v>2581.5679999999702</v>
      </c>
      <c r="EU18" s="146">
        <f>IF((RD[[#This Row],[132kV_TX1_EX]]-ED17)*720&lt;=0,"",(RD[[#This Row],[132kV_TX1_EX]]-ED17)*720)</f>
        <v>2160</v>
      </c>
      <c r="EV18" s="146">
        <f>IF((RD[[#This Row],[132 kV_Tx1_Im]]-EE17)*720&lt;=0,0,(RD[[#This Row],[132 kV_Tx1_Im]]-EE17)*720)</f>
        <v>426960</v>
      </c>
      <c r="EW18" s="146">
        <f>IF((RD[[#This Row],[132kV_L1_Ex]]-EF17)*720&lt;=0,0,(RD[[#This Row],[132kV_L1_Ex]]-EF17)*720)</f>
        <v>592920</v>
      </c>
      <c r="EX18" s="146">
        <f>IF((RD[[#This Row],[132kV_L1_Im]]-EG17)*720&lt;=0,0,(RD[[#This Row],[132kV_L1_Im]]-EG17)*720)</f>
        <v>3311.9999999999345</v>
      </c>
      <c r="EY18" s="242">
        <f>IFERROR(RD[[#This Row],[33kV_OG1_Ex (MWh)]]+RD[[#This Row],[33kV_OG1_Im (MWh)]],"")</f>
        <v>597615.56799999997</v>
      </c>
      <c r="EZ18" s="148">
        <f>RD[[#This Row],[33kV_OG1_Ex (MWh)]]-RD[[#This Row],[33kV_OG1_Im (MWh)]]</f>
        <v>592452.43200000003</v>
      </c>
      <c r="FA18" s="148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43">
        <f>IFERROR((RD[[#This Row],[Sunset Time (POA&lt;20 W/m2)]]-RD[[#This Row],[Sunrise Time (POA&gt;20 W/m2)]])*24,0)</f>
        <v>11.866666666666665</v>
      </c>
      <c r="FD18" s="244">
        <v>102</v>
      </c>
      <c r="FE18" t="s">
        <v>268</v>
      </c>
      <c r="FF18"/>
      <c r="FG18"/>
    </row>
    <row r="19" spans="1:163">
      <c r="A19" s="133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52">
        <v>0.26944444444444443</v>
      </c>
      <c r="G19" s="162">
        <v>0.7680555555555556</v>
      </c>
      <c r="H19" s="124">
        <v>9054.7999999999993</v>
      </c>
      <c r="I19" s="124">
        <v>9025</v>
      </c>
      <c r="J19" s="124">
        <v>8571.1</v>
      </c>
      <c r="K19" s="124">
        <v>8711.4</v>
      </c>
      <c r="L19" s="124">
        <v>8854.7999999999993</v>
      </c>
      <c r="M19" s="124">
        <v>8972.9</v>
      </c>
      <c r="N19" s="124">
        <v>8652.2000000000007</v>
      </c>
      <c r="O19" s="124">
        <v>9410.4</v>
      </c>
      <c r="P19" s="124">
        <v>8743.9</v>
      </c>
      <c r="Q19" s="124">
        <v>8686.5</v>
      </c>
      <c r="R19" s="124">
        <v>8875.2000000000007</v>
      </c>
      <c r="S19" s="124">
        <v>8846.5</v>
      </c>
      <c r="T19" s="124">
        <v>9024.6</v>
      </c>
      <c r="U19" s="124">
        <v>8891.4</v>
      </c>
      <c r="V19" s="124">
        <v>8981.1</v>
      </c>
      <c r="W19" s="124">
        <v>8820</v>
      </c>
      <c r="X19" s="203">
        <v>12436.8</v>
      </c>
      <c r="Y19" s="203">
        <v>13510.8</v>
      </c>
      <c r="Z19" s="203">
        <v>12234.1</v>
      </c>
      <c r="AA19" s="203">
        <v>12800.7</v>
      </c>
      <c r="AB19" s="203">
        <v>13276.5</v>
      </c>
      <c r="AC19" s="203">
        <v>8331.1</v>
      </c>
      <c r="AD19" s="203">
        <v>12544.8</v>
      </c>
      <c r="AE19" s="203">
        <v>12712.9</v>
      </c>
      <c r="AF19" s="203">
        <v>12120</v>
      </c>
      <c r="AG19" s="203">
        <v>12453</v>
      </c>
      <c r="AH19" s="203">
        <v>12476.1</v>
      </c>
      <c r="AI19" s="203">
        <v>12585.9</v>
      </c>
      <c r="AJ19" s="142">
        <v>10360.5</v>
      </c>
      <c r="AK19" s="142">
        <v>10753</v>
      </c>
      <c r="AL19" s="142">
        <v>10379.5</v>
      </c>
      <c r="AM19" s="142">
        <v>10400.5</v>
      </c>
      <c r="AN19" s="142">
        <v>10492.2</v>
      </c>
      <c r="AO19" s="142">
        <v>10823</v>
      </c>
      <c r="AP19" s="142">
        <v>10643</v>
      </c>
      <c r="AQ19" s="142">
        <v>10503.6</v>
      </c>
      <c r="AR19" s="142">
        <v>8550.9</v>
      </c>
      <c r="AS19" s="142">
        <v>8612.9</v>
      </c>
      <c r="AT19" s="142">
        <v>8479.2000000000007</v>
      </c>
      <c r="AU19" s="142">
        <v>8576.7999999999993</v>
      </c>
      <c r="AV19" s="142">
        <v>8896.5</v>
      </c>
      <c r="AW19" s="142">
        <v>8707.9</v>
      </c>
      <c r="AX19" s="142">
        <v>12170</v>
      </c>
      <c r="AY19" s="142">
        <v>13314</v>
      </c>
      <c r="AZ19" s="142">
        <v>9811</v>
      </c>
      <c r="BA19" s="142">
        <v>11771</v>
      </c>
      <c r="BB19" s="142">
        <v>0</v>
      </c>
      <c r="BC19" s="142">
        <v>0</v>
      </c>
      <c r="BD19" s="142">
        <v>9322.1</v>
      </c>
      <c r="BE19" s="142">
        <v>11309.2</v>
      </c>
      <c r="BF19" s="142">
        <v>10655.7</v>
      </c>
      <c r="BG19" s="142">
        <v>11178.7</v>
      </c>
      <c r="BH19" s="142">
        <v>7487.2</v>
      </c>
      <c r="BI19" s="142">
        <v>4550.7</v>
      </c>
      <c r="BJ19" s="142">
        <v>6810</v>
      </c>
      <c r="BK19" s="142">
        <v>4999</v>
      </c>
      <c r="BL19" s="142">
        <v>7045</v>
      </c>
      <c r="BM19" s="142">
        <v>6950</v>
      </c>
      <c r="BN19" s="142">
        <v>6917</v>
      </c>
      <c r="BO19" s="142">
        <v>4325</v>
      </c>
      <c r="BP19" s="142">
        <v>5659</v>
      </c>
      <c r="BQ19" s="142">
        <v>3292</v>
      </c>
      <c r="BR19" s="142">
        <v>0</v>
      </c>
      <c r="BS19" s="142">
        <v>0</v>
      </c>
      <c r="BT19" s="142">
        <v>1482</v>
      </c>
      <c r="BU19" s="142">
        <v>692</v>
      </c>
      <c r="BV19" s="142"/>
      <c r="BW19" s="142"/>
      <c r="BX19" s="142"/>
      <c r="BY19" s="142"/>
      <c r="BZ19" s="142">
        <v>1326</v>
      </c>
      <c r="CA19" s="142">
        <v>1134</v>
      </c>
      <c r="CB19" s="142">
        <v>4679</v>
      </c>
      <c r="CC19" s="142">
        <v>7195</v>
      </c>
      <c r="CD19" s="59">
        <v>7.132342966666652</v>
      </c>
      <c r="CE19" s="59"/>
      <c r="CF19" s="206">
        <v>6.9940562999999969</v>
      </c>
      <c r="CG19" s="206"/>
      <c r="CH19" s="206">
        <v>0.88438691666666613</v>
      </c>
      <c r="CI19" s="206"/>
      <c r="CJ19" s="59">
        <v>1.3164961666666657</v>
      </c>
      <c r="CK19" s="59"/>
      <c r="CL19" s="206">
        <v>30.362980599647294</v>
      </c>
      <c r="CM19" s="206"/>
      <c r="CN19" s="206">
        <v>44.854952380952348</v>
      </c>
      <c r="CO19" s="206"/>
      <c r="CP19" s="206">
        <v>38.916754850088168</v>
      </c>
      <c r="CQ19" s="206"/>
      <c r="CR19" s="59">
        <v>0</v>
      </c>
      <c r="CS19" s="59"/>
      <c r="CT19" s="206">
        <v>1.3114761904761902</v>
      </c>
      <c r="CU19" s="206"/>
      <c r="CV19" s="206">
        <v>2.9550000000000001</v>
      </c>
      <c r="CW19" s="258"/>
      <c r="CX19" s="204">
        <f>IFERROR(AVERAGEIF(RD[[#This Row],[IS1POA1 (KWh/m2)]:[IS7POA2 (KWh/m2)]],"&lt;&gt;0",RD[[#This Row],[IS1POA1 (KWh/m2)]:[IS7POA2 (KWh/m2)]]),"")</f>
        <v>7.132342966666652</v>
      </c>
      <c r="CY19" s="204">
        <f>IFERROR(AVERAGEIF(RD[[#This Row],[IS1GHI1 (KWh/m2)]:[IS7GHI2 (KWh/m2)]],"&lt;&gt;0",RD[[#This Row],[IS1GHI1 (KWh/m2)]:[IS7GHI2 (KWh/m2)]]),"")</f>
        <v>6.9940562999999969</v>
      </c>
      <c r="CZ19" s="204">
        <f>IFERROR(AVERAGEIF(RD[[#This Row],[IS1POA_BS1 (KWh/m2)]:[IS7POA_BS2 (KWh/m2)]],"&lt;&gt;0",RD[[#This Row],[IS1POA_BS1 (KWh/m2)]:[IS7POA_BS2 (KWh/m2)]]),"")</f>
        <v>0.88438691666666613</v>
      </c>
      <c r="DA19" s="204">
        <f>IFERROR(AVERAGEIF(RD[[#This Row],[IS1GHI_BS1 (KWh/m2)]:[IS1GHI_BS1 (KWh/m2)2]],"&lt;&gt;0",RD[[#This Row],[IS1GHI_BS1 (KWh/m2)]:[IS1GHI_BS1 (KWh/m2)2]]),"")</f>
        <v>1.3164961666666657</v>
      </c>
      <c r="DB19" s="204">
        <f>IFERROR(AVERAGEIF(RD[[#This Row],[IS1AT1 (°C)]:[IS7AT2 (°C)]],"&lt;&gt;0",RD[[#This Row],[IS1AT1 (°C)]:[IS7AT2 (°C)]]),"")</f>
        <v>30.362980599647294</v>
      </c>
      <c r="DC19" s="204">
        <f>IFERROR(AVERAGEIF(RD[[#This Row],[IS1MT1 (°C)]:[IS7MT2 (°C)]],"&lt;&gt;0",RD[[#This Row],[IS1MT1 (°C)]:[IS7MT2 (°C)]]),"")</f>
        <v>44.854952380952348</v>
      </c>
      <c r="DD19" s="204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204">
        <f>IFERROR(AVERAGEIF(RD[[#This Row],[WS_Solar1_Avg (m/s)]:[IS7_WS_Solar1_Avg (m/s)]],"&lt;&gt;0",RD[[#This Row],[WS_Solar1_Avg (m/s)]:[IS7_WS_Solar1_Avg (m/s)]]),"")</f>
        <v>1.3114761904761902</v>
      </c>
      <c r="DG19" s="204">
        <f>IFERROR(AVERAGEIF(RD[[#This Row],[WS_Solar1_Max (m/s)]:[IS7_WS_Solar1_Max (m/s)]],"&lt;&gt;0",RD[[#This Row],[WS_Solar1_Max (m/s)]:[IS7_WS_Solar1_Max (m/s)]]),"")</f>
        <v>2.9550000000000001</v>
      </c>
      <c r="DH19" s="204">
        <f>SUM(RD[[#This Row],[IS1Inv1M1]:[IS4Inv4M2]])</f>
        <v>289604.5</v>
      </c>
      <c r="DI19" s="205">
        <f>SUM(RD[[#This Row],[IS7Inv1M1]]+RD[[#This Row],[IS7Inv2M1]])</f>
        <v>17163.8</v>
      </c>
      <c r="DJ19" s="204">
        <f>SUM(RD[[#This Row],[IS5Inv1M1]:[IS5Inv2M2]])</f>
        <v>41893.5</v>
      </c>
      <c r="DK19" s="204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86">
        <f>SUM(RD[[#This Row],[IS12Inv1M1]:[IS12Inv1M4]])</f>
        <v>20193</v>
      </c>
      <c r="DO19" s="286">
        <f>SUM(RD[[#This Row],[IS13Inv1M1]:[IS13Inv2M2]])</f>
        <v>2174</v>
      </c>
      <c r="DP19" s="204">
        <f>SUM(RD[[#This Row],[O2R15]:[O2R26]])</f>
        <v>589858.6</v>
      </c>
      <c r="DQ19" s="164">
        <v>36205</v>
      </c>
      <c r="DR19" s="168">
        <v>200.1</v>
      </c>
      <c r="DS19" s="164">
        <v>31023.7</v>
      </c>
      <c r="DT19" s="164">
        <v>212.8</v>
      </c>
      <c r="DU19" s="168">
        <v>35553.5</v>
      </c>
      <c r="DV19" s="168">
        <v>381.7</v>
      </c>
      <c r="DW19" s="164">
        <v>4106.7</v>
      </c>
      <c r="DX19" s="168">
        <v>17.2</v>
      </c>
      <c r="DY19" s="168"/>
      <c r="DZ19" s="168"/>
      <c r="EA19" s="140">
        <v>86.37</v>
      </c>
      <c r="EB19" s="241">
        <v>107679096</v>
      </c>
      <c r="EC19" s="240">
        <v>860142.78399999999</v>
      </c>
      <c r="ED19" s="241">
        <v>1027</v>
      </c>
      <c r="EE19" s="241">
        <v>102052</v>
      </c>
      <c r="EF19" s="164">
        <v>149384.79999999999</v>
      </c>
      <c r="EG19" s="164">
        <v>1701.3</v>
      </c>
      <c r="EH19" s="146">
        <f>IF((RD[[#This Row],[33 kV_F3_Ex
Incomer1]]-DQ18)*1000&lt;0,0,(RD[[#This Row],[33 kV_F3_Ex
Incomer1]]-DQ18)*1000)</f>
        <v>146300.00000000291</v>
      </c>
      <c r="EI19" s="146">
        <f>IF((RD[[#This Row],[34 kV_F3_Im
Incomer1]]-DR18)*1000&lt;0,0,(RD[[#This Row],[34 kV_F3_Im
Incomer1]]-DR18)*1000)</f>
        <v>299.99999999998295</v>
      </c>
      <c r="EJ19" s="146">
        <f>IF((RD[[#This Row],[33 kV_F4_Ex
Incomer2]]-DS18)*1000&lt;0,0,(RD[[#This Row],[33 kV_F4_Ex
Incomer2]]-DS18)*1000)</f>
        <v>138200.00000000073</v>
      </c>
      <c r="EK19" s="146">
        <f>IF((RD[[#This Row],[34 kV_F4_Im
Incomer2]]-DT18)*1000&lt;0,0,(RD[[#This Row],[34 kV_F4_Im
Incomer2]]-DT18)*1000)</f>
        <v>200.00000000001705</v>
      </c>
      <c r="EL19" s="146">
        <f>IF((RD[[#This Row],[33 kV_F5_Ex
Incomer3]]-DU18)*1000&lt;0,0,(RD[[#This Row],[33 kV_F5_Ex
Incomer3]]-DU18)*1000)</f>
        <v>180300.00000000291</v>
      </c>
      <c r="EM19" s="146">
        <f>IF((RD[[#This Row],[34 kV_F5_Im
Incomer3]]-DV18)*1000&lt;0,0,(RD[[#This Row],[34 kV_F5_Im
Incomer3]]-DV18)*1000)</f>
        <v>500</v>
      </c>
      <c r="EN19" s="146">
        <f>IF((RD[[#This Row],[33 kV_F6_Ex
Incomer4]]-DW18)*1000&lt;0,0,(RD[[#This Row],[33 kV_F6_Ex
Incomer4]]-DW18)*1000)</f>
        <v>118099.99999999991</v>
      </c>
      <c r="EO19" s="146">
        <f>IF((RD[[#This Row],[33 kV_F6_Im
Incomer4]]-DX18)*1000&lt;0,0,(RD[[#This Row],[33 kV_F6_Im
Incomer4]]-DX18)*1000)</f>
        <v>300.00000000000068</v>
      </c>
      <c r="EP19" s="146">
        <f>IF((RD[[#This Row],[33 kV_F7_Ex
Incomer5]]-DY18)*1000&lt;0,0,(RD[[#This Row],[33 kV_F7_Ex
Incomer5]]-DY18)*1000)</f>
        <v>0</v>
      </c>
      <c r="EQ19" s="146">
        <f>IF((RD[[#This Row],[33 kV_F7_Im
Incomer5]]-DZ18)*1000&lt;0,0,(RD[[#This Row],[33 kV_F7_Im
Incomer5]]-DZ18)*1000)</f>
        <v>0</v>
      </c>
      <c r="ER19" s="146">
        <f>IF((RD[[#This Row],[33 kV_Aux Trafo]]-EA18)*1000&lt;0,0,(RD[[#This Row],[33 kV_Aux Trafo]]-EA18)*1000)</f>
        <v>240.00000000000909</v>
      </c>
      <c r="ES19" s="158">
        <f>IF((RD[[#This Row],[33kV_OG1_Ex_]]-EB18)*1&lt;0,0,(RD[[#This Row],[33kV_OG1_Ex_]]-EB18)*1)</f>
        <v>583106</v>
      </c>
      <c r="ET19" s="146">
        <f>IF((RD[[#This Row],[33kV_OG1_Im]]-EC18)*1&lt;0,0,(RD[[#This Row],[33kV_OG1_Im]]-EC18)*1)</f>
        <v>1451.9679999999935</v>
      </c>
      <c r="EU19" s="146">
        <f>IF((RD[[#This Row],[132kV_TX1_EX]]-ED18)*720&lt;=0,"",(RD[[#This Row],[132kV_TX1_EX]]-ED18)*720)</f>
        <v>1440</v>
      </c>
      <c r="EV19" s="146">
        <f>IF((RD[[#This Row],[132 kV_Tx1_Im]]-EE18)*720&lt;=0,0,(RD[[#This Row],[132 kV_Tx1_Im]]-EE18)*720)</f>
        <v>418320</v>
      </c>
      <c r="EW19" s="146">
        <f>IF((RD[[#This Row],[132kV_L1_Ex]]-EF18)*720&lt;=0,0,(RD[[#This Row],[132kV_L1_Ex]]-EF18)*720)</f>
        <v>581111.99999998324</v>
      </c>
      <c r="EX19" s="146">
        <f>IF((RD[[#This Row],[132kV_L1_Im]]-EG18)*720&lt;=0,0,(RD[[#This Row],[132kV_L1_Im]]-EG18)*720)</f>
        <v>1800</v>
      </c>
      <c r="EY19" s="242">
        <f>IFERROR(RD[[#This Row],[33kV_OG1_Ex (MWh)]]+RD[[#This Row],[33kV_OG1_Im (MWh)]],"")</f>
        <v>584557.96799999999</v>
      </c>
      <c r="EZ19" s="148">
        <f>RD[[#This Row],[33kV_OG1_Ex (MWh)]]-RD[[#This Row],[33kV_OG1_Im (MWh)]]</f>
        <v>581654.03200000001</v>
      </c>
      <c r="FA19" s="148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43">
        <f>IFERROR((RD[[#This Row],[Sunset Time (POA&lt;20 W/m2)]]-RD[[#This Row],[Sunrise Time (POA&gt;20 W/m2)]])*24,0)</f>
        <v>11.966666666666669</v>
      </c>
      <c r="FD19" s="244">
        <v>102</v>
      </c>
      <c r="FE19" t="s">
        <v>270</v>
      </c>
      <c r="FF19"/>
      <c r="FG19"/>
    </row>
    <row r="20" spans="1:163">
      <c r="A20" s="133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52">
        <v>0.2673611111111111</v>
      </c>
      <c r="G20" s="162">
        <v>0.76666666666666672</v>
      </c>
      <c r="H20" s="124">
        <v>8838.6</v>
      </c>
      <c r="I20" s="124">
        <v>8816.1</v>
      </c>
      <c r="J20" s="124">
        <v>8389.5</v>
      </c>
      <c r="K20" s="124">
        <v>8507.7000000000007</v>
      </c>
      <c r="L20" s="124">
        <v>8727.9</v>
      </c>
      <c r="M20" s="124">
        <v>8774.7999999999993</v>
      </c>
      <c r="N20" s="124">
        <v>8472.2999999999993</v>
      </c>
      <c r="O20" s="124">
        <v>9170.5</v>
      </c>
      <c r="P20" s="124">
        <v>8511.7999999999993</v>
      </c>
      <c r="Q20" s="124">
        <v>8486.5</v>
      </c>
      <c r="R20" s="124">
        <v>8700.2999999999993</v>
      </c>
      <c r="S20" s="124">
        <v>8678.2999999999993</v>
      </c>
      <c r="T20" s="124">
        <v>8798.7000000000007</v>
      </c>
      <c r="U20" s="124">
        <v>8695</v>
      </c>
      <c r="V20" s="124">
        <v>8762.1</v>
      </c>
      <c r="W20" s="124">
        <v>8607.4</v>
      </c>
      <c r="X20" s="203">
        <v>12285.1</v>
      </c>
      <c r="Y20" s="203">
        <v>13278.4</v>
      </c>
      <c r="Z20" s="203">
        <v>12035.8</v>
      </c>
      <c r="AA20" s="203">
        <v>12486.9</v>
      </c>
      <c r="AB20" s="203">
        <v>13138.4</v>
      </c>
      <c r="AC20" s="203">
        <v>8303.1</v>
      </c>
      <c r="AD20" s="203">
        <v>12551.4</v>
      </c>
      <c r="AE20" s="203">
        <v>12597.2</v>
      </c>
      <c r="AF20" s="203">
        <v>12047</v>
      </c>
      <c r="AG20" s="203">
        <v>12324</v>
      </c>
      <c r="AH20" s="203">
        <v>12379.1</v>
      </c>
      <c r="AI20" s="203">
        <v>12481.1</v>
      </c>
      <c r="AJ20" s="142">
        <v>10282.6</v>
      </c>
      <c r="AK20" s="142">
        <v>10592.3</v>
      </c>
      <c r="AL20" s="142">
        <v>10256.6</v>
      </c>
      <c r="AM20" s="142">
        <v>10291.799999999999</v>
      </c>
      <c r="AN20" s="142">
        <v>10255.4</v>
      </c>
      <c r="AO20" s="142">
        <v>10559.4</v>
      </c>
      <c r="AP20" s="142">
        <v>10395.5</v>
      </c>
      <c r="AQ20" s="142">
        <v>10248.9</v>
      </c>
      <c r="AR20" s="142">
        <v>8343.4</v>
      </c>
      <c r="AS20" s="142">
        <v>8427</v>
      </c>
      <c r="AT20" s="142">
        <v>8277.2000000000007</v>
      </c>
      <c r="AU20" s="142">
        <v>8509.4</v>
      </c>
      <c r="AV20" s="142">
        <v>8697</v>
      </c>
      <c r="AW20" s="142">
        <v>8522.7000000000007</v>
      </c>
      <c r="AX20" s="142">
        <v>11931</v>
      </c>
      <c r="AY20" s="142">
        <v>13033.9</v>
      </c>
      <c r="AZ20" s="142">
        <v>9608.7000000000007</v>
      </c>
      <c r="BA20" s="142">
        <v>11530.7</v>
      </c>
      <c r="BB20" s="142">
        <v>0</v>
      </c>
      <c r="BC20" s="142">
        <v>0</v>
      </c>
      <c r="BD20" s="142">
        <v>9402</v>
      </c>
      <c r="BE20" s="142">
        <v>11317.8</v>
      </c>
      <c r="BF20" s="142">
        <v>10829.4</v>
      </c>
      <c r="BG20" s="142">
        <v>12147</v>
      </c>
      <c r="BH20" s="142">
        <v>7432.8</v>
      </c>
      <c r="BI20" s="142">
        <v>4576</v>
      </c>
      <c r="BJ20" s="142">
        <v>6828.1</v>
      </c>
      <c r="BK20" s="142">
        <v>5047</v>
      </c>
      <c r="BL20" s="142">
        <v>7137.8</v>
      </c>
      <c r="BM20" s="142">
        <v>7103.2</v>
      </c>
      <c r="BN20" s="142">
        <v>6987</v>
      </c>
      <c r="BO20" s="142">
        <v>4235</v>
      </c>
      <c r="BP20" s="142">
        <v>5722</v>
      </c>
      <c r="BQ20" s="142">
        <v>3379</v>
      </c>
      <c r="BR20" s="142">
        <v>0</v>
      </c>
      <c r="BS20" s="142">
        <v>0</v>
      </c>
      <c r="BT20" s="142">
        <v>1848</v>
      </c>
      <c r="BU20" s="142">
        <v>863</v>
      </c>
      <c r="BV20" s="142"/>
      <c r="BW20" s="142"/>
      <c r="BX20" s="142"/>
      <c r="BY20" s="142"/>
      <c r="BZ20" s="142">
        <v>1353</v>
      </c>
      <c r="CA20" s="142">
        <v>1140</v>
      </c>
      <c r="CB20" s="142">
        <v>4745</v>
      </c>
      <c r="CC20" s="142">
        <v>7325</v>
      </c>
      <c r="CD20" s="59">
        <v>7.2977119500000018</v>
      </c>
      <c r="CE20" s="59"/>
      <c r="CF20" s="206">
        <v>7.1595291833333459</v>
      </c>
      <c r="CG20" s="206"/>
      <c r="CH20" s="206">
        <v>0.93395558333333362</v>
      </c>
      <c r="CI20" s="206"/>
      <c r="CJ20" s="59">
        <v>1.3927207166666655</v>
      </c>
      <c r="CK20" s="59"/>
      <c r="CL20" s="206">
        <v>31.349423076923117</v>
      </c>
      <c r="CM20" s="206"/>
      <c r="CN20" s="206">
        <v>44.587847692307705</v>
      </c>
      <c r="CO20" s="206"/>
      <c r="CP20" s="206">
        <v>38.07503846153849</v>
      </c>
      <c r="CQ20" s="206"/>
      <c r="CR20" s="59">
        <v>0</v>
      </c>
      <c r="CS20" s="59"/>
      <c r="CT20" s="206">
        <v>1.2587630769230778</v>
      </c>
      <c r="CU20" s="206"/>
      <c r="CV20" s="206">
        <v>2.5920000000000001</v>
      </c>
      <c r="CW20" s="258"/>
      <c r="CX20" s="204">
        <f>IFERROR(AVERAGEIF(RD[[#This Row],[IS1POA1 (KWh/m2)]:[IS7POA2 (KWh/m2)]],"&lt;&gt;0",RD[[#This Row],[IS1POA1 (KWh/m2)]:[IS7POA2 (KWh/m2)]]),"")</f>
        <v>7.2977119500000018</v>
      </c>
      <c r="CY20" s="204">
        <f>IFERROR(AVERAGEIF(RD[[#This Row],[IS1GHI1 (KWh/m2)]:[IS7GHI2 (KWh/m2)]],"&lt;&gt;0",RD[[#This Row],[IS1GHI1 (KWh/m2)]:[IS7GHI2 (KWh/m2)]]),"")</f>
        <v>7.1595291833333459</v>
      </c>
      <c r="CZ20" s="204">
        <f>IFERROR(AVERAGEIF(RD[[#This Row],[IS1POA_BS1 (KWh/m2)]:[IS7POA_BS2 (KWh/m2)]],"&lt;&gt;0",RD[[#This Row],[IS1POA_BS1 (KWh/m2)]:[IS7POA_BS2 (KWh/m2)]]),"")</f>
        <v>0.93395558333333362</v>
      </c>
      <c r="DA20" s="204">
        <f>IFERROR(AVERAGEIF(RD[[#This Row],[IS1GHI_BS1 (KWh/m2)]:[IS1GHI_BS1 (KWh/m2)2]],"&lt;&gt;0",RD[[#This Row],[IS1GHI_BS1 (KWh/m2)]:[IS1GHI_BS1 (KWh/m2)2]]),"")</f>
        <v>1.3927207166666655</v>
      </c>
      <c r="DB20" s="204">
        <f>IFERROR(AVERAGEIF(RD[[#This Row],[IS1AT1 (°C)]:[IS7AT2 (°C)]],"&lt;&gt;0",RD[[#This Row],[IS1AT1 (°C)]:[IS7AT2 (°C)]]),"")</f>
        <v>31.349423076923117</v>
      </c>
      <c r="DC20" s="204">
        <f>IFERROR(AVERAGEIF(RD[[#This Row],[IS1MT1 (°C)]:[IS7MT2 (°C)]],"&lt;&gt;0",RD[[#This Row],[IS1MT1 (°C)]:[IS7MT2 (°C)]]),"")</f>
        <v>44.587847692307705</v>
      </c>
      <c r="DD20" s="204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204">
        <f>IFERROR(AVERAGEIF(RD[[#This Row],[WS_Solar1_Avg (m/s)]:[IS7_WS_Solar1_Avg (m/s)]],"&lt;&gt;0",RD[[#This Row],[WS_Solar1_Avg (m/s)]:[IS7_WS_Solar1_Avg (m/s)]]),"")</f>
        <v>1.2587630769230778</v>
      </c>
      <c r="DG20" s="204">
        <f>IFERROR(AVERAGEIF(RD[[#This Row],[WS_Solar1_Max (m/s)]:[IS7_WS_Solar1_Max (m/s)]],"&lt;&gt;0",RD[[#This Row],[WS_Solar1_Max (m/s)]:[IS7_WS_Solar1_Max (m/s)]]),"")</f>
        <v>2.5920000000000001</v>
      </c>
      <c r="DH20" s="204">
        <f>SUM(RD[[#This Row],[IS1Inv1M1]:[IS4Inv4M2]])</f>
        <v>284845</v>
      </c>
      <c r="DI20" s="205">
        <f>SUM(RD[[#This Row],[IS7Inv1M1]]+RD[[#This Row],[IS7Inv2M1]])</f>
        <v>16770.400000000001</v>
      </c>
      <c r="DJ20" s="204">
        <f>SUM(RD[[#This Row],[IS5Inv1M1]:[IS5Inv2M2]])</f>
        <v>41423.300000000003</v>
      </c>
      <c r="DK20" s="204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86">
        <f>SUM(RD[[#This Row],[IS12Inv1M1]:[IS12Inv1M4]])</f>
        <v>20323</v>
      </c>
      <c r="DO20" s="286">
        <f>SUM(RD[[#This Row],[IS13Inv1M1]:[IS13Inv2M2]])</f>
        <v>2711</v>
      </c>
      <c r="DP20" s="204">
        <f>SUM(RD[[#This Row],[O2R15]:[O2R26]])</f>
        <v>584026.60000000009</v>
      </c>
      <c r="DQ20" s="164">
        <v>36349.800000000003</v>
      </c>
      <c r="DR20" s="168">
        <v>200.6</v>
      </c>
      <c r="DS20" s="164">
        <v>31158.400000000001</v>
      </c>
      <c r="DT20" s="164">
        <v>213.2</v>
      </c>
      <c r="DU20" s="168">
        <v>35730.400000000001</v>
      </c>
      <c r="DV20" s="168">
        <v>382.5</v>
      </c>
      <c r="DW20" s="164">
        <v>4225.3</v>
      </c>
      <c r="DX20" s="168">
        <v>17.8</v>
      </c>
      <c r="DY20" s="168"/>
      <c r="DZ20" s="168"/>
      <c r="EA20" s="140">
        <v>86.66</v>
      </c>
      <c r="EB20" s="241">
        <v>108254601</v>
      </c>
      <c r="EC20" s="240">
        <v>862512.89599999995</v>
      </c>
      <c r="ED20" s="241">
        <v>1030</v>
      </c>
      <c r="EE20" s="241">
        <v>102625</v>
      </c>
      <c r="EF20" s="164">
        <v>150181.4</v>
      </c>
      <c r="EG20" s="164">
        <v>1705.5</v>
      </c>
      <c r="EH20" s="146">
        <f>IF((RD[[#This Row],[33 kV_F3_Ex
Incomer1]]-DQ19)*1000&lt;0,0,(RD[[#This Row],[33 kV_F3_Ex
Incomer1]]-DQ19)*1000)</f>
        <v>144800.00000000291</v>
      </c>
      <c r="EI20" s="146">
        <f>IF((RD[[#This Row],[34 kV_F3_Im
Incomer1]]-DR19)*1000&lt;0,0,(RD[[#This Row],[34 kV_F3_Im
Incomer1]]-DR19)*1000)</f>
        <v>500</v>
      </c>
      <c r="EJ20" s="146">
        <f>IF((RD[[#This Row],[33 kV_F4_Ex
Incomer2]]-DS19)*1000&lt;0,0,(RD[[#This Row],[33 kV_F4_Ex
Incomer2]]-DS19)*1000)</f>
        <v>134700.00000000073</v>
      </c>
      <c r="EK20" s="146">
        <f>IF((RD[[#This Row],[34 kV_F4_Im
Incomer2]]-DT19)*1000&lt;0,0,(RD[[#This Row],[34 kV_F4_Im
Incomer2]]-DT19)*1000)</f>
        <v>399.99999999997726</v>
      </c>
      <c r="EL20" s="146">
        <f>IF((RD[[#This Row],[33 kV_F5_Ex
Incomer3]]-DU19)*1000&lt;0,0,(RD[[#This Row],[33 kV_F5_Ex
Incomer3]]-DU19)*1000)</f>
        <v>176900.00000000146</v>
      </c>
      <c r="EM20" s="146">
        <f>IF((RD[[#This Row],[34 kV_F5_Im
Incomer3]]-DV19)*1000&lt;0,0,(RD[[#This Row],[34 kV_F5_Im
Incomer3]]-DV19)*1000)</f>
        <v>800.00000000001137</v>
      </c>
      <c r="EN20" s="146">
        <f>IF((RD[[#This Row],[33 kV_F6_Ex
Incomer4]]-DW19)*1000&lt;0,0,(RD[[#This Row],[33 kV_F6_Ex
Incomer4]]-DW19)*1000)</f>
        <v>118600.00000000036</v>
      </c>
      <c r="EO20" s="146">
        <f>IF((RD[[#This Row],[33 kV_F6_Im
Incomer4]]-DX19)*1000&lt;0,0,(RD[[#This Row],[33 kV_F6_Im
Incomer4]]-DX19)*1000)</f>
        <v>600.00000000000136</v>
      </c>
      <c r="EP20" s="146">
        <f>IF((RD[[#This Row],[33 kV_F7_Ex
Incomer5]]-DY19)*1000&lt;0,0,(RD[[#This Row],[33 kV_F7_Ex
Incomer5]]-DY19)*1000)</f>
        <v>0</v>
      </c>
      <c r="EQ20" s="146">
        <f>IF((RD[[#This Row],[33 kV_F7_Im
Incomer5]]-DZ19)*1000&lt;0,0,(RD[[#This Row],[33 kV_F7_Im
Incomer5]]-DZ19)*1000)</f>
        <v>0</v>
      </c>
      <c r="ER20" s="146">
        <f>IF((RD[[#This Row],[33 kV_Aux Trafo]]-EA19)*1000&lt;0,0,(RD[[#This Row],[33 kV_Aux Trafo]]-EA19)*1000)</f>
        <v>289.99999999999204</v>
      </c>
      <c r="ES20" s="158">
        <f>IF((RD[[#This Row],[33kV_OG1_Ex_]]-EB19)*1&lt;0,0,(RD[[#This Row],[33kV_OG1_Ex_]]-EB19)*1)</f>
        <v>575505</v>
      </c>
      <c r="ET20" s="146">
        <f>IF((RD[[#This Row],[33kV_OG1_Im]]-EC19)*1&lt;0,0,(RD[[#This Row],[33kV_OG1_Im]]-EC19)*1)</f>
        <v>2370.1119999999646</v>
      </c>
      <c r="EU20" s="146">
        <f>IF((RD[[#This Row],[132kV_TX1_EX]]-ED19)*720&lt;=0,"",(RD[[#This Row],[132kV_TX1_EX]]-ED19)*720)</f>
        <v>2160</v>
      </c>
      <c r="EV20" s="146">
        <f>IF((RD[[#This Row],[132 kV_Tx1_Im]]-EE19)*720&lt;=0,0,(RD[[#This Row],[132 kV_Tx1_Im]]-EE19)*720)</f>
        <v>412560</v>
      </c>
      <c r="EW20" s="146">
        <f>IF((RD[[#This Row],[132kV_L1_Ex]]-EF19)*720&lt;=0,0,(RD[[#This Row],[132kV_L1_Ex]]-EF19)*720)</f>
        <v>573552.00000000419</v>
      </c>
      <c r="EX20" s="146">
        <f>IF((RD[[#This Row],[132kV_L1_Im]]-EG19)*720&lt;=0,0,(RD[[#This Row],[132kV_L1_Im]]-EG19)*720)</f>
        <v>3024.0000000000327</v>
      </c>
      <c r="EY20" s="242">
        <f>IFERROR(RD[[#This Row],[33kV_OG1_Ex (MWh)]]+RD[[#This Row],[33kV_OG1_Im (MWh)]],"")</f>
        <v>577875.11199999996</v>
      </c>
      <c r="EZ20" s="148">
        <f>RD[[#This Row],[33kV_OG1_Ex (MWh)]]-RD[[#This Row],[33kV_OG1_Im (MWh)]]</f>
        <v>573134.88800000004</v>
      </c>
      <c r="FA20" s="148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43">
        <f>IFERROR((RD[[#This Row],[Sunset Time (POA&lt;20 W/m2)]]-RD[[#This Row],[Sunrise Time (POA&gt;20 W/m2)]])*24,0)</f>
        <v>11.983333333333334</v>
      </c>
      <c r="FD20" s="244">
        <v>102</v>
      </c>
      <c r="FE20" t="s">
        <v>271</v>
      </c>
      <c r="FF20"/>
      <c r="FG20"/>
    </row>
    <row r="21" spans="1:163">
      <c r="A21" s="133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52">
        <v>0.26944444444444443</v>
      </c>
      <c r="G21" s="162">
        <v>0.76597222222222228</v>
      </c>
      <c r="H21" s="124">
        <v>8944.4</v>
      </c>
      <c r="I21" s="124">
        <v>8953.2000000000007</v>
      </c>
      <c r="J21" s="124">
        <v>8519.7999999999993</v>
      </c>
      <c r="K21" s="124">
        <v>8645.4</v>
      </c>
      <c r="L21" s="124">
        <v>8862.7000000000007</v>
      </c>
      <c r="M21" s="124">
        <v>8882</v>
      </c>
      <c r="N21" s="124">
        <v>8600.9</v>
      </c>
      <c r="O21" s="124">
        <v>9250.9</v>
      </c>
      <c r="P21" s="124">
        <v>8658</v>
      </c>
      <c r="Q21" s="124">
        <v>8626.9</v>
      </c>
      <c r="R21" s="124">
        <v>8821.2000000000007</v>
      </c>
      <c r="S21" s="124">
        <v>8811.6</v>
      </c>
      <c r="T21" s="124">
        <v>8969.7999999999993</v>
      </c>
      <c r="U21" s="124">
        <v>8836.2999999999993</v>
      </c>
      <c r="V21" s="124">
        <v>8921.2000000000007</v>
      </c>
      <c r="W21" s="124">
        <v>8781.2000000000007</v>
      </c>
      <c r="X21" s="203">
        <v>12515.2</v>
      </c>
      <c r="Y21" s="203">
        <v>13502.4</v>
      </c>
      <c r="Z21" s="203">
        <v>12340.4</v>
      </c>
      <c r="AA21" s="203">
        <v>12730.8</v>
      </c>
      <c r="AB21" s="203">
        <v>13412.3</v>
      </c>
      <c r="AC21" s="203">
        <v>8457.2000000000007</v>
      </c>
      <c r="AD21" s="203">
        <v>12718.7</v>
      </c>
      <c r="AE21" s="203">
        <v>12802.2</v>
      </c>
      <c r="AF21" s="203">
        <v>12351</v>
      </c>
      <c r="AG21" s="203">
        <v>12545</v>
      </c>
      <c r="AH21" s="203">
        <v>12662.9</v>
      </c>
      <c r="AI21" s="203">
        <v>12751.7</v>
      </c>
      <c r="AJ21" s="142">
        <v>10671.4</v>
      </c>
      <c r="AK21" s="142">
        <v>10932.7</v>
      </c>
      <c r="AL21" s="142">
        <v>10652.3</v>
      </c>
      <c r="AM21" s="142">
        <v>10727.4</v>
      </c>
      <c r="AN21" s="142">
        <v>10658.9</v>
      </c>
      <c r="AO21" s="142">
        <v>10907.3</v>
      </c>
      <c r="AP21" s="142">
        <v>10813.9</v>
      </c>
      <c r="AQ21" s="142">
        <v>10611.9</v>
      </c>
      <c r="AR21" s="142">
        <v>8465.1</v>
      </c>
      <c r="AS21" s="142">
        <v>8622.7000000000007</v>
      </c>
      <c r="AT21" s="142">
        <v>8495</v>
      </c>
      <c r="AU21" s="142">
        <v>8637.1</v>
      </c>
      <c r="AV21" s="142">
        <v>8850</v>
      </c>
      <c r="AW21" s="142">
        <v>8606.6</v>
      </c>
      <c r="AX21" s="142">
        <v>12324</v>
      </c>
      <c r="AY21" s="142">
        <v>13381</v>
      </c>
      <c r="AZ21" s="142">
        <v>9971</v>
      </c>
      <c r="BA21" s="142">
        <v>12000</v>
      </c>
      <c r="BB21" s="142">
        <v>0</v>
      </c>
      <c r="BC21" s="142">
        <v>0</v>
      </c>
      <c r="BD21" s="142">
        <v>9982</v>
      </c>
      <c r="BE21" s="142">
        <v>12023</v>
      </c>
      <c r="BF21" s="142">
        <v>12684</v>
      </c>
      <c r="BG21" s="142">
        <v>12797</v>
      </c>
      <c r="BH21" s="142">
        <v>7849</v>
      </c>
      <c r="BI21" s="142">
        <v>4821</v>
      </c>
      <c r="BJ21" s="142">
        <v>7552</v>
      </c>
      <c r="BK21" s="142">
        <v>5105</v>
      </c>
      <c r="BL21" s="142">
        <v>7459</v>
      </c>
      <c r="BM21" s="142">
        <v>7421</v>
      </c>
      <c r="BN21" s="142">
        <v>7321</v>
      </c>
      <c r="BO21" s="142">
        <v>4703</v>
      </c>
      <c r="BP21" s="142">
        <v>5990</v>
      </c>
      <c r="BQ21" s="142">
        <v>3531</v>
      </c>
      <c r="BR21" s="142">
        <v>0</v>
      </c>
      <c r="BS21" s="142">
        <v>0</v>
      </c>
      <c r="BT21" s="142">
        <v>1914</v>
      </c>
      <c r="BU21" s="142">
        <v>887</v>
      </c>
      <c r="BV21" s="142"/>
      <c r="BW21" s="142"/>
      <c r="BX21" s="142"/>
      <c r="BY21" s="142"/>
      <c r="BZ21" s="142">
        <v>1371</v>
      </c>
      <c r="CA21" s="142">
        <v>445</v>
      </c>
      <c r="CB21" s="142">
        <v>4843</v>
      </c>
      <c r="CC21" s="142">
        <v>7466</v>
      </c>
      <c r="CD21" s="59">
        <v>7.251993583333336</v>
      </c>
      <c r="CE21" s="59"/>
      <c r="CF21" s="206">
        <v>7.1232418333333234</v>
      </c>
      <c r="CG21" s="206"/>
      <c r="CH21" s="206">
        <v>0.94167478333333277</v>
      </c>
      <c r="CI21" s="206"/>
      <c r="CJ21" s="59">
        <v>1.3867391333333356</v>
      </c>
      <c r="CK21" s="59"/>
      <c r="CL21" s="206">
        <v>32.894079295154185</v>
      </c>
      <c r="CM21" s="206"/>
      <c r="CN21" s="206">
        <v>47.343733039647553</v>
      </c>
      <c r="CO21" s="206"/>
      <c r="CP21" s="206">
        <v>26.798374449339192</v>
      </c>
      <c r="CQ21" s="206"/>
      <c r="CR21" s="59">
        <v>0</v>
      </c>
      <c r="CS21" s="59"/>
      <c r="CT21" s="206">
        <v>1.1613374449339202</v>
      </c>
      <c r="CU21" s="206"/>
      <c r="CV21" s="206">
        <v>2.4</v>
      </c>
      <c r="CW21" s="258"/>
      <c r="CX21" s="204">
        <f>IFERROR(AVERAGEIF(RD[[#This Row],[IS1POA1 (KWh/m2)]:[IS7POA2 (KWh/m2)]],"&lt;&gt;0",RD[[#This Row],[IS1POA1 (KWh/m2)]:[IS7POA2 (KWh/m2)]]),"")</f>
        <v>7.251993583333336</v>
      </c>
      <c r="CY21" s="204">
        <f>IFERROR(AVERAGEIF(RD[[#This Row],[IS1GHI1 (KWh/m2)]:[IS7GHI2 (KWh/m2)]],"&lt;&gt;0",RD[[#This Row],[IS1GHI1 (KWh/m2)]:[IS7GHI2 (KWh/m2)]]),"")</f>
        <v>7.1232418333333234</v>
      </c>
      <c r="CZ21" s="204">
        <f>IFERROR(AVERAGEIF(RD[[#This Row],[IS1POA_BS1 (KWh/m2)]:[IS7POA_BS2 (KWh/m2)]],"&lt;&gt;0",RD[[#This Row],[IS1POA_BS1 (KWh/m2)]:[IS7POA_BS2 (KWh/m2)]]),"")</f>
        <v>0.94167478333333277</v>
      </c>
      <c r="DA21" s="204">
        <f>IFERROR(AVERAGEIF(RD[[#This Row],[IS1GHI_BS1 (KWh/m2)]:[IS1GHI_BS1 (KWh/m2)2]],"&lt;&gt;0",RD[[#This Row],[IS1GHI_BS1 (KWh/m2)]:[IS1GHI_BS1 (KWh/m2)2]]),"")</f>
        <v>1.3867391333333356</v>
      </c>
      <c r="DB21" s="204">
        <f>IFERROR(AVERAGEIF(RD[[#This Row],[IS1AT1 (°C)]:[IS7AT2 (°C)]],"&lt;&gt;0",RD[[#This Row],[IS1AT1 (°C)]:[IS7AT2 (°C)]]),"")</f>
        <v>32.894079295154185</v>
      </c>
      <c r="DC21" s="204">
        <f>IFERROR(AVERAGEIF(RD[[#This Row],[IS1MT1 (°C)]:[IS7MT2 (°C)]],"&lt;&gt;0",RD[[#This Row],[IS1MT1 (°C)]:[IS7MT2 (°C)]]),"")</f>
        <v>47.343733039647553</v>
      </c>
      <c r="DD21" s="204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204">
        <f>IFERROR(AVERAGEIF(RD[[#This Row],[WS_Solar1_Avg (m/s)]:[IS7_WS_Solar1_Avg (m/s)]],"&lt;&gt;0",RD[[#This Row],[WS_Solar1_Avg (m/s)]:[IS7_WS_Solar1_Avg (m/s)]]),"")</f>
        <v>1.1613374449339202</v>
      </c>
      <c r="DG21" s="204">
        <f>IFERROR(AVERAGEIF(RD[[#This Row],[WS_Solar1_Max (m/s)]:[IS7_WS_Solar1_Max (m/s)]],"&lt;&gt;0",RD[[#This Row],[WS_Solar1_Max (m/s)]:[IS7_WS_Solar1_Max (m/s)]]),"")</f>
        <v>2.4</v>
      </c>
      <c r="DH21" s="204">
        <f>SUM(RD[[#This Row],[IS1Inv1M1]:[IS4Inv4M2]])</f>
        <v>289875.3000000001</v>
      </c>
      <c r="DI21" s="205">
        <f>SUM(RD[[#This Row],[IS7Inv1M1]]+RD[[#This Row],[IS7Inv2M1]])</f>
        <v>17087.800000000003</v>
      </c>
      <c r="DJ21" s="204">
        <f>SUM(RD[[#This Row],[IS5Inv1M1]:[IS5Inv2M2]])</f>
        <v>42983.799999999996</v>
      </c>
      <c r="DK21" s="204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86">
        <f>SUM(RD[[#This Row],[IS12Inv1M1]:[IS12Inv1M4]])</f>
        <v>21545</v>
      </c>
      <c r="DO21" s="286">
        <f>SUM(RD[[#This Row],[IS13Inv1M1]:[IS13Inv2M2]])</f>
        <v>2801</v>
      </c>
      <c r="DP21" s="204">
        <f>SUM(RD[[#This Row],[O2R15]:[O2R26]])</f>
        <v>601367.60000000009</v>
      </c>
      <c r="DQ21" s="164">
        <v>36497.1</v>
      </c>
      <c r="DR21" s="168">
        <v>200.9</v>
      </c>
      <c r="DS21" s="164">
        <v>31295.4</v>
      </c>
      <c r="DT21" s="164">
        <v>213.5</v>
      </c>
      <c r="DU21" s="168">
        <v>35912.5</v>
      </c>
      <c r="DV21" s="168">
        <v>383</v>
      </c>
      <c r="DW21" s="164">
        <v>4348.3</v>
      </c>
      <c r="DX21" s="168">
        <v>18.2</v>
      </c>
      <c r="DY21" s="168"/>
      <c r="DZ21" s="168"/>
      <c r="EA21" s="140">
        <v>86.9</v>
      </c>
      <c r="EB21" s="241">
        <v>108845178</v>
      </c>
      <c r="EC21" s="240">
        <v>864107.45600000001</v>
      </c>
      <c r="ED21" s="241">
        <v>1032</v>
      </c>
      <c r="EE21" s="241">
        <v>103213</v>
      </c>
      <c r="EF21" s="164">
        <v>150998.79999999999</v>
      </c>
      <c r="EG21" s="164">
        <v>1708.3</v>
      </c>
      <c r="EH21" s="146">
        <f>IF((RD[[#This Row],[33 kV_F3_Ex
Incomer1]]-DQ20)*1000&lt;0,0,(RD[[#This Row],[33 kV_F3_Ex
Incomer1]]-DQ20)*1000)</f>
        <v>147299.99999999563</v>
      </c>
      <c r="EI21" s="146">
        <f>IF((RD[[#This Row],[34 kV_F3_Im
Incomer1]]-DR20)*1000&lt;0,0,(RD[[#This Row],[34 kV_F3_Im
Incomer1]]-DR20)*1000)</f>
        <v>300.00000000001137</v>
      </c>
      <c r="EJ21" s="146">
        <f>IF((RD[[#This Row],[33 kV_F4_Ex
Incomer2]]-DS20)*1000&lt;0,0,(RD[[#This Row],[33 kV_F4_Ex
Incomer2]]-DS20)*1000)</f>
        <v>137000</v>
      </c>
      <c r="EK21" s="146">
        <f>IF((RD[[#This Row],[34 kV_F4_Im
Incomer2]]-DT20)*1000&lt;0,0,(RD[[#This Row],[34 kV_F4_Im
Incomer2]]-DT20)*1000)</f>
        <v>300.00000000001137</v>
      </c>
      <c r="EL21" s="146">
        <f>IF((RD[[#This Row],[33 kV_F5_Ex
Incomer3]]-DU20)*1000&lt;0,0,(RD[[#This Row],[33 kV_F5_Ex
Incomer3]]-DU20)*1000)</f>
        <v>182099.99999999854</v>
      </c>
      <c r="EM21" s="146">
        <f>IF((RD[[#This Row],[34 kV_F5_Im
Incomer3]]-DV20)*1000&lt;0,0,(RD[[#This Row],[34 kV_F5_Im
Incomer3]]-DV20)*1000)</f>
        <v>500</v>
      </c>
      <c r="EN21" s="146">
        <f>IF((RD[[#This Row],[33 kV_F6_Ex
Incomer4]]-DW20)*1000&lt;0,0,(RD[[#This Row],[33 kV_F6_Ex
Incomer4]]-DW20)*1000)</f>
        <v>123000</v>
      </c>
      <c r="EO21" s="146">
        <f>IF((RD[[#This Row],[33 kV_F6_Im
Incomer4]]-DX20)*1000&lt;0,0,(RD[[#This Row],[33 kV_F6_Im
Incomer4]]-DX20)*1000)</f>
        <v>399.99999999999858</v>
      </c>
      <c r="EP21" s="146">
        <f>IF((RD[[#This Row],[33 kV_F7_Ex
Incomer5]]-DY20)*1000&lt;0,0,(RD[[#This Row],[33 kV_F7_Ex
Incomer5]]-DY20)*1000)</f>
        <v>0</v>
      </c>
      <c r="EQ21" s="146">
        <f>IF((RD[[#This Row],[33 kV_F7_Im
Incomer5]]-DZ20)*1000&lt;0,0,(RD[[#This Row],[33 kV_F7_Im
Incomer5]]-DZ20)*1000)</f>
        <v>0</v>
      </c>
      <c r="ER21" s="146">
        <f>IF((RD[[#This Row],[33 kV_Aux Trafo]]-EA20)*1000&lt;0,0,(RD[[#This Row],[33 kV_Aux Trafo]]-EA20)*1000)</f>
        <v>240.00000000000909</v>
      </c>
      <c r="ES21" s="158">
        <f>IF((RD[[#This Row],[33kV_OG1_Ex_]]-EB20)*1&lt;0,0,(RD[[#This Row],[33kV_OG1_Ex_]]-EB20)*1)</f>
        <v>590577</v>
      </c>
      <c r="ET21" s="146">
        <f>IF((RD[[#This Row],[33kV_OG1_Im]]-EC20)*1&lt;0,0,(RD[[#This Row],[33kV_OG1_Im]]-EC20)*1)</f>
        <v>1594.5600000000559</v>
      </c>
      <c r="EU21" s="146">
        <f>IF((RD[[#This Row],[132kV_TX1_EX]]-ED20)*720&lt;=0,"",(RD[[#This Row],[132kV_TX1_EX]]-ED20)*720)</f>
        <v>1440</v>
      </c>
      <c r="EV21" s="146">
        <f>IF((RD[[#This Row],[132 kV_Tx1_Im]]-EE20)*720&lt;=0,0,(RD[[#This Row],[132 kV_Tx1_Im]]-EE20)*720)</f>
        <v>423360</v>
      </c>
      <c r="EW21" s="146">
        <f>IF((RD[[#This Row],[132kV_L1_Ex]]-EF20)*720&lt;=0,0,(RD[[#This Row],[132kV_L1_Ex]]-EF20)*720)</f>
        <v>588527.99999999581</v>
      </c>
      <c r="EX21" s="146">
        <f>IF((RD[[#This Row],[132kV_L1_Im]]-EG20)*720&lt;=0,0,(RD[[#This Row],[132kV_L1_Im]]-EG20)*720)</f>
        <v>2015.9999999999673</v>
      </c>
      <c r="EY21" s="242">
        <f>IFERROR(RD[[#This Row],[33kV_OG1_Ex (MWh)]]+RD[[#This Row],[33kV_OG1_Im (MWh)]],"")</f>
        <v>592171.56000000006</v>
      </c>
      <c r="EZ21" s="148">
        <f>RD[[#This Row],[33kV_OG1_Ex (MWh)]]-RD[[#This Row],[33kV_OG1_Im (MWh)]]</f>
        <v>588982.43999999994</v>
      </c>
      <c r="FA21" s="148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43">
        <f>IFERROR((RD[[#This Row],[Sunset Time (POA&lt;20 W/m2)]]-RD[[#This Row],[Sunrise Time (POA&gt;20 W/m2)]])*24,0)</f>
        <v>11.916666666666668</v>
      </c>
      <c r="FD21" s="244">
        <v>105</v>
      </c>
      <c r="FE21" t="s">
        <v>272</v>
      </c>
      <c r="FF21"/>
      <c r="FG21"/>
    </row>
    <row r="22" spans="1:163">
      <c r="A22" s="133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52">
        <v>0.26666666666666666</v>
      </c>
      <c r="G22" s="162">
        <v>0.76666666666666672</v>
      </c>
      <c r="H22" s="124">
        <v>8989.7999999999993</v>
      </c>
      <c r="I22" s="124">
        <v>8950.7999999999993</v>
      </c>
      <c r="J22" s="124">
        <v>8463</v>
      </c>
      <c r="K22" s="124">
        <v>8594.1</v>
      </c>
      <c r="L22" s="124">
        <v>8819.2000000000007</v>
      </c>
      <c r="M22" s="124">
        <v>8872</v>
      </c>
      <c r="N22" s="124">
        <v>8543.7999999999993</v>
      </c>
      <c r="O22" s="124">
        <v>9320.2999999999993</v>
      </c>
      <c r="P22" s="124">
        <v>8769.7999999999993</v>
      </c>
      <c r="Q22" s="124">
        <v>8714.2999999999993</v>
      </c>
      <c r="R22" s="124">
        <v>8969.4</v>
      </c>
      <c r="S22" s="124">
        <v>8932.6</v>
      </c>
      <c r="T22" s="124">
        <v>9138.9</v>
      </c>
      <c r="U22" s="124">
        <v>8967.5</v>
      </c>
      <c r="V22" s="124">
        <v>9079.2000000000007</v>
      </c>
      <c r="W22" s="124">
        <v>8879.4</v>
      </c>
      <c r="X22" s="203">
        <v>12476.7</v>
      </c>
      <c r="Y22" s="203">
        <v>13577.3</v>
      </c>
      <c r="Z22" s="203">
        <v>12217.3</v>
      </c>
      <c r="AA22" s="203">
        <v>12723.1</v>
      </c>
      <c r="AB22" s="203">
        <v>13459.1</v>
      </c>
      <c r="AC22" s="203">
        <v>8410.1</v>
      </c>
      <c r="AD22" s="203">
        <v>12679.1</v>
      </c>
      <c r="AE22" s="203">
        <v>12862.9</v>
      </c>
      <c r="AF22" s="203">
        <v>12217.6</v>
      </c>
      <c r="AG22" s="203">
        <v>12573</v>
      </c>
      <c r="AH22" s="203">
        <v>12586.7</v>
      </c>
      <c r="AI22" s="203">
        <v>12694.2</v>
      </c>
      <c r="AJ22" s="142">
        <v>10444.4</v>
      </c>
      <c r="AK22" s="142">
        <v>10727.5</v>
      </c>
      <c r="AL22" s="142">
        <v>10518</v>
      </c>
      <c r="AM22" s="142">
        <v>10569</v>
      </c>
      <c r="AN22" s="142">
        <v>10506</v>
      </c>
      <c r="AO22" s="142">
        <v>10841.9</v>
      </c>
      <c r="AP22" s="142">
        <v>10694.3</v>
      </c>
      <c r="AQ22" s="142">
        <v>10461.4</v>
      </c>
      <c r="AR22" s="142">
        <v>8463.4</v>
      </c>
      <c r="AS22" s="142">
        <v>8520.2999999999993</v>
      </c>
      <c r="AT22" s="142">
        <v>8476.1</v>
      </c>
      <c r="AU22" s="142">
        <v>8705</v>
      </c>
      <c r="AV22" s="142">
        <v>8858.4</v>
      </c>
      <c r="AW22" s="142">
        <v>8617.2999999999993</v>
      </c>
      <c r="AX22" s="142">
        <v>12058</v>
      </c>
      <c r="AY22" s="142">
        <v>13324</v>
      </c>
      <c r="AZ22" s="142">
        <v>9858</v>
      </c>
      <c r="BA22" s="142">
        <v>11859</v>
      </c>
      <c r="BB22" s="142">
        <v>0</v>
      </c>
      <c r="BC22" s="142">
        <v>0</v>
      </c>
      <c r="BD22" s="142">
        <v>8825.7000000000007</v>
      </c>
      <c r="BE22" s="142">
        <v>10710</v>
      </c>
      <c r="BF22" s="142">
        <v>11471.9</v>
      </c>
      <c r="BG22" s="142">
        <v>11386.7</v>
      </c>
      <c r="BH22" s="142">
        <v>6970.6</v>
      </c>
      <c r="BI22" s="142">
        <v>4258</v>
      </c>
      <c r="BJ22" s="142">
        <v>6777.5</v>
      </c>
      <c r="BK22" s="142">
        <v>3794</v>
      </c>
      <c r="BL22" s="142">
        <v>6577.7</v>
      </c>
      <c r="BM22" s="142">
        <v>6335</v>
      </c>
      <c r="BN22" s="142">
        <v>6482</v>
      </c>
      <c r="BO22" s="142">
        <v>4417</v>
      </c>
      <c r="BP22" s="142">
        <v>5296</v>
      </c>
      <c r="BQ22" s="142">
        <v>3127</v>
      </c>
      <c r="BR22" s="142">
        <v>0</v>
      </c>
      <c r="BS22" s="142">
        <v>0</v>
      </c>
      <c r="BT22" s="142">
        <v>1682</v>
      </c>
      <c r="BU22" s="142">
        <v>782</v>
      </c>
      <c r="BV22" s="142"/>
      <c r="BW22" s="142"/>
      <c r="BX22" s="142"/>
      <c r="BY22" s="142"/>
      <c r="BZ22" s="142">
        <v>1255</v>
      </c>
      <c r="CA22" s="142">
        <v>1074</v>
      </c>
      <c r="CB22" s="142">
        <v>4414</v>
      </c>
      <c r="CC22" s="142">
        <v>6767</v>
      </c>
      <c r="CD22" s="59">
        <v>7.1474630166666611</v>
      </c>
      <c r="CE22" s="59"/>
      <c r="CF22" s="206">
        <v>7.0363546166666593</v>
      </c>
      <c r="CG22" s="206"/>
      <c r="CH22" s="206">
        <v>0.92568135000000074</v>
      </c>
      <c r="CI22" s="206"/>
      <c r="CJ22" s="59">
        <v>1.3790044999999982</v>
      </c>
      <c r="CK22" s="59"/>
      <c r="CL22" s="206">
        <v>33.69563492063493</v>
      </c>
      <c r="CM22" s="206"/>
      <c r="CN22" s="206">
        <v>47.241304232804232</v>
      </c>
      <c r="CO22" s="206"/>
      <c r="CP22" s="206">
        <v>24.003271604938288</v>
      </c>
      <c r="CQ22" s="206"/>
      <c r="CR22" s="59">
        <v>0</v>
      </c>
      <c r="CS22" s="59"/>
      <c r="CT22" s="206">
        <v>1.3764973544973564</v>
      </c>
      <c r="CU22" s="206"/>
      <c r="CV22" s="206">
        <v>2.8740000000000001</v>
      </c>
      <c r="CW22" s="258"/>
      <c r="CX22" s="204">
        <f>IFERROR(AVERAGEIF(RD[[#This Row],[IS1POA1 (KWh/m2)]:[IS7POA2 (KWh/m2)]],"&lt;&gt;0",RD[[#This Row],[IS1POA1 (KWh/m2)]:[IS7POA2 (KWh/m2)]]),"")</f>
        <v>7.1474630166666611</v>
      </c>
      <c r="CY22" s="204">
        <f>IFERROR(AVERAGEIF(RD[[#This Row],[IS1GHI1 (KWh/m2)]:[IS7GHI2 (KWh/m2)]],"&lt;&gt;0",RD[[#This Row],[IS1GHI1 (KWh/m2)]:[IS7GHI2 (KWh/m2)]]),"")</f>
        <v>7.0363546166666593</v>
      </c>
      <c r="CZ22" s="204">
        <f>IFERROR(AVERAGEIF(RD[[#This Row],[IS1POA_BS1 (KWh/m2)]:[IS7POA_BS2 (KWh/m2)]],"&lt;&gt;0",RD[[#This Row],[IS1POA_BS1 (KWh/m2)]:[IS7POA_BS2 (KWh/m2)]]),"")</f>
        <v>0.92568135000000074</v>
      </c>
      <c r="DA22" s="204">
        <f>IFERROR(AVERAGEIF(RD[[#This Row],[IS1GHI_BS1 (KWh/m2)]:[IS1GHI_BS1 (KWh/m2)2]],"&lt;&gt;0",RD[[#This Row],[IS1GHI_BS1 (KWh/m2)]:[IS1GHI_BS1 (KWh/m2)2]]),"")</f>
        <v>1.3790044999999982</v>
      </c>
      <c r="DB22" s="204">
        <f>IFERROR(AVERAGEIF(RD[[#This Row],[IS1AT1 (°C)]:[IS7AT2 (°C)]],"&lt;&gt;0",RD[[#This Row],[IS1AT1 (°C)]:[IS7AT2 (°C)]]),"")</f>
        <v>33.69563492063493</v>
      </c>
      <c r="DC22" s="204">
        <f>IFERROR(AVERAGEIF(RD[[#This Row],[IS1MT1 (°C)]:[IS7MT2 (°C)]],"&lt;&gt;0",RD[[#This Row],[IS1MT1 (°C)]:[IS7MT2 (°C)]]),"")</f>
        <v>47.241304232804232</v>
      </c>
      <c r="DD22" s="204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204">
        <f>IFERROR(AVERAGEIF(RD[[#This Row],[WS_Solar1_Avg (m/s)]:[IS7_WS_Solar1_Avg (m/s)]],"&lt;&gt;0",RD[[#This Row],[WS_Solar1_Avg (m/s)]:[IS7_WS_Solar1_Avg (m/s)]]),"")</f>
        <v>1.3764973544973564</v>
      </c>
      <c r="DG22" s="204">
        <f>IFERROR(AVERAGEIF(RD[[#This Row],[WS_Solar1_Max (m/s)]:[IS7_WS_Solar1_Max (m/s)]],"&lt;&gt;0",RD[[#This Row],[WS_Solar1_Max (m/s)]:[IS7_WS_Solar1_Max (m/s)]]),"")</f>
        <v>2.8740000000000001</v>
      </c>
      <c r="DH22" s="204">
        <f>SUM(RD[[#This Row],[IS1Inv1M1]:[IS4Inv4M2]])</f>
        <v>290481.20000000007</v>
      </c>
      <c r="DI22" s="205">
        <f>SUM(RD[[#This Row],[IS7Inv1M1]]+RD[[#This Row],[IS7Inv2M1]])</f>
        <v>16983.699999999997</v>
      </c>
      <c r="DJ22" s="204">
        <f>SUM(RD[[#This Row],[IS5Inv1M1]:[IS5Inv2M2]])</f>
        <v>42258.9</v>
      </c>
      <c r="DK22" s="204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86">
        <f>SUM(RD[[#This Row],[IS12Inv1M1]:[IS12Inv1M4]])</f>
        <v>19322</v>
      </c>
      <c r="DO22" s="286">
        <f>SUM(RD[[#This Row],[IS13Inv1M1]:[IS13Inv2M2]])</f>
        <v>2464</v>
      </c>
      <c r="DP22" s="204">
        <f>SUM(RD[[#This Row],[O2R15]:[O2R26]])</f>
        <v>586386.30000000005</v>
      </c>
      <c r="DQ22" s="164">
        <v>36641.800000000003</v>
      </c>
      <c r="DR22" s="168">
        <v>201.3</v>
      </c>
      <c r="DS22" s="164">
        <v>31429.5</v>
      </c>
      <c r="DT22" s="164">
        <v>213.8</v>
      </c>
      <c r="DU22" s="168">
        <v>36090</v>
      </c>
      <c r="DV22" s="168">
        <v>383.7</v>
      </c>
      <c r="DW22" s="164">
        <v>4456.5</v>
      </c>
      <c r="DX22" s="168">
        <v>18.8</v>
      </c>
      <c r="DY22" s="168"/>
      <c r="DZ22" s="168"/>
      <c r="EA22" s="140">
        <v>87.17</v>
      </c>
      <c r="EB22" s="241">
        <v>109421699</v>
      </c>
      <c r="EC22" s="240">
        <v>866123.32799999998</v>
      </c>
      <c r="ED22" s="241">
        <v>1034</v>
      </c>
      <c r="EE22" s="241">
        <v>103787</v>
      </c>
      <c r="EF22" s="164">
        <v>151796.70000000001</v>
      </c>
      <c r="EG22" s="164">
        <v>1711.8</v>
      </c>
      <c r="EH22" s="146">
        <f>IF((RD[[#This Row],[33 kV_F3_Ex
Incomer1]]-DQ21)*1000&lt;0,0,(RD[[#This Row],[33 kV_F3_Ex
Incomer1]]-DQ21)*1000)</f>
        <v>144700.00000000437</v>
      </c>
      <c r="EI22" s="146">
        <f>IF((RD[[#This Row],[34 kV_F3_Im
Incomer1]]-DR21)*1000&lt;0,0,(RD[[#This Row],[34 kV_F3_Im
Incomer1]]-DR21)*1000)</f>
        <v>400.00000000000568</v>
      </c>
      <c r="EJ22" s="146">
        <f>IF((RD[[#This Row],[33 kV_F4_Ex
Incomer2]]-DS21)*1000&lt;0,0,(RD[[#This Row],[33 kV_F4_Ex
Incomer2]]-DS21)*1000)</f>
        <v>134099.99999999854</v>
      </c>
      <c r="EK22" s="146">
        <f>IF((RD[[#This Row],[34 kV_F4_Im
Incomer2]]-DT21)*1000&lt;0,0,(RD[[#This Row],[34 kV_F4_Im
Incomer2]]-DT21)*1000)</f>
        <v>300.00000000001137</v>
      </c>
      <c r="EL22" s="146">
        <f>IF((RD[[#This Row],[33 kV_F5_Ex
Incomer3]]-DU21)*1000&lt;0,0,(RD[[#This Row],[33 kV_F5_Ex
Incomer3]]-DU21)*1000)</f>
        <v>177500</v>
      </c>
      <c r="EM22" s="146">
        <f>IF((RD[[#This Row],[34 kV_F5_Im
Incomer3]]-DV21)*1000&lt;0,0,(RD[[#This Row],[34 kV_F5_Im
Incomer3]]-DV21)*1000)</f>
        <v>699.99999999998863</v>
      </c>
      <c r="EN22" s="146">
        <f>IF((RD[[#This Row],[33 kV_F6_Ex
Incomer4]]-DW21)*1000&lt;0,0,(RD[[#This Row],[33 kV_F6_Ex
Incomer4]]-DW21)*1000)</f>
        <v>108199.99999999983</v>
      </c>
      <c r="EO22" s="146">
        <f>IF((RD[[#This Row],[33 kV_F6_Im
Incomer4]]-DX21)*1000&lt;0,0,(RD[[#This Row],[33 kV_F6_Im
Incomer4]]-DX21)*1000)</f>
        <v>600.00000000000136</v>
      </c>
      <c r="EP22" s="146">
        <f>IF((RD[[#This Row],[33 kV_F7_Ex
Incomer5]]-DY21)*1000&lt;0,0,(RD[[#This Row],[33 kV_F7_Ex
Incomer5]]-DY21)*1000)</f>
        <v>0</v>
      </c>
      <c r="EQ22" s="146">
        <f>IF((RD[[#This Row],[33 kV_F7_Im
Incomer5]]-DZ21)*1000&lt;0,0,(RD[[#This Row],[33 kV_F7_Im
Incomer5]]-DZ21)*1000)</f>
        <v>0</v>
      </c>
      <c r="ER22" s="146">
        <f>IF((RD[[#This Row],[33 kV_Aux Trafo]]-EA21)*1000&lt;0,0,(RD[[#This Row],[33 kV_Aux Trafo]]-EA21)*1000)</f>
        <v>269.99999999999602</v>
      </c>
      <c r="ES22" s="158">
        <f>IF((RD[[#This Row],[33kV_OG1_Ex_]]-EB21)*1&lt;0,0,(RD[[#This Row],[33kV_OG1_Ex_]]-EB21)*1)</f>
        <v>576521</v>
      </c>
      <c r="ET22" s="146">
        <f>IF((RD[[#This Row],[33kV_OG1_Im]]-EC21)*1&lt;0,0,(RD[[#This Row],[33kV_OG1_Im]]-EC21)*1)</f>
        <v>2015.8719999999739</v>
      </c>
      <c r="EU22" s="146">
        <f>IF((RD[[#This Row],[132kV_TX1_EX]]-ED21)*720&lt;=0,"",(RD[[#This Row],[132kV_TX1_EX]]-ED21)*720)</f>
        <v>1440</v>
      </c>
      <c r="EV22" s="146">
        <f>IF((RD[[#This Row],[132 kV_Tx1_Im]]-EE21)*720&lt;=0,0,(RD[[#This Row],[132 kV_Tx1_Im]]-EE21)*720)</f>
        <v>413280</v>
      </c>
      <c r="EW22" s="146">
        <f>IF((RD[[#This Row],[132kV_L1_Ex]]-EF21)*720&lt;=0,0,(RD[[#This Row],[132kV_L1_Ex]]-EF21)*720)</f>
        <v>574488.00000001676</v>
      </c>
      <c r="EX22" s="146">
        <f>IF((RD[[#This Row],[132kV_L1_Im]]-EG21)*720&lt;=0,0,(RD[[#This Row],[132kV_L1_Im]]-EG21)*720)</f>
        <v>2520</v>
      </c>
      <c r="EY22" s="242">
        <f>IFERROR(RD[[#This Row],[33kV_OG1_Ex (MWh)]]+RD[[#This Row],[33kV_OG1_Im (MWh)]],"")</f>
        <v>578536.87199999997</v>
      </c>
      <c r="EZ22" s="148">
        <f>RD[[#This Row],[33kV_OG1_Ex (MWh)]]-RD[[#This Row],[33kV_OG1_Im (MWh)]]</f>
        <v>574505.12800000003</v>
      </c>
      <c r="FA22" s="148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43">
        <f>IFERROR((RD[[#This Row],[Sunset Time (POA&lt;20 W/m2)]]-RD[[#This Row],[Sunrise Time (POA&gt;20 W/m2)]])*24,0)</f>
        <v>12</v>
      </c>
      <c r="FD22" s="244">
        <v>105</v>
      </c>
      <c r="FE22" t="s">
        <v>273</v>
      </c>
      <c r="FF22"/>
      <c r="FG22"/>
    </row>
    <row r="23" spans="1:163">
      <c r="A23" s="133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52">
        <v>0.26874999999999999</v>
      </c>
      <c r="G23" s="162">
        <v>0.74791666666666667</v>
      </c>
      <c r="H23" s="124">
        <v>8151.5</v>
      </c>
      <c r="I23" s="124">
        <v>8140.7</v>
      </c>
      <c r="J23" s="124">
        <v>7642.9</v>
      </c>
      <c r="K23" s="124">
        <v>7749.1</v>
      </c>
      <c r="L23" s="124">
        <v>8011.4</v>
      </c>
      <c r="M23" s="124">
        <v>8079.1</v>
      </c>
      <c r="N23" s="124">
        <v>7663</v>
      </c>
      <c r="O23" s="124">
        <v>8452.5</v>
      </c>
      <c r="P23" s="124">
        <v>8066.4</v>
      </c>
      <c r="Q23" s="124">
        <v>8021.3</v>
      </c>
      <c r="R23" s="124">
        <v>8337.5</v>
      </c>
      <c r="S23" s="124">
        <v>8285.7000000000007</v>
      </c>
      <c r="T23" s="124">
        <v>8465.1</v>
      </c>
      <c r="U23" s="124">
        <v>8362.1</v>
      </c>
      <c r="V23" s="124">
        <v>8422.7000000000007</v>
      </c>
      <c r="W23" s="124">
        <v>8157.8</v>
      </c>
      <c r="X23" s="203">
        <v>11291.9</v>
      </c>
      <c r="Y23" s="203">
        <v>12637.8</v>
      </c>
      <c r="Z23" s="203">
        <v>10963.7</v>
      </c>
      <c r="AA23" s="203">
        <v>11457.8</v>
      </c>
      <c r="AB23" s="203">
        <v>12480.5</v>
      </c>
      <c r="AC23" s="203">
        <v>7653</v>
      </c>
      <c r="AD23" s="203">
        <v>11580.6</v>
      </c>
      <c r="AE23" s="203">
        <v>11787.8</v>
      </c>
      <c r="AF23" s="203">
        <v>11107.2</v>
      </c>
      <c r="AG23" s="203">
        <v>114551.7</v>
      </c>
      <c r="AH23" s="203">
        <v>11454.2</v>
      </c>
      <c r="AI23" s="203">
        <v>11585.3</v>
      </c>
      <c r="AJ23" s="142">
        <v>9332.1</v>
      </c>
      <c r="AK23" s="142">
        <v>9561.2000000000007</v>
      </c>
      <c r="AL23" s="142">
        <v>9339.2999999999993</v>
      </c>
      <c r="AM23" s="142">
        <v>9396.2000000000007</v>
      </c>
      <c r="AN23" s="142">
        <v>9373.5</v>
      </c>
      <c r="AO23" s="142">
        <v>9712.1</v>
      </c>
      <c r="AP23" s="142">
        <v>9594.6</v>
      </c>
      <c r="AQ23" s="142">
        <v>9411.4</v>
      </c>
      <c r="AR23" s="142">
        <v>7527</v>
      </c>
      <c r="AS23" s="142">
        <v>7594.2</v>
      </c>
      <c r="AT23" s="142">
        <v>7540.9</v>
      </c>
      <c r="AU23" s="142">
        <v>7736.9</v>
      </c>
      <c r="AV23" s="142">
        <v>7979.4</v>
      </c>
      <c r="AW23" s="142">
        <v>7743.9</v>
      </c>
      <c r="AX23" s="142">
        <v>10808.5</v>
      </c>
      <c r="AY23" s="142">
        <v>12160.6</v>
      </c>
      <c r="AZ23" s="142">
        <v>8756.7999999999993</v>
      </c>
      <c r="BA23" s="142">
        <v>10491.1</v>
      </c>
      <c r="BB23" s="142">
        <v>104.9</v>
      </c>
      <c r="BC23" s="142">
        <v>107.5</v>
      </c>
      <c r="BD23" s="142">
        <v>8609.1</v>
      </c>
      <c r="BE23" s="142">
        <v>10319.4</v>
      </c>
      <c r="BF23" s="142">
        <v>11185.1</v>
      </c>
      <c r="BG23" s="142">
        <v>10911.8</v>
      </c>
      <c r="BH23" s="142">
        <v>6579.8</v>
      </c>
      <c r="BI23" s="142">
        <v>4033</v>
      </c>
      <c r="BJ23" s="142">
        <v>6524.5</v>
      </c>
      <c r="BK23" s="142">
        <v>3724.2</v>
      </c>
      <c r="BL23" s="142">
        <v>6133.4</v>
      </c>
      <c r="BM23" s="142">
        <v>6120.1</v>
      </c>
      <c r="BN23" s="142"/>
      <c r="BO23" s="142"/>
      <c r="BP23" s="142"/>
      <c r="BQ23" s="142"/>
      <c r="BR23" s="142">
        <v>0</v>
      </c>
      <c r="BS23" s="142">
        <v>0</v>
      </c>
      <c r="BT23" s="142"/>
      <c r="BU23" s="142"/>
      <c r="BV23" s="142"/>
      <c r="BW23" s="142"/>
      <c r="BX23" s="142"/>
      <c r="BY23" s="142"/>
      <c r="BZ23" s="142">
        <v>1131</v>
      </c>
      <c r="CA23" s="142">
        <v>963</v>
      </c>
      <c r="CB23" s="142">
        <v>4049</v>
      </c>
      <c r="CC23" s="142">
        <v>6281</v>
      </c>
      <c r="CD23" s="59">
        <v>6.420340383333329</v>
      </c>
      <c r="CE23" s="59"/>
      <c r="CF23" s="206">
        <v>6.3113735000000091</v>
      </c>
      <c r="CG23" s="206"/>
      <c r="CH23" s="206">
        <v>0.8414362833333342</v>
      </c>
      <c r="CI23" s="206"/>
      <c r="CJ23" s="59">
        <v>1.2429307333333328</v>
      </c>
      <c r="CK23" s="59"/>
      <c r="CL23" s="206">
        <v>33.827604501607738</v>
      </c>
      <c r="CM23" s="206"/>
      <c r="CN23" s="206">
        <v>46.984334405144693</v>
      </c>
      <c r="CO23" s="206"/>
      <c r="CP23" s="206">
        <v>26.55966237942123</v>
      </c>
      <c r="CQ23" s="206"/>
      <c r="CR23" s="59">
        <v>0</v>
      </c>
      <c r="CS23" s="59"/>
      <c r="CT23" s="206">
        <v>1.0567837620578757</v>
      </c>
      <c r="CU23" s="206"/>
      <c r="CV23" s="206">
        <v>3.0089999999999999</v>
      </c>
      <c r="CW23" s="258"/>
      <c r="CX23" s="204">
        <f>IFERROR(AVERAGEIF(RD[[#This Row],[IS1POA1 (KWh/m2)]:[IS7POA2 (KWh/m2)]],"&lt;&gt;0",RD[[#This Row],[IS1POA1 (KWh/m2)]:[IS7POA2 (KWh/m2)]]),"")</f>
        <v>6.420340383333329</v>
      </c>
      <c r="CY23" s="204">
        <f>IFERROR(AVERAGEIF(RD[[#This Row],[IS1GHI1 (KWh/m2)]:[IS7GHI2 (KWh/m2)]],"&lt;&gt;0",RD[[#This Row],[IS1GHI1 (KWh/m2)]:[IS7GHI2 (KWh/m2)]]),"")</f>
        <v>6.3113735000000091</v>
      </c>
      <c r="CZ23" s="204">
        <f>IFERROR(AVERAGEIF(RD[[#This Row],[IS1POA_BS1 (KWh/m2)]:[IS7POA_BS2 (KWh/m2)]],"&lt;&gt;0",RD[[#This Row],[IS1POA_BS1 (KWh/m2)]:[IS7POA_BS2 (KWh/m2)]]),"")</f>
        <v>0.8414362833333342</v>
      </c>
      <c r="DA23" s="204">
        <f>IFERROR(AVERAGEIF(RD[[#This Row],[IS1GHI_BS1 (KWh/m2)]:[IS1GHI_BS1 (KWh/m2)2]],"&lt;&gt;0",RD[[#This Row],[IS1GHI_BS1 (KWh/m2)]:[IS1GHI_BS1 (KWh/m2)2]]),"")</f>
        <v>1.2429307333333328</v>
      </c>
      <c r="DB23" s="204">
        <f>IFERROR(AVERAGEIF(RD[[#This Row],[IS1AT1 (°C)]:[IS7AT2 (°C)]],"&lt;&gt;0",RD[[#This Row],[IS1AT1 (°C)]:[IS7AT2 (°C)]]),"")</f>
        <v>33.827604501607738</v>
      </c>
      <c r="DC23" s="204">
        <f>IFERROR(AVERAGEIF(RD[[#This Row],[IS1MT1 (°C)]:[IS7MT2 (°C)]],"&lt;&gt;0",RD[[#This Row],[IS1MT1 (°C)]:[IS7MT2 (°C)]]),"")</f>
        <v>46.984334405144693</v>
      </c>
      <c r="DD23" s="204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204">
        <f>IFERROR(AVERAGEIF(RD[[#This Row],[WS_Solar1_Avg (m/s)]:[IS7_WS_Solar1_Avg (m/s)]],"&lt;&gt;0",RD[[#This Row],[WS_Solar1_Avg (m/s)]:[IS7_WS_Solar1_Avg (m/s)]]),"")</f>
        <v>1.0567837620578757</v>
      </c>
      <c r="DG23" s="204">
        <f>IFERROR(AVERAGEIF(RD[[#This Row],[WS_Solar1_Max (m/s)]:[IS7_WS_Solar1_Max (m/s)]],"&lt;&gt;0",RD[[#This Row],[WS_Solar1_Max (m/s)]:[IS7_WS_Solar1_Max (m/s)]]),"")</f>
        <v>3.0089999999999999</v>
      </c>
      <c r="DH23" s="204">
        <f>SUM(RD[[#This Row],[IS1Inv1M1]:[IS4Inv4M2]])</f>
        <v>368560.3</v>
      </c>
      <c r="DI23" s="205">
        <f>SUM(RD[[#This Row],[IS7Inv1M1]]+RD[[#This Row],[IS7Inv2M1]])</f>
        <v>15121.2</v>
      </c>
      <c r="DJ23" s="204">
        <f>SUM(RD[[#This Row],[IS5Inv1M1]:[IS5Inv2M2]])</f>
        <v>37628.800000000003</v>
      </c>
      <c r="DK23" s="204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86">
        <f>SUM(RD[[#This Row],[IS12Inv1M1]:[IS12Inv1M4]])</f>
        <v>0</v>
      </c>
      <c r="DO23" s="286">
        <f>SUM(RD[[#This Row],[IS13Inv1M1]:[IS13Inv2M2]])</f>
        <v>0</v>
      </c>
      <c r="DP23" s="204">
        <f>SUM(RD[[#This Row],[O2R15]:[O2R26]])</f>
        <v>619396.80000000005</v>
      </c>
      <c r="DQ23" s="164">
        <v>36763</v>
      </c>
      <c r="DR23" s="168">
        <v>201.7</v>
      </c>
      <c r="DS23" s="164">
        <v>31544</v>
      </c>
      <c r="DT23" s="164">
        <v>214.2</v>
      </c>
      <c r="DU23" s="168">
        <v>36235.9</v>
      </c>
      <c r="DV23" s="168">
        <v>384.6</v>
      </c>
      <c r="DW23" s="164">
        <v>4551.1000000000004</v>
      </c>
      <c r="DX23" s="168">
        <v>19.899999999999999</v>
      </c>
      <c r="DY23" s="168"/>
      <c r="DZ23" s="168"/>
      <c r="EA23" s="140">
        <v>87.45</v>
      </c>
      <c r="EB23" s="241">
        <v>109949534</v>
      </c>
      <c r="EC23" s="240">
        <v>868605.95200000005</v>
      </c>
      <c r="ED23" s="241">
        <v>1038</v>
      </c>
      <c r="EE23" s="241">
        <v>104313</v>
      </c>
      <c r="EF23" s="164">
        <v>152527.20000000001</v>
      </c>
      <c r="EG23" s="164">
        <v>1716.2</v>
      </c>
      <c r="EH23" s="146">
        <f>IF((RD[[#This Row],[33 kV_F3_Ex
Incomer1]]-DQ22)*1000&lt;0,0,(RD[[#This Row],[33 kV_F3_Ex
Incomer1]]-DQ22)*1000)</f>
        <v>121199.99999999709</v>
      </c>
      <c r="EI23" s="146">
        <f>IF((RD[[#This Row],[34 kV_F3_Im
Incomer1]]-DR22)*1000&lt;0,0,(RD[[#This Row],[34 kV_F3_Im
Incomer1]]-DR22)*1000)</f>
        <v>399.99999999997726</v>
      </c>
      <c r="EJ23" s="146">
        <f>IF((RD[[#This Row],[33 kV_F4_Ex
Incomer2]]-DS22)*1000&lt;0,0,(RD[[#This Row],[33 kV_F4_Ex
Incomer2]]-DS22)*1000)</f>
        <v>114500</v>
      </c>
      <c r="EK23" s="146">
        <f>IF((RD[[#This Row],[34 kV_F4_Im
Incomer2]]-DT22)*1000&lt;0,0,(RD[[#This Row],[34 kV_F4_Im
Incomer2]]-DT22)*1000)</f>
        <v>399.99999999997726</v>
      </c>
      <c r="EL23" s="146">
        <f>IF((RD[[#This Row],[33 kV_F5_Ex
Incomer3]]-DU22)*1000&lt;0,0,(RD[[#This Row],[33 kV_F5_Ex
Incomer3]]-DU22)*1000)</f>
        <v>145900.00000000146</v>
      </c>
      <c r="EM23" s="146">
        <f>IF((RD[[#This Row],[34 kV_F5_Im
Incomer3]]-DV22)*1000&lt;0,0,(RD[[#This Row],[34 kV_F5_Im
Incomer3]]-DV22)*1000)</f>
        <v>900.00000000003411</v>
      </c>
      <c r="EN23" s="146">
        <f>IF((RD[[#This Row],[33 kV_F6_Ex
Incomer4]]-DW22)*1000&lt;0,0,(RD[[#This Row],[33 kV_F6_Ex
Incomer4]]-DW22)*1000)</f>
        <v>94600.000000000364</v>
      </c>
      <c r="EO23" s="146">
        <f>IF((RD[[#This Row],[33 kV_F6_Im
Incomer4]]-DX22)*1000&lt;0,0,(RD[[#This Row],[33 kV_F6_Im
Incomer4]]-DX22)*1000)</f>
        <v>1099.999999999998</v>
      </c>
      <c r="EP23" s="146">
        <f>IF((RD[[#This Row],[33 kV_F7_Ex
Incomer5]]-DY22)*1000&lt;0,0,(RD[[#This Row],[33 kV_F7_Ex
Incomer5]]-DY22)*1000)</f>
        <v>0</v>
      </c>
      <c r="EQ23" s="146">
        <f>IF((RD[[#This Row],[33 kV_F7_Im
Incomer5]]-DZ22)*1000&lt;0,0,(RD[[#This Row],[33 kV_F7_Im
Incomer5]]-DZ22)*1000)</f>
        <v>0</v>
      </c>
      <c r="ER23" s="146">
        <f>IF((RD[[#This Row],[33 kV_Aux Trafo]]-EA22)*1000&lt;0,0,(RD[[#This Row],[33 kV_Aux Trafo]]-EA22)*1000)</f>
        <v>280.00000000000114</v>
      </c>
      <c r="ES23" s="158">
        <f>IF((RD[[#This Row],[33kV_OG1_Ex_]]-EB22)*1&lt;0,0,(RD[[#This Row],[33kV_OG1_Ex_]]-EB22)*1)</f>
        <v>527835</v>
      </c>
      <c r="ET23" s="146">
        <f>IF((RD[[#This Row],[33kV_OG1_Im]]-EC22)*1&lt;0,0,(RD[[#This Row],[33kV_OG1_Im]]-EC22)*1)</f>
        <v>2482.6240000000689</v>
      </c>
      <c r="EU23" s="146">
        <f>IF((RD[[#This Row],[132kV_TX1_EX]]-ED22)*720&lt;=0,"",(RD[[#This Row],[132kV_TX1_EX]]-ED22)*720)</f>
        <v>2880</v>
      </c>
      <c r="EV23" s="146">
        <f>IF((RD[[#This Row],[132 kV_Tx1_Im]]-EE22)*720&lt;=0,0,(RD[[#This Row],[132 kV_Tx1_Im]]-EE22)*720)</f>
        <v>378720</v>
      </c>
      <c r="EW23" s="146">
        <f>IF((RD[[#This Row],[132kV_L1_Ex]]-EF22)*720&lt;=0,0,(RD[[#This Row],[132kV_L1_Ex]]-EF22)*720)</f>
        <v>525960</v>
      </c>
      <c r="EX23" s="146">
        <f>IF((RD[[#This Row],[132kV_L1_Im]]-EG22)*720&lt;=0,0,(RD[[#This Row],[132kV_L1_Im]]-EG22)*720)</f>
        <v>3168.0000000000655</v>
      </c>
      <c r="EY23" s="242">
        <f>IFERROR(RD[[#This Row],[33kV_OG1_Ex (MWh)]]+RD[[#This Row],[33kV_OG1_Im (MWh)]],"")</f>
        <v>530317.62400000007</v>
      </c>
      <c r="EZ23" s="148">
        <f>RD[[#This Row],[33kV_OG1_Ex (MWh)]]-RD[[#This Row],[33kV_OG1_Im (MWh)]]</f>
        <v>525352.37599999993</v>
      </c>
      <c r="FA23" s="148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43">
        <f>IFERROR((RD[[#This Row],[Sunset Time (POA&lt;20 W/m2)]]-RD[[#This Row],[Sunrise Time (POA&gt;20 W/m2)]])*24,0)</f>
        <v>11.5</v>
      </c>
      <c r="FD23" s="244">
        <v>105</v>
      </c>
      <c r="FE23" t="s">
        <v>274</v>
      </c>
      <c r="FF23"/>
      <c r="FG23"/>
    </row>
    <row r="24" spans="1:163">
      <c r="A24" s="133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52">
        <v>0.2673611111111111</v>
      </c>
      <c r="G24" s="162">
        <v>0.76458333333333328</v>
      </c>
      <c r="H24" s="124">
        <v>8869</v>
      </c>
      <c r="I24" s="124">
        <v>7908</v>
      </c>
      <c r="J24" s="124">
        <v>8481</v>
      </c>
      <c r="K24" s="124">
        <v>8494</v>
      </c>
      <c r="L24" s="124">
        <v>8705</v>
      </c>
      <c r="M24" s="124">
        <v>8792</v>
      </c>
      <c r="N24" s="124">
        <v>8612</v>
      </c>
      <c r="O24" s="124">
        <v>9197</v>
      </c>
      <c r="P24" s="124">
        <v>8698</v>
      </c>
      <c r="Q24" s="124">
        <v>8658</v>
      </c>
      <c r="R24" s="124">
        <v>8931</v>
      </c>
      <c r="S24" s="124">
        <v>8886</v>
      </c>
      <c r="T24" s="124">
        <v>9164</v>
      </c>
      <c r="U24" s="124">
        <v>8938</v>
      </c>
      <c r="V24" s="124">
        <v>9061</v>
      </c>
      <c r="W24" s="124">
        <v>8870</v>
      </c>
      <c r="X24" s="203">
        <v>12378</v>
      </c>
      <c r="Y24" s="203">
        <v>13483</v>
      </c>
      <c r="Z24" s="203">
        <v>12107</v>
      </c>
      <c r="AA24" s="203">
        <v>12591</v>
      </c>
      <c r="AB24" s="203">
        <v>13271</v>
      </c>
      <c r="AC24" s="203">
        <v>8276</v>
      </c>
      <c r="AD24" s="203">
        <v>12510</v>
      </c>
      <c r="AE24" s="203">
        <v>12746</v>
      </c>
      <c r="AF24" s="203">
        <v>12104</v>
      </c>
      <c r="AG24" s="203">
        <v>12432</v>
      </c>
      <c r="AH24" s="203">
        <v>12426</v>
      </c>
      <c r="AI24" s="203">
        <v>12533</v>
      </c>
      <c r="AJ24" s="142">
        <v>10281</v>
      </c>
      <c r="AK24" s="142">
        <v>10559</v>
      </c>
      <c r="AL24" s="142">
        <v>10349</v>
      </c>
      <c r="AM24" s="142">
        <v>10398</v>
      </c>
      <c r="AN24" s="142">
        <v>10390</v>
      </c>
      <c r="AO24" s="142">
        <v>10787</v>
      </c>
      <c r="AP24" s="142">
        <v>10595</v>
      </c>
      <c r="AQ24" s="142">
        <v>10441</v>
      </c>
      <c r="AR24" s="142">
        <v>8361</v>
      </c>
      <c r="AS24" s="142">
        <v>8438</v>
      </c>
      <c r="AT24" s="142">
        <v>8323</v>
      </c>
      <c r="AU24" s="142">
        <v>8518</v>
      </c>
      <c r="AV24" s="142">
        <v>8709</v>
      </c>
      <c r="AW24" s="142">
        <v>8557</v>
      </c>
      <c r="AX24" s="142">
        <v>11940</v>
      </c>
      <c r="AY24" s="142">
        <v>13177</v>
      </c>
      <c r="AZ24" s="142">
        <v>9737</v>
      </c>
      <c r="BA24" s="142">
        <v>11685</v>
      </c>
      <c r="BB24" s="142">
        <v>7362</v>
      </c>
      <c r="BC24" s="142">
        <v>5707</v>
      </c>
      <c r="BD24" s="142">
        <v>9575</v>
      </c>
      <c r="BE24" s="142">
        <v>11513</v>
      </c>
      <c r="BF24" s="142">
        <v>12428</v>
      </c>
      <c r="BG24" s="142">
        <v>12421</v>
      </c>
      <c r="BH24" s="142">
        <v>7553</v>
      </c>
      <c r="BI24" s="142">
        <v>4601</v>
      </c>
      <c r="BJ24" s="142">
        <v>7610</v>
      </c>
      <c r="BK24" s="142">
        <v>4294</v>
      </c>
      <c r="BL24" s="142">
        <v>7084</v>
      </c>
      <c r="BM24" s="142">
        <v>7053</v>
      </c>
      <c r="BN24" s="142">
        <v>6930</v>
      </c>
      <c r="BO24" s="142">
        <v>5434</v>
      </c>
      <c r="BP24" s="142">
        <v>5675</v>
      </c>
      <c r="BQ24" s="142">
        <v>3356</v>
      </c>
      <c r="BR24" s="142">
        <v>440</v>
      </c>
      <c r="BS24" s="142">
        <v>0</v>
      </c>
      <c r="BT24" s="142">
        <v>1806</v>
      </c>
      <c r="BU24" s="142">
        <v>831</v>
      </c>
      <c r="BV24" s="142"/>
      <c r="BW24" s="142"/>
      <c r="BX24" s="142"/>
      <c r="BY24" s="142"/>
      <c r="BZ24" s="142">
        <v>1332</v>
      </c>
      <c r="CA24" s="142">
        <v>1134</v>
      </c>
      <c r="CB24" s="142">
        <v>4723</v>
      </c>
      <c r="CC24" s="142">
        <v>7285</v>
      </c>
      <c r="CD24" s="59">
        <v>7.149</v>
      </c>
      <c r="CE24" s="59"/>
      <c r="CF24" s="206">
        <v>7.0730000000000004</v>
      </c>
      <c r="CG24" s="206"/>
      <c r="CH24" s="206">
        <v>0.92800000000000005</v>
      </c>
      <c r="CI24" s="206"/>
      <c r="CJ24" s="59">
        <v>1.3979999999999999</v>
      </c>
      <c r="CK24" s="59"/>
      <c r="CL24" s="206">
        <v>34.167000000000002</v>
      </c>
      <c r="CM24" s="206"/>
      <c r="CN24" s="206">
        <v>45.872999999999998</v>
      </c>
      <c r="CO24" s="206"/>
      <c r="CP24" s="206">
        <v>29.608000000000001</v>
      </c>
      <c r="CQ24" s="206"/>
      <c r="CR24" s="59">
        <v>0</v>
      </c>
      <c r="CS24" s="59"/>
      <c r="CT24" s="206">
        <v>1.0720000000000001</v>
      </c>
      <c r="CU24" s="206"/>
      <c r="CV24" s="206">
        <v>2.58</v>
      </c>
      <c r="CW24" s="258"/>
      <c r="CX24" s="204">
        <f>IFERROR(AVERAGEIF(RD[[#This Row],[IS1POA1 (KWh/m2)]:[IS7POA2 (KWh/m2)]],"&lt;&gt;0",RD[[#This Row],[IS1POA1 (KWh/m2)]:[IS7POA2 (KWh/m2)]]),"")</f>
        <v>7.149</v>
      </c>
      <c r="CY24" s="204">
        <f>IFERROR(AVERAGEIF(RD[[#This Row],[IS1GHI1 (KWh/m2)]:[IS7GHI2 (KWh/m2)]],"&lt;&gt;0",RD[[#This Row],[IS1GHI1 (KWh/m2)]:[IS7GHI2 (KWh/m2)]]),"")</f>
        <v>7.0730000000000004</v>
      </c>
      <c r="CZ24" s="204">
        <f>IFERROR(AVERAGEIF(RD[[#This Row],[IS1POA_BS1 (KWh/m2)]:[IS7POA_BS2 (KWh/m2)]],"&lt;&gt;0",RD[[#This Row],[IS1POA_BS1 (KWh/m2)]:[IS7POA_BS2 (KWh/m2)]]),"")</f>
        <v>0.92800000000000005</v>
      </c>
      <c r="DA24" s="204">
        <f>IFERROR(AVERAGEIF(RD[[#This Row],[IS1GHI_BS1 (KWh/m2)]:[IS1GHI_BS1 (KWh/m2)2]],"&lt;&gt;0",RD[[#This Row],[IS1GHI_BS1 (KWh/m2)]:[IS1GHI_BS1 (KWh/m2)2]]),"")</f>
        <v>1.3979999999999999</v>
      </c>
      <c r="DB24" s="204">
        <f>IFERROR(AVERAGEIF(RD[[#This Row],[IS1AT1 (°C)]:[IS7AT2 (°C)]],"&lt;&gt;0",RD[[#This Row],[IS1AT1 (°C)]:[IS7AT2 (°C)]]),"")</f>
        <v>34.167000000000002</v>
      </c>
      <c r="DC24" s="204">
        <f>IFERROR(AVERAGEIF(RD[[#This Row],[IS1MT1 (°C)]:[IS7MT2 (°C)]],"&lt;&gt;0",RD[[#This Row],[IS1MT1 (°C)]:[IS7MT2 (°C)]]),"")</f>
        <v>45.872999999999998</v>
      </c>
      <c r="DD24" s="204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204">
        <f>IFERROR(AVERAGEIF(RD[[#This Row],[WS_Solar1_Avg (m/s)]:[IS7_WS_Solar1_Avg (m/s)]],"&lt;&gt;0",RD[[#This Row],[WS_Solar1_Avg (m/s)]:[IS7_WS_Solar1_Avg (m/s)]]),"")</f>
        <v>1.0720000000000001</v>
      </c>
      <c r="DG24" s="204">
        <f>IFERROR(AVERAGEIF(RD[[#This Row],[WS_Solar1_Max (m/s)]:[IS7_WS_Solar1_Max (m/s)]],"&lt;&gt;0",RD[[#This Row],[WS_Solar1_Max (m/s)]:[IS7_WS_Solar1_Max (m/s)]]),"")</f>
        <v>2.58</v>
      </c>
      <c r="DH24" s="204">
        <f>SUM(RD[[#This Row],[IS1Inv1M1]:[IS4Inv4M2]])</f>
        <v>287121</v>
      </c>
      <c r="DI24" s="205">
        <f>SUM(RD[[#This Row],[IS7Inv1M1]]+RD[[#This Row],[IS7Inv2M1]])</f>
        <v>16799</v>
      </c>
      <c r="DJ24" s="204">
        <f>SUM(RD[[#This Row],[IS5Inv1M1]:[IS5Inv2M2]])</f>
        <v>41587</v>
      </c>
      <c r="DK24" s="204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86">
        <f>SUM(RD[[#This Row],[IS12Inv1M1]:[IS12Inv1M4]])</f>
        <v>21395</v>
      </c>
      <c r="DO24" s="286">
        <f>SUM(RD[[#This Row],[IS13Inv1M1]:[IS13Inv2M2]])</f>
        <v>3077</v>
      </c>
      <c r="DP24" s="204">
        <f>SUM(RD[[#This Row],[O2R15]:[O2R26]])</f>
        <v>604513</v>
      </c>
      <c r="DQ24" s="164">
        <v>36880.300000000003</v>
      </c>
      <c r="DR24" s="168">
        <v>201.9</v>
      </c>
      <c r="DS24" s="164">
        <v>31653.1</v>
      </c>
      <c r="DT24" s="164">
        <v>214.3</v>
      </c>
      <c r="DU24" s="168">
        <v>36380</v>
      </c>
      <c r="DV24" s="168">
        <v>385.4</v>
      </c>
      <c r="DW24" s="164">
        <v>4658.3999999999996</v>
      </c>
      <c r="DX24" s="168">
        <v>21.1</v>
      </c>
      <c r="DY24" s="168"/>
      <c r="DZ24" s="168"/>
      <c r="EA24" s="140">
        <v>87.69</v>
      </c>
      <c r="EB24" s="241">
        <v>110544773</v>
      </c>
      <c r="EC24" s="240">
        <v>871004.99199999997</v>
      </c>
      <c r="ED24" s="241">
        <v>1041</v>
      </c>
      <c r="EE24" s="241">
        <v>104906</v>
      </c>
      <c r="EF24" s="164">
        <v>153351.1</v>
      </c>
      <c r="EG24" s="164">
        <v>1720.3</v>
      </c>
      <c r="EH24" s="146">
        <f>IF((RD[[#This Row],[33 kV_F3_Ex
Incomer1]]-DQ23)*1000&lt;0,0,(RD[[#This Row],[33 kV_F3_Ex
Incomer1]]-DQ23)*1000)</f>
        <v>117300.00000000291</v>
      </c>
      <c r="EI24" s="146">
        <f>IF((RD[[#This Row],[34 kV_F3_Im
Incomer1]]-DR23)*1000&lt;0,0,(RD[[#This Row],[34 kV_F3_Im
Incomer1]]-DR23)*1000)</f>
        <v>200.00000000001705</v>
      </c>
      <c r="EJ24" s="146">
        <f>IF((RD[[#This Row],[33 kV_F4_Ex
Incomer2]]-DS23)*1000&lt;0,0,(RD[[#This Row],[33 kV_F4_Ex
Incomer2]]-DS23)*1000)</f>
        <v>109099.99999999854</v>
      </c>
      <c r="EK24" s="146">
        <f>IF((RD[[#This Row],[34 kV_F4_Im
Incomer2]]-DT23)*1000&lt;0,0,(RD[[#This Row],[34 kV_F4_Im
Incomer2]]-DT23)*1000)</f>
        <v>100.00000000002274</v>
      </c>
      <c r="EL24" s="146">
        <f>IF((RD[[#This Row],[33 kV_F5_Ex
Incomer3]]-DU23)*1000&lt;0,0,(RD[[#This Row],[33 kV_F5_Ex
Incomer3]]-DU23)*1000)</f>
        <v>144099.99999999854</v>
      </c>
      <c r="EM24" s="146">
        <f>IF((RD[[#This Row],[34 kV_F5_Im
Incomer3]]-DV23)*1000&lt;0,0,(RD[[#This Row],[34 kV_F5_Im
Incomer3]]-DV23)*1000)</f>
        <v>799.99999999995453</v>
      </c>
      <c r="EN24" s="146">
        <f>IF((RD[[#This Row],[33 kV_F6_Ex
Incomer4]]-DW23)*1000&lt;0,0,(RD[[#This Row],[33 kV_F6_Ex
Incomer4]]-DW23)*1000)</f>
        <v>107299.99999999927</v>
      </c>
      <c r="EO24" s="146">
        <f>IF((RD[[#This Row],[33 kV_F6_Im
Incomer4]]-DX23)*1000&lt;0,0,(RD[[#This Row],[33 kV_F6_Im
Incomer4]]-DX23)*1000)</f>
        <v>1200.0000000000027</v>
      </c>
      <c r="EP24" s="146">
        <f>IF((RD[[#This Row],[33 kV_F7_Ex
Incomer5]]-DY23)*1000&lt;0,0,(RD[[#This Row],[33 kV_F7_Ex
Incomer5]]-DY23)*1000)</f>
        <v>0</v>
      </c>
      <c r="EQ24" s="146">
        <f>IF((RD[[#This Row],[33 kV_F7_Im
Incomer5]]-DZ23)*1000&lt;0,0,(RD[[#This Row],[33 kV_F7_Im
Incomer5]]-DZ23)*1000)</f>
        <v>0</v>
      </c>
      <c r="ER24" s="146">
        <f>IF((RD[[#This Row],[33 kV_Aux Trafo]]-EA23)*1000&lt;0,0,(RD[[#This Row],[33 kV_Aux Trafo]]-EA23)*1000)</f>
        <v>239.99999999999488</v>
      </c>
      <c r="ES24" s="158">
        <f>IF((RD[[#This Row],[33kV_OG1_Ex_]]-EB23)*1&lt;0,0,(RD[[#This Row],[33kV_OG1_Ex_]]-EB23)*1)</f>
        <v>595239</v>
      </c>
      <c r="ET24" s="146">
        <f>IF((RD[[#This Row],[33kV_OG1_Im]]-EC23)*1&lt;0,0,(RD[[#This Row],[33kV_OG1_Im]]-EC23)*1)</f>
        <v>2399.0399999999208</v>
      </c>
      <c r="EU24" s="146">
        <f>IF((RD[[#This Row],[132kV_TX1_EX]]-ED23)*720&lt;=0,"",(RD[[#This Row],[132kV_TX1_EX]]-ED23)*720)</f>
        <v>2160</v>
      </c>
      <c r="EV24" s="146">
        <f>IF((RD[[#This Row],[132 kV_Tx1_Im]]-EE23)*720&lt;=0,0,(RD[[#This Row],[132 kV_Tx1_Im]]-EE23)*720)</f>
        <v>426960</v>
      </c>
      <c r="EW24" s="146">
        <f>IF((RD[[#This Row],[132kV_L1_Ex]]-EF23)*720&lt;=0,0,(RD[[#This Row],[132kV_L1_Ex]]-EF23)*720)</f>
        <v>593207.99999999581</v>
      </c>
      <c r="EX24" s="146">
        <f>IF((RD[[#This Row],[132kV_L1_Im]]-EG23)*720&lt;=0,0,(RD[[#This Row],[132kV_L1_Im]]-EG23)*720)</f>
        <v>2951.9999999999345</v>
      </c>
      <c r="EY24" s="242">
        <f>IFERROR(RD[[#This Row],[33kV_OG1_Ex (MWh)]]+RD[[#This Row],[33kV_OG1_Im (MWh)]],"")</f>
        <v>597638.03999999992</v>
      </c>
      <c r="EZ24" s="148">
        <f>RD[[#This Row],[33kV_OG1_Ex (MWh)]]-RD[[#This Row],[33kV_OG1_Im (MWh)]]</f>
        <v>592839.96000000008</v>
      </c>
      <c r="FA24" s="148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43">
        <f>IFERROR((RD[[#This Row],[Sunset Time (POA&lt;20 W/m2)]]-RD[[#This Row],[Sunrise Time (POA&gt;20 W/m2)]])*24,0)</f>
        <v>11.933333333333332</v>
      </c>
      <c r="FD24" s="244">
        <v>105</v>
      </c>
      <c r="FE24" t="s">
        <v>275</v>
      </c>
      <c r="FF24"/>
      <c r="FG24"/>
    </row>
    <row r="25" spans="1:163">
      <c r="A25" s="133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52">
        <v>0.26805555555555555</v>
      </c>
      <c r="G25" s="162">
        <v>0.76597222222222228</v>
      </c>
      <c r="H25" s="124">
        <v>7852.7</v>
      </c>
      <c r="I25" s="124">
        <v>7869.8</v>
      </c>
      <c r="J25" s="124">
        <v>7409.9</v>
      </c>
      <c r="K25" s="124">
        <v>7368.2</v>
      </c>
      <c r="L25" s="124">
        <v>7528.6</v>
      </c>
      <c r="M25" s="124">
        <v>7747.8</v>
      </c>
      <c r="N25" s="124">
        <v>7563.6</v>
      </c>
      <c r="O25" s="124">
        <v>8180.9</v>
      </c>
      <c r="P25" s="124">
        <v>7685.5</v>
      </c>
      <c r="Q25" s="124">
        <v>7586.8</v>
      </c>
      <c r="R25" s="124">
        <v>7806.8</v>
      </c>
      <c r="S25" s="124">
        <v>7759.2</v>
      </c>
      <c r="T25" s="124">
        <v>8114.6</v>
      </c>
      <c r="U25" s="124">
        <v>7805</v>
      </c>
      <c r="V25" s="124">
        <v>7979.5</v>
      </c>
      <c r="W25" s="124">
        <v>7805.8</v>
      </c>
      <c r="X25" s="203">
        <v>10933.7</v>
      </c>
      <c r="Y25" s="203">
        <v>11863.4</v>
      </c>
      <c r="Z25" s="203">
        <v>10677.7</v>
      </c>
      <c r="AA25" s="203">
        <v>11043.3</v>
      </c>
      <c r="AB25" s="203">
        <v>11593.4</v>
      </c>
      <c r="AC25" s="203">
        <v>7238.6</v>
      </c>
      <c r="AD25" s="203">
        <v>10857.1</v>
      </c>
      <c r="AE25" s="203">
        <v>11015.9</v>
      </c>
      <c r="AF25" s="203">
        <v>10795.4</v>
      </c>
      <c r="AG25" s="203">
        <v>10825</v>
      </c>
      <c r="AH25" s="203">
        <v>10856.7</v>
      </c>
      <c r="AI25" s="203">
        <v>10937.8</v>
      </c>
      <c r="AJ25" s="142">
        <v>8756.4</v>
      </c>
      <c r="AK25" s="142">
        <v>9062.7999999999993</v>
      </c>
      <c r="AL25" s="142">
        <v>8894.2000000000007</v>
      </c>
      <c r="AM25" s="142">
        <v>8943.5</v>
      </c>
      <c r="AN25" s="142">
        <v>8906.9</v>
      </c>
      <c r="AO25" s="142">
        <v>9320</v>
      </c>
      <c r="AP25" s="142">
        <v>9107</v>
      </c>
      <c r="AQ25" s="142">
        <v>9002.7999999999993</v>
      </c>
      <c r="AR25" s="142">
        <v>7272.3</v>
      </c>
      <c r="AS25" s="142">
        <v>7334</v>
      </c>
      <c r="AT25" s="142">
        <v>7958</v>
      </c>
      <c r="AU25" s="142">
        <v>8105</v>
      </c>
      <c r="AV25" s="142">
        <v>8287</v>
      </c>
      <c r="AW25" s="142">
        <v>8097</v>
      </c>
      <c r="AX25" s="142">
        <v>10002.700000000001</v>
      </c>
      <c r="AY25" s="142">
        <v>11407</v>
      </c>
      <c r="AZ25" s="142">
        <v>8417</v>
      </c>
      <c r="BA25" s="142">
        <v>10094.4</v>
      </c>
      <c r="BB25" s="142">
        <v>10263</v>
      </c>
      <c r="BC25" s="142">
        <v>7976</v>
      </c>
      <c r="BD25" s="142">
        <v>8343</v>
      </c>
      <c r="BE25" s="142">
        <v>9998.9</v>
      </c>
      <c r="BF25" s="142">
        <v>20679</v>
      </c>
      <c r="BG25" s="142">
        <v>10686</v>
      </c>
      <c r="BH25" s="142">
        <v>6595</v>
      </c>
      <c r="BI25" s="142">
        <v>4033</v>
      </c>
      <c r="BJ25" s="142">
        <v>6583</v>
      </c>
      <c r="BK25" s="142">
        <v>3669</v>
      </c>
      <c r="BL25" s="142">
        <v>6382</v>
      </c>
      <c r="BM25" s="142">
        <v>6042</v>
      </c>
      <c r="BN25" s="142">
        <v>6679</v>
      </c>
      <c r="BO25" s="142">
        <v>4699</v>
      </c>
      <c r="BP25" s="142">
        <v>5234</v>
      </c>
      <c r="BQ25" s="142">
        <v>2882</v>
      </c>
      <c r="BR25" s="142">
        <v>1373</v>
      </c>
      <c r="BS25" s="142">
        <v>0</v>
      </c>
      <c r="BT25" s="142">
        <v>1556</v>
      </c>
      <c r="BU25" s="142">
        <v>713</v>
      </c>
      <c r="BV25" s="142"/>
      <c r="BW25" s="142"/>
      <c r="BX25" s="142"/>
      <c r="BY25" s="142"/>
      <c r="BZ25" s="142">
        <v>1139</v>
      </c>
      <c r="CA25" s="142">
        <v>969</v>
      </c>
      <c r="CB25" s="142">
        <v>4100</v>
      </c>
      <c r="CC25" s="142">
        <v>6296</v>
      </c>
      <c r="CD25" s="59">
        <v>6.3220000000000001</v>
      </c>
      <c r="CE25" s="59"/>
      <c r="CF25" s="206">
        <v>6.26</v>
      </c>
      <c r="CG25" s="206"/>
      <c r="CH25" s="206">
        <v>0.77400000000000002</v>
      </c>
      <c r="CI25" s="206"/>
      <c r="CJ25" s="59">
        <v>1.248</v>
      </c>
      <c r="CK25" s="59"/>
      <c r="CL25" s="206">
        <v>34.081000000000003</v>
      </c>
      <c r="CM25" s="206"/>
      <c r="CN25" s="206">
        <v>45.521000000000001</v>
      </c>
      <c r="CO25" s="206"/>
      <c r="CP25" s="206">
        <v>28.576000000000001</v>
      </c>
      <c r="CQ25" s="206"/>
      <c r="CR25" s="59">
        <v>0</v>
      </c>
      <c r="CS25" s="59"/>
      <c r="CT25" s="206">
        <v>1.167</v>
      </c>
      <c r="CU25" s="206"/>
      <c r="CV25" s="206">
        <v>3.117</v>
      </c>
      <c r="CW25" s="258"/>
      <c r="CX25" s="204">
        <f>IFERROR(AVERAGEIF(RD[[#This Row],[IS1POA1 (KWh/m2)]:[IS7POA2 (KWh/m2)]],"&lt;&gt;0",RD[[#This Row],[IS1POA1 (KWh/m2)]:[IS7POA2 (KWh/m2)]]),"")</f>
        <v>6.3220000000000001</v>
      </c>
      <c r="CY25" s="204">
        <f>IFERROR(AVERAGEIF(RD[[#This Row],[IS1GHI1 (KWh/m2)]:[IS7GHI2 (KWh/m2)]],"&lt;&gt;0",RD[[#This Row],[IS1GHI1 (KWh/m2)]:[IS7GHI2 (KWh/m2)]]),"")</f>
        <v>6.26</v>
      </c>
      <c r="CZ25" s="204">
        <f>IFERROR(AVERAGEIF(RD[[#This Row],[IS1POA_BS1 (KWh/m2)]:[IS7POA_BS2 (KWh/m2)]],"&lt;&gt;0",RD[[#This Row],[IS1POA_BS1 (KWh/m2)]:[IS7POA_BS2 (KWh/m2)]]),"")</f>
        <v>0.77400000000000002</v>
      </c>
      <c r="DA25" s="204">
        <f>IFERROR(AVERAGEIF(RD[[#This Row],[IS1GHI_BS1 (KWh/m2)]:[IS1GHI_BS1 (KWh/m2)2]],"&lt;&gt;0",RD[[#This Row],[IS1GHI_BS1 (KWh/m2)]:[IS1GHI_BS1 (KWh/m2)2]]),"")</f>
        <v>1.248</v>
      </c>
      <c r="DB25" s="204">
        <f>IFERROR(AVERAGEIF(RD[[#This Row],[IS1AT1 (°C)]:[IS7AT2 (°C)]],"&lt;&gt;0",RD[[#This Row],[IS1AT1 (°C)]:[IS7AT2 (°C)]]),"")</f>
        <v>34.081000000000003</v>
      </c>
      <c r="DC25" s="204">
        <f>IFERROR(AVERAGEIF(RD[[#This Row],[IS1MT1 (°C)]:[IS7MT2 (°C)]],"&lt;&gt;0",RD[[#This Row],[IS1MT1 (°C)]:[IS7MT2 (°C)]]),"")</f>
        <v>45.521000000000001</v>
      </c>
      <c r="DD25" s="204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204">
        <f>IFERROR(AVERAGEIF(RD[[#This Row],[WS_Solar1_Avg (m/s)]:[IS7_WS_Solar1_Avg (m/s)]],"&lt;&gt;0",RD[[#This Row],[WS_Solar1_Avg (m/s)]:[IS7_WS_Solar1_Avg (m/s)]]),"")</f>
        <v>1.167</v>
      </c>
      <c r="DG25" s="204">
        <f>IFERROR(AVERAGEIF(RD[[#This Row],[WS_Solar1_Max (m/s)]:[IS7_WS_Solar1_Max (m/s)]],"&lt;&gt;0",RD[[#This Row],[WS_Solar1_Max (m/s)]:[IS7_WS_Solar1_Max (m/s)]]),"")</f>
        <v>3.117</v>
      </c>
      <c r="DH25" s="204">
        <f>SUM(RD[[#This Row],[IS1Inv1M1]:[IS4Inv4M2]])</f>
        <v>252702.7</v>
      </c>
      <c r="DI25" s="205">
        <f>SUM(RD[[#This Row],[IS7Inv1M1]]+RD[[#This Row],[IS7Inv2M1]])</f>
        <v>14606.3</v>
      </c>
      <c r="DJ25" s="204">
        <f>SUM(RD[[#This Row],[IS5Inv1M1]:[IS5Inv2M2]])</f>
        <v>35656.899999999994</v>
      </c>
      <c r="DK25" s="204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86">
        <f>SUM(RD[[#This Row],[IS12Inv1M1]:[IS12Inv1M4]])</f>
        <v>19494</v>
      </c>
      <c r="DO25" s="286">
        <f>SUM(RD[[#This Row],[IS13Inv1M1]:[IS13Inv2M2]])</f>
        <v>3642</v>
      </c>
      <c r="DP25" s="204">
        <f>SUM(RD[[#This Row],[O2R15]:[O2R26]])</f>
        <v>548560.6</v>
      </c>
      <c r="DQ25" s="164">
        <v>36973.599999999999</v>
      </c>
      <c r="DR25" s="168">
        <v>202.1</v>
      </c>
      <c r="DS25" s="164">
        <v>31741.3</v>
      </c>
      <c r="DT25" s="164">
        <v>214.5</v>
      </c>
      <c r="DU25" s="168">
        <v>36492.6</v>
      </c>
      <c r="DV25" s="168">
        <v>385.8</v>
      </c>
      <c r="DW25" s="164">
        <v>4749.5</v>
      </c>
      <c r="DX25" s="168">
        <v>21.7</v>
      </c>
      <c r="DY25" s="168"/>
      <c r="DZ25" s="168"/>
      <c r="EA25" s="140">
        <v>87.87</v>
      </c>
      <c r="EB25" s="241">
        <v>111071920</v>
      </c>
      <c r="EC25" s="240">
        <v>872561.6</v>
      </c>
      <c r="ED25" s="241">
        <v>1043</v>
      </c>
      <c r="EE25" s="241">
        <v>105431</v>
      </c>
      <c r="EF25" s="164">
        <v>154080.79999999999</v>
      </c>
      <c r="EG25" s="164">
        <v>1723.2</v>
      </c>
      <c r="EH25" s="146">
        <f>IF((RD[[#This Row],[33 kV_F3_Ex
Incomer1]]-DQ24)*1000&lt;0,0,(RD[[#This Row],[33 kV_F3_Ex
Incomer1]]-DQ24)*1000)</f>
        <v>93299.999999995634</v>
      </c>
      <c r="EI25" s="146">
        <f>IF((RD[[#This Row],[34 kV_F3_Im
Incomer1]]-DR24)*1000&lt;0,0,(RD[[#This Row],[34 kV_F3_Im
Incomer1]]-DR24)*1000)</f>
        <v>199.99999999998863</v>
      </c>
      <c r="EJ25" s="146">
        <f>IF((RD[[#This Row],[33 kV_F4_Ex
Incomer2]]-DS24)*1000&lt;0,0,(RD[[#This Row],[33 kV_F4_Ex
Incomer2]]-DS24)*1000)</f>
        <v>88200.000000000728</v>
      </c>
      <c r="EK25" s="146">
        <f>IF((RD[[#This Row],[34 kV_F4_Im
Incomer2]]-DT24)*1000&lt;0,0,(RD[[#This Row],[34 kV_F4_Im
Incomer2]]-DT24)*1000)</f>
        <v>199.99999999998863</v>
      </c>
      <c r="EL25" s="146">
        <f>IF((RD[[#This Row],[33 kV_F5_Ex
Incomer3]]-DU24)*1000&lt;0,0,(RD[[#This Row],[33 kV_F5_Ex
Incomer3]]-DU24)*1000)</f>
        <v>112599.99999999854</v>
      </c>
      <c r="EM25" s="146">
        <f>IF((RD[[#This Row],[34 kV_F5_Im
Incomer3]]-DV24)*1000&lt;0,0,(RD[[#This Row],[34 kV_F5_Im
Incomer3]]-DV24)*1000)</f>
        <v>400.00000000003411</v>
      </c>
      <c r="EN25" s="146">
        <f>IF((RD[[#This Row],[33 kV_F6_Ex
Incomer4]]-DW24)*1000&lt;0,0,(RD[[#This Row],[33 kV_F6_Ex
Incomer4]]-DW24)*1000)</f>
        <v>91100.000000000364</v>
      </c>
      <c r="EO25" s="146">
        <f>IF((RD[[#This Row],[33 kV_F6_Im
Incomer4]]-DX24)*1000&lt;0,0,(RD[[#This Row],[33 kV_F6_Im
Incomer4]]-DX24)*1000)</f>
        <v>599.99999999999784</v>
      </c>
      <c r="EP25" s="146">
        <f>IF((RD[[#This Row],[33 kV_F7_Ex
Incomer5]]-DY24)*1000&lt;0,0,(RD[[#This Row],[33 kV_F7_Ex
Incomer5]]-DY24)*1000)</f>
        <v>0</v>
      </c>
      <c r="EQ25" s="146">
        <f>IF((RD[[#This Row],[33 kV_F7_Im
Incomer5]]-DZ24)*1000&lt;0,0,(RD[[#This Row],[33 kV_F7_Im
Incomer5]]-DZ24)*1000)</f>
        <v>0</v>
      </c>
      <c r="ER25" s="146">
        <f>IF((RD[[#This Row],[33 kV_Aux Trafo]]-EA24)*1000&lt;0,0,(RD[[#This Row],[33 kV_Aux Trafo]]-EA24)*1000)</f>
        <v>180.00000000000682</v>
      </c>
      <c r="ES25" s="158">
        <f>IF((RD[[#This Row],[33kV_OG1_Ex_]]-EB24)*1&lt;0,0,(RD[[#This Row],[33kV_OG1_Ex_]]-EB24)*1)</f>
        <v>527147</v>
      </c>
      <c r="ET25" s="146">
        <f>IF((RD[[#This Row],[33kV_OG1_Im]]-EC24)*1&lt;0,0,(RD[[#This Row],[33kV_OG1_Im]]-EC24)*1)</f>
        <v>1556.6080000000075</v>
      </c>
      <c r="EU25" s="146">
        <f>IF((RD[[#This Row],[132kV_TX1_EX]]-ED24)*720&lt;=0,"",(RD[[#This Row],[132kV_TX1_EX]]-ED24)*720)</f>
        <v>1440</v>
      </c>
      <c r="EV25" s="146">
        <f>IF((RD[[#This Row],[132 kV_Tx1_Im]]-EE24)*720&lt;=0,0,(RD[[#This Row],[132 kV_Tx1_Im]]-EE24)*720)</f>
        <v>378000</v>
      </c>
      <c r="EW25" s="146">
        <f>IF((RD[[#This Row],[132kV_L1_Ex]]-EF24)*720&lt;=0,0,(RD[[#This Row],[132kV_L1_Ex]]-EF24)*720)</f>
        <v>525383.99999998743</v>
      </c>
      <c r="EX25" s="146">
        <f>IF((RD[[#This Row],[132kV_L1_Im]]-EG24)*720&lt;=0,0,(RD[[#This Row],[132kV_L1_Im]]-EG24)*720)</f>
        <v>2088.0000000000655</v>
      </c>
      <c r="EY25" s="242">
        <f>IFERROR(RD[[#This Row],[33kV_OG1_Ex (MWh)]]+RD[[#This Row],[33kV_OG1_Im (MWh)]],"")</f>
        <v>528703.60800000001</v>
      </c>
      <c r="EZ25" s="148">
        <f>RD[[#This Row],[33kV_OG1_Ex (MWh)]]-RD[[#This Row],[33kV_OG1_Im (MWh)]]</f>
        <v>525590.39199999999</v>
      </c>
      <c r="FA25" s="148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43">
        <f>IFERROR((RD[[#This Row],[Sunset Time (POA&lt;20 W/m2)]]-RD[[#This Row],[Sunrise Time (POA&gt;20 W/m2)]])*24,0)</f>
        <v>11.950000000000001</v>
      </c>
      <c r="FD25" s="244">
        <v>105</v>
      </c>
      <c r="FE25" t="s">
        <v>265</v>
      </c>
      <c r="FF25"/>
      <c r="FG25"/>
    </row>
    <row r="26" spans="1:163">
      <c r="A26" s="133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52">
        <v>0.26458333333333334</v>
      </c>
      <c r="G26" s="162">
        <v>0.76736111111111116</v>
      </c>
      <c r="H26" s="124">
        <v>9048.5</v>
      </c>
      <c r="I26" s="124">
        <v>9015.9</v>
      </c>
      <c r="J26" s="124">
        <v>8548.2999999999993</v>
      </c>
      <c r="K26" s="124">
        <v>8558.1</v>
      </c>
      <c r="L26" s="124">
        <v>8769.5</v>
      </c>
      <c r="M26" s="124">
        <v>9032.6</v>
      </c>
      <c r="N26" s="124">
        <v>8815.7000000000007</v>
      </c>
      <c r="O26" s="124">
        <v>9393.1</v>
      </c>
      <c r="P26" s="124">
        <v>8821.7999999999993</v>
      </c>
      <c r="Q26" s="124">
        <v>8758</v>
      </c>
      <c r="R26" s="124">
        <v>9017.2999999999993</v>
      </c>
      <c r="S26" s="124">
        <v>9019.2999999999993</v>
      </c>
      <c r="T26" s="124">
        <v>9284.6</v>
      </c>
      <c r="U26" s="124">
        <v>9006.7999999999993</v>
      </c>
      <c r="V26" s="124">
        <v>9145.1</v>
      </c>
      <c r="W26" s="124">
        <v>8977.7999999999993</v>
      </c>
      <c r="X26" s="203">
        <v>12653</v>
      </c>
      <c r="Y26" s="203">
        <v>13628.1</v>
      </c>
      <c r="Z26" s="203">
        <v>12198.8</v>
      </c>
      <c r="AA26" s="203">
        <v>12728.9</v>
      </c>
      <c r="AB26" s="203">
        <v>13443.2</v>
      </c>
      <c r="AC26" s="203">
        <v>8325.7000000000007</v>
      </c>
      <c r="AD26" s="203">
        <v>12683.5</v>
      </c>
      <c r="AE26" s="203">
        <v>12813.3</v>
      </c>
      <c r="AF26" s="203">
        <v>12499</v>
      </c>
      <c r="AG26" s="203">
        <v>12432</v>
      </c>
      <c r="AH26" s="203">
        <v>12587.8</v>
      </c>
      <c r="AI26" s="203">
        <v>12714</v>
      </c>
      <c r="AJ26" s="142">
        <v>10389.6</v>
      </c>
      <c r="AK26" s="142">
        <v>10672.1</v>
      </c>
      <c r="AL26" s="142">
        <v>10466.5</v>
      </c>
      <c r="AM26" s="142">
        <v>10509.8</v>
      </c>
      <c r="AN26" s="142">
        <v>10571.4</v>
      </c>
      <c r="AO26" s="142">
        <v>10904.9</v>
      </c>
      <c r="AP26" s="142">
        <v>10750.4</v>
      </c>
      <c r="AQ26" s="142">
        <v>10588.7</v>
      </c>
      <c r="AR26" s="142">
        <v>8624.2000000000007</v>
      </c>
      <c r="AS26" s="142">
        <v>8688.1</v>
      </c>
      <c r="AT26" s="142">
        <v>8452.9</v>
      </c>
      <c r="AU26" s="142">
        <v>8650</v>
      </c>
      <c r="AV26" s="142">
        <v>8836.7000000000007</v>
      </c>
      <c r="AW26" s="142">
        <v>8708</v>
      </c>
      <c r="AX26" s="142">
        <v>12246</v>
      </c>
      <c r="AY26" s="142">
        <v>13347.4</v>
      </c>
      <c r="AZ26" s="142">
        <v>9864</v>
      </c>
      <c r="BA26" s="142">
        <v>11841.4</v>
      </c>
      <c r="BB26" s="142">
        <v>12082.9</v>
      </c>
      <c r="BC26" s="142">
        <v>9243.7999999999993</v>
      </c>
      <c r="BD26" s="142">
        <v>9745.2999999999993</v>
      </c>
      <c r="BE26" s="142">
        <v>11762.4</v>
      </c>
      <c r="BF26" s="142">
        <v>12586</v>
      </c>
      <c r="BG26" s="142">
        <v>12729</v>
      </c>
      <c r="BH26" s="142">
        <v>7681.1</v>
      </c>
      <c r="BI26" s="142">
        <v>4714.3</v>
      </c>
      <c r="BJ26" s="142">
        <v>7610</v>
      </c>
      <c r="BK26" s="142">
        <v>4294</v>
      </c>
      <c r="BL26" s="142">
        <v>7084</v>
      </c>
      <c r="BM26" s="142">
        <v>7053</v>
      </c>
      <c r="BN26" s="142"/>
      <c r="BO26" s="142"/>
      <c r="BP26" s="142"/>
      <c r="BQ26" s="142"/>
      <c r="BR26" s="142">
        <v>1647</v>
      </c>
      <c r="BS26" s="142">
        <v>0</v>
      </c>
      <c r="BT26" s="142">
        <v>1845</v>
      </c>
      <c r="BU26" s="142">
        <v>846</v>
      </c>
      <c r="BV26" s="142"/>
      <c r="BW26" s="142"/>
      <c r="BX26" s="142"/>
      <c r="BY26" s="142"/>
      <c r="BZ26" s="142"/>
      <c r="CA26" s="142"/>
      <c r="CB26" s="142"/>
      <c r="CC26" s="142"/>
      <c r="CD26" s="59">
        <v>7.2034397833333221</v>
      </c>
      <c r="CE26" s="59"/>
      <c r="CF26" s="206">
        <v>7.1534676333333289</v>
      </c>
      <c r="CG26" s="206"/>
      <c r="CH26" s="206">
        <v>0.94859071666666694</v>
      </c>
      <c r="CI26" s="206"/>
      <c r="CJ26" s="59">
        <v>1.4176835499999965</v>
      </c>
      <c r="CK26" s="59"/>
      <c r="CL26" s="206">
        <v>33.854152777777742</v>
      </c>
      <c r="CM26" s="206"/>
      <c r="CN26" s="206">
        <v>45.871319444444431</v>
      </c>
      <c r="CO26" s="206"/>
      <c r="CP26" s="206">
        <v>27.38393055555553</v>
      </c>
      <c r="CQ26" s="206"/>
      <c r="CR26" s="59">
        <v>0</v>
      </c>
      <c r="CS26" s="59"/>
      <c r="CT26" s="206">
        <v>1.3137354166666648</v>
      </c>
      <c r="CU26" s="206"/>
      <c r="CV26" s="206">
        <v>3.1829999999999998</v>
      </c>
      <c r="CW26" s="258"/>
      <c r="CX26" s="204">
        <f>IFERROR(AVERAGEIF(RD[[#This Row],[IS1POA1 (KWh/m2)]:[IS7POA2 (KWh/m2)]],"&lt;&gt;0",RD[[#This Row],[IS1POA1 (KWh/m2)]:[IS7POA2 (KWh/m2)]]),"")</f>
        <v>7.2034397833333221</v>
      </c>
      <c r="CY26" s="204">
        <f>IFERROR(AVERAGEIF(RD[[#This Row],[IS1GHI1 (KWh/m2)]:[IS7GHI2 (KWh/m2)]],"&lt;&gt;0",RD[[#This Row],[IS1GHI1 (KWh/m2)]:[IS7GHI2 (KWh/m2)]]),"")</f>
        <v>7.1534676333333289</v>
      </c>
      <c r="CZ26" s="204">
        <f>IFERROR(AVERAGEIF(RD[[#This Row],[IS1POA_BS1 (KWh/m2)]:[IS7POA_BS2 (KWh/m2)]],"&lt;&gt;0",RD[[#This Row],[IS1POA_BS1 (KWh/m2)]:[IS7POA_BS2 (KWh/m2)]]),"")</f>
        <v>0.94859071666666694</v>
      </c>
      <c r="DA26" s="204">
        <f>IFERROR(AVERAGEIF(RD[[#This Row],[IS1GHI_BS1 (KWh/m2)]:[IS1GHI_BS1 (KWh/m2)2]],"&lt;&gt;0",RD[[#This Row],[IS1GHI_BS1 (KWh/m2)]:[IS1GHI_BS1 (KWh/m2)2]]),"")</f>
        <v>1.4176835499999965</v>
      </c>
      <c r="DB26" s="204">
        <f>IFERROR(AVERAGEIF(RD[[#This Row],[IS1AT1 (°C)]:[IS7AT2 (°C)]],"&lt;&gt;0",RD[[#This Row],[IS1AT1 (°C)]:[IS7AT2 (°C)]]),"")</f>
        <v>33.854152777777742</v>
      </c>
      <c r="DC26" s="204">
        <f>IFERROR(AVERAGEIF(RD[[#This Row],[IS1MT1 (°C)]:[IS7MT2 (°C)]],"&lt;&gt;0",RD[[#This Row],[IS1MT1 (°C)]:[IS7MT2 (°C)]]),"")</f>
        <v>45.871319444444431</v>
      </c>
      <c r="DD26" s="204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204">
        <f>IFERROR(AVERAGEIF(RD[[#This Row],[WS_Solar1_Avg (m/s)]:[IS7_WS_Solar1_Avg (m/s)]],"&lt;&gt;0",RD[[#This Row],[WS_Solar1_Avg (m/s)]:[IS7_WS_Solar1_Avg (m/s)]]),"")</f>
        <v>1.3137354166666648</v>
      </c>
      <c r="DG26" s="204">
        <f>IFERROR(AVERAGEIF(RD[[#This Row],[WS_Solar1_Max (m/s)]:[IS7_WS_Solar1_Max (m/s)]],"&lt;&gt;0",RD[[#This Row],[WS_Solar1_Max (m/s)]:[IS7_WS_Solar1_Max (m/s)]]),"")</f>
        <v>3.1829999999999998</v>
      </c>
      <c r="DH26" s="204">
        <f>SUM(RD[[#This Row],[IS1Inv1M1]:[IS4Inv4M2]])</f>
        <v>291919.7</v>
      </c>
      <c r="DI26" s="205">
        <f>SUM(RD[[#This Row],[IS7Inv1M1]]+RD[[#This Row],[IS7Inv2M1]])</f>
        <v>17312.300000000003</v>
      </c>
      <c r="DJ26" s="204">
        <f>SUM(RD[[#This Row],[IS5Inv1M1]:[IS5Inv2M2]])</f>
        <v>42038</v>
      </c>
      <c r="DK26" s="204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86">
        <f>SUM(RD[[#This Row],[IS12Inv1M1]:[IS12Inv1M4]])</f>
        <v>0</v>
      </c>
      <c r="DO26" s="286">
        <f>SUM(RD[[#This Row],[IS13Inv1M1]:[IS13Inv2M2]])</f>
        <v>4338</v>
      </c>
      <c r="DP26" s="204">
        <f>SUM(RD[[#This Row],[O2R15]:[O2R26]])</f>
        <v>586955.60000000009</v>
      </c>
      <c r="DQ26" s="164">
        <v>37072.800000000003</v>
      </c>
      <c r="DR26" s="168">
        <v>202.3</v>
      </c>
      <c r="DS26" s="164">
        <v>31834.400000000001</v>
      </c>
      <c r="DT26" s="164">
        <v>214.8</v>
      </c>
      <c r="DU26" s="168">
        <v>36614.400000000001</v>
      </c>
      <c r="DV26" s="168">
        <v>386.4</v>
      </c>
      <c r="DW26" s="164">
        <v>4848.3999999999996</v>
      </c>
      <c r="DX26" s="168">
        <v>22.5</v>
      </c>
      <c r="DY26" s="168"/>
      <c r="DZ26" s="168"/>
      <c r="EA26" s="140">
        <v>88.09</v>
      </c>
      <c r="EB26" s="241">
        <v>111687254</v>
      </c>
      <c r="EC26" s="240">
        <v>875620.54599999997</v>
      </c>
      <c r="ED26" s="241">
        <v>1047</v>
      </c>
      <c r="EE26" s="241">
        <v>106044</v>
      </c>
      <c r="EF26" s="164">
        <v>154932.5</v>
      </c>
      <c r="EG26" s="164">
        <v>1728.5</v>
      </c>
      <c r="EH26" s="146">
        <f>IF((RD[[#This Row],[33 kV_F3_Ex
Incomer1]]-DQ25)*1000&lt;0,0,(RD[[#This Row],[33 kV_F3_Ex
Incomer1]]-DQ25)*1000)</f>
        <v>99200.000000004366</v>
      </c>
      <c r="EI26" s="146">
        <f>IF((RD[[#This Row],[34 kV_F3_Im
Incomer1]]-DR25)*1000&lt;0,0,(RD[[#This Row],[34 kV_F3_Im
Incomer1]]-DR25)*1000)</f>
        <v>200.00000000001705</v>
      </c>
      <c r="EJ26" s="146">
        <f>IF((RD[[#This Row],[33 kV_F4_Ex
Incomer2]]-DS25)*1000&lt;0,0,(RD[[#This Row],[33 kV_F4_Ex
Incomer2]]-DS25)*1000)</f>
        <v>93100.000000002183</v>
      </c>
      <c r="EK26" s="146">
        <f>IF((RD[[#This Row],[34 kV_F4_Im
Incomer2]]-DT25)*1000&lt;0,0,(RD[[#This Row],[34 kV_F4_Im
Incomer2]]-DT25)*1000)</f>
        <v>300.00000000001137</v>
      </c>
      <c r="EL26" s="146">
        <f>IF((RD[[#This Row],[33 kV_F5_Ex
Incomer3]]-DU25)*1000&lt;0,0,(RD[[#This Row],[33 kV_F5_Ex
Incomer3]]-DU25)*1000)</f>
        <v>121800.00000000291</v>
      </c>
      <c r="EM26" s="146">
        <f>IF((RD[[#This Row],[34 kV_F5_Im
Incomer3]]-DV25)*1000&lt;0,0,(RD[[#This Row],[34 kV_F5_Im
Incomer3]]-DV25)*1000)</f>
        <v>599.99999999996589</v>
      </c>
      <c r="EN26" s="146">
        <f>IF((RD[[#This Row],[33 kV_F6_Ex
Incomer4]]-DW25)*1000&lt;0,0,(RD[[#This Row],[33 kV_F6_Ex
Incomer4]]-DW25)*1000)</f>
        <v>98899.999999999636</v>
      </c>
      <c r="EO26" s="146">
        <f>IF((RD[[#This Row],[33 kV_F6_Im
Incomer4]]-DX25)*1000&lt;0,0,(RD[[#This Row],[33 kV_F6_Im
Incomer4]]-DX25)*1000)</f>
        <v>800.00000000000068</v>
      </c>
      <c r="EP26" s="146">
        <f>IF((RD[[#This Row],[33 kV_F7_Ex
Incomer5]]-DY25)*1000&lt;0,0,(RD[[#This Row],[33 kV_F7_Ex
Incomer5]]-DY25)*1000)</f>
        <v>0</v>
      </c>
      <c r="EQ26" s="146">
        <f>IF((RD[[#This Row],[33 kV_F7_Im
Incomer5]]-DZ25)*1000&lt;0,0,(RD[[#This Row],[33 kV_F7_Im
Incomer5]]-DZ25)*1000)</f>
        <v>0</v>
      </c>
      <c r="ER26" s="146">
        <f>IF((RD[[#This Row],[33 kV_Aux Trafo]]-EA25)*1000&lt;0,0,(RD[[#This Row],[33 kV_Aux Trafo]]-EA25)*1000)</f>
        <v>219.99999999999886</v>
      </c>
      <c r="ES26" s="158">
        <f>IF((RD[[#This Row],[33kV_OG1_Ex_]]-EB25)*1&lt;0,0,(RD[[#This Row],[33kV_OG1_Ex_]]-EB25)*1)</f>
        <v>615334</v>
      </c>
      <c r="ET26" s="146">
        <f>IF((RD[[#This Row],[33kV_OG1_Im]]-EC25)*1&lt;0,0,(RD[[#This Row],[33kV_OG1_Im]]-EC25)*1)</f>
        <v>3058.9459999999963</v>
      </c>
      <c r="EU26" s="146">
        <f>IF((RD[[#This Row],[132kV_TX1_EX]]-ED25)*720&lt;=0,"",(RD[[#This Row],[132kV_TX1_EX]]-ED25)*720)</f>
        <v>2880</v>
      </c>
      <c r="EV26" s="146">
        <f>IF((RD[[#This Row],[132 kV_Tx1_Im]]-EE25)*720&lt;=0,0,(RD[[#This Row],[132 kV_Tx1_Im]]-EE25)*720)</f>
        <v>441360</v>
      </c>
      <c r="EW26" s="146">
        <f>IF((RD[[#This Row],[132kV_L1_Ex]]-EF25)*720&lt;=0,0,(RD[[#This Row],[132kV_L1_Ex]]-EF25)*720)</f>
        <v>613224.00000000838</v>
      </c>
      <c r="EX26" s="146">
        <f>IF((RD[[#This Row],[132kV_L1_Im]]-EG25)*720&lt;=0,0,(RD[[#This Row],[132kV_L1_Im]]-EG25)*720)</f>
        <v>3815.9999999999673</v>
      </c>
      <c r="EY26" s="242">
        <f>IFERROR(RD[[#This Row],[33kV_OG1_Ex (MWh)]]+RD[[#This Row],[33kV_OG1_Im (MWh)]],"")</f>
        <v>618392.946</v>
      </c>
      <c r="EZ26" s="148">
        <f>RD[[#This Row],[33kV_OG1_Ex (MWh)]]-RD[[#This Row],[33kV_OG1_Im (MWh)]]</f>
        <v>612275.054</v>
      </c>
      <c r="FA26" s="148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43">
        <f>IFERROR((RD[[#This Row],[Sunset Time (POA&lt;20 W/m2)]]-RD[[#This Row],[Sunrise Time (POA&gt;20 W/m2)]])*24,0)</f>
        <v>12.066666666666666</v>
      </c>
      <c r="FD26" s="244">
        <v>105</v>
      </c>
      <c r="FE26" t="s">
        <v>265</v>
      </c>
      <c r="FF26"/>
      <c r="FG26"/>
    </row>
    <row r="27" spans="1:163">
      <c r="A27" s="133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52">
        <v>0.26458333333333334</v>
      </c>
      <c r="G27" s="162">
        <v>0.7680555555555556</v>
      </c>
      <c r="H27" s="124">
        <v>9254.1</v>
      </c>
      <c r="I27" s="124">
        <v>9204</v>
      </c>
      <c r="J27" s="124">
        <v>8747.7000000000007</v>
      </c>
      <c r="K27" s="124">
        <v>8833.2000000000007</v>
      </c>
      <c r="L27" s="124">
        <v>9063.9</v>
      </c>
      <c r="M27" s="124">
        <v>9292</v>
      </c>
      <c r="N27" s="124">
        <v>9027.5</v>
      </c>
      <c r="O27" s="124">
        <v>9599.5</v>
      </c>
      <c r="P27" s="124">
        <v>9009.4</v>
      </c>
      <c r="Q27" s="124">
        <v>8967.2999999999993</v>
      </c>
      <c r="R27" s="124">
        <v>9252.2000000000007</v>
      </c>
      <c r="S27" s="124">
        <v>9201.5</v>
      </c>
      <c r="T27" s="124">
        <v>9482.5</v>
      </c>
      <c r="U27" s="124">
        <v>9265.7999999999993</v>
      </c>
      <c r="V27" s="124">
        <v>9353.2000000000007</v>
      </c>
      <c r="W27" s="124">
        <v>9188.5</v>
      </c>
      <c r="X27" s="203">
        <v>12988.5</v>
      </c>
      <c r="Y27" s="203">
        <v>13874.6</v>
      </c>
      <c r="Z27" s="203">
        <v>12635</v>
      </c>
      <c r="AA27" s="203">
        <v>13027.4</v>
      </c>
      <c r="AB27" s="203">
        <v>13729.1</v>
      </c>
      <c r="AC27" s="203">
        <v>8605.6</v>
      </c>
      <c r="AD27" s="203">
        <v>13040.4</v>
      </c>
      <c r="AE27" s="203">
        <v>13113.4</v>
      </c>
      <c r="AF27" s="203">
        <v>12883.4</v>
      </c>
      <c r="AG27" s="203">
        <v>12816</v>
      </c>
      <c r="AH27" s="203">
        <v>12984.2</v>
      </c>
      <c r="AI27" s="203">
        <v>13072.4</v>
      </c>
      <c r="AJ27" s="142">
        <v>10866.1</v>
      </c>
      <c r="AK27" s="142">
        <v>11126.3</v>
      </c>
      <c r="AL27" s="142">
        <v>10806.9</v>
      </c>
      <c r="AM27" s="142">
        <v>10863.8</v>
      </c>
      <c r="AN27" s="142">
        <v>10970.4</v>
      </c>
      <c r="AO27" s="142">
        <v>11279.9</v>
      </c>
      <c r="AP27" s="142">
        <v>11122.2</v>
      </c>
      <c r="AQ27" s="142">
        <v>10982.4</v>
      </c>
      <c r="AR27" s="142">
        <v>8873.2999999999993</v>
      </c>
      <c r="AS27" s="142">
        <v>8924.2999999999993</v>
      </c>
      <c r="AT27" s="142">
        <v>8981</v>
      </c>
      <c r="AU27" s="142">
        <v>8895.2000000000007</v>
      </c>
      <c r="AV27" s="142">
        <v>9091.7000000000007</v>
      </c>
      <c r="AW27" s="142">
        <v>8990.1</v>
      </c>
      <c r="AX27" s="142">
        <v>12625.1</v>
      </c>
      <c r="AY27" s="142">
        <v>13614.6</v>
      </c>
      <c r="AZ27" s="142">
        <v>10196.6</v>
      </c>
      <c r="BA27" s="142">
        <v>12234</v>
      </c>
      <c r="BB27" s="142">
        <v>12486.2</v>
      </c>
      <c r="BC27" s="142">
        <v>9353.4</v>
      </c>
      <c r="BD27" s="142">
        <v>10022</v>
      </c>
      <c r="BE27" s="142">
        <v>12126.5</v>
      </c>
      <c r="BF27" s="142">
        <v>12948.2</v>
      </c>
      <c r="BG27" s="142">
        <v>12924.6</v>
      </c>
      <c r="BH27" s="142">
        <v>7910</v>
      </c>
      <c r="BI27" s="142">
        <v>4852.8</v>
      </c>
      <c r="BJ27" s="142">
        <v>8060.5</v>
      </c>
      <c r="BK27" s="142">
        <v>4622.2</v>
      </c>
      <c r="BL27" s="142">
        <v>8032.7</v>
      </c>
      <c r="BM27" s="142">
        <v>7422.5</v>
      </c>
      <c r="BN27" s="142"/>
      <c r="BO27" s="142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42"/>
      <c r="CC27" s="142"/>
      <c r="CD27" s="59">
        <v>7.4408317166666675</v>
      </c>
      <c r="CE27" s="59"/>
      <c r="CF27" s="206">
        <v>7.3981508166666661</v>
      </c>
      <c r="CG27" s="206"/>
      <c r="CH27" s="206">
        <v>0.96290266666666546</v>
      </c>
      <c r="CI27" s="206"/>
      <c r="CJ27" s="59">
        <v>1.4598083333333318</v>
      </c>
      <c r="CK27" s="59"/>
      <c r="CL27" s="206">
        <v>32.920486061472424</v>
      </c>
      <c r="CM27" s="206"/>
      <c r="CN27" s="206">
        <v>44.980195139385259</v>
      </c>
      <c r="CO27" s="206"/>
      <c r="CP27" s="206">
        <v>27.418513223731264</v>
      </c>
      <c r="CQ27" s="206"/>
      <c r="CR27" s="59">
        <v>0</v>
      </c>
      <c r="CS27" s="59"/>
      <c r="CT27" s="206">
        <v>1.3652423159399565</v>
      </c>
      <c r="CU27" s="206"/>
      <c r="CV27" s="206">
        <v>2.9910000000000001</v>
      </c>
      <c r="CW27" s="258"/>
      <c r="CX27" s="204">
        <f>IFERROR(AVERAGEIF(RD[[#This Row],[IS1POA1 (KWh/m2)]:[IS7POA2 (KWh/m2)]],"&lt;&gt;0",RD[[#This Row],[IS1POA1 (KWh/m2)]:[IS7POA2 (KWh/m2)]]),"")</f>
        <v>7.4408317166666675</v>
      </c>
      <c r="CY27" s="204">
        <f>IFERROR(AVERAGEIF(RD[[#This Row],[IS1GHI1 (KWh/m2)]:[IS7GHI2 (KWh/m2)]],"&lt;&gt;0",RD[[#This Row],[IS1GHI1 (KWh/m2)]:[IS7GHI2 (KWh/m2)]]),"")</f>
        <v>7.3981508166666661</v>
      </c>
      <c r="CZ27" s="204">
        <f>IFERROR(AVERAGEIF(RD[[#This Row],[IS1POA_BS1 (KWh/m2)]:[IS7POA_BS2 (KWh/m2)]],"&lt;&gt;0",RD[[#This Row],[IS1POA_BS1 (KWh/m2)]:[IS7POA_BS2 (KWh/m2)]]),"")</f>
        <v>0.96290266666666546</v>
      </c>
      <c r="DA27" s="204">
        <f>IFERROR(AVERAGEIF(RD[[#This Row],[IS1GHI_BS1 (KWh/m2)]:[IS1GHI_BS1 (KWh/m2)2]],"&lt;&gt;0",RD[[#This Row],[IS1GHI_BS1 (KWh/m2)]:[IS1GHI_BS1 (KWh/m2)2]]),"")</f>
        <v>1.4598083333333318</v>
      </c>
      <c r="DB27" s="204">
        <f>IFERROR(AVERAGEIF(RD[[#This Row],[IS1AT1 (°C)]:[IS7AT2 (°C)]],"&lt;&gt;0",RD[[#This Row],[IS1AT1 (°C)]:[IS7AT2 (°C)]]),"")</f>
        <v>32.920486061472424</v>
      </c>
      <c r="DC27" s="204">
        <f>IFERROR(AVERAGEIF(RD[[#This Row],[IS1MT1 (°C)]:[IS7MT2 (°C)]],"&lt;&gt;0",RD[[#This Row],[IS1MT1 (°C)]:[IS7MT2 (°C)]]),"")</f>
        <v>44.980195139385259</v>
      </c>
      <c r="DD27" s="204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204">
        <f>IFERROR(AVERAGEIF(RD[[#This Row],[WS_Solar1_Avg (m/s)]:[IS7_WS_Solar1_Avg (m/s)]],"&lt;&gt;0",RD[[#This Row],[WS_Solar1_Avg (m/s)]:[IS7_WS_Solar1_Avg (m/s)]]),"")</f>
        <v>1.3652423159399565</v>
      </c>
      <c r="DG27" s="204">
        <f>IFERROR(AVERAGEIF(RD[[#This Row],[WS_Solar1_Max (m/s)]:[IS7_WS_Solar1_Max (m/s)]],"&lt;&gt;0",RD[[#This Row],[WS_Solar1_Max (m/s)]:[IS7_WS_Solar1_Max (m/s)]]),"")</f>
        <v>2.9910000000000001</v>
      </c>
      <c r="DH27" s="204">
        <f>SUM(RD[[#This Row],[IS1Inv1M1]:[IS4Inv4M2]])</f>
        <v>299512.3</v>
      </c>
      <c r="DI27" s="205">
        <f>SUM(RD[[#This Row],[IS7Inv1M1]]+RD[[#This Row],[IS7Inv2M1]])</f>
        <v>17797.599999999999</v>
      </c>
      <c r="DJ27" s="204">
        <f>SUM(RD[[#This Row],[IS5Inv1M1]:[IS5Inv2M2]])</f>
        <v>43663.100000000006</v>
      </c>
      <c r="DK27" s="204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86">
        <f>SUM(RD[[#This Row],[IS12Inv1M1]:[IS12Inv1M4]])</f>
        <v>0</v>
      </c>
      <c r="DO27" s="286">
        <f>SUM(RD[[#This Row],[IS13Inv1M1]:[IS13Inv2M2]])</f>
        <v>0</v>
      </c>
      <c r="DP27" s="204">
        <f>SUM(RD[[#This Row],[O2R15]:[O2R26]])</f>
        <v>600717.80000000005</v>
      </c>
      <c r="DQ27" s="164">
        <v>37174.699999999997</v>
      </c>
      <c r="DR27" s="168">
        <v>202.5</v>
      </c>
      <c r="DS27" s="164">
        <v>31929.9</v>
      </c>
      <c r="DT27" s="164">
        <v>214.9</v>
      </c>
      <c r="DU27" s="168">
        <v>36740.300000000003</v>
      </c>
      <c r="DV27" s="168">
        <v>386.8</v>
      </c>
      <c r="DW27" s="164">
        <v>4951.3999999999996</v>
      </c>
      <c r="DX27" s="168">
        <v>22.6</v>
      </c>
      <c r="DY27" s="168"/>
      <c r="DZ27" s="168"/>
      <c r="EA27" s="140">
        <v>88.25</v>
      </c>
      <c r="EB27" s="241">
        <v>112322347</v>
      </c>
      <c r="EC27" s="240">
        <v>876825.28</v>
      </c>
      <c r="ED27" s="241">
        <v>1048</v>
      </c>
      <c r="EE27" s="241">
        <v>106676</v>
      </c>
      <c r="EF27" s="164">
        <v>155811.5</v>
      </c>
      <c r="EG27" s="164">
        <v>1730.7</v>
      </c>
      <c r="EH27" s="146">
        <f>IF((RD[[#This Row],[33 kV_F3_Ex
Incomer1]]-DQ26)*1000&lt;0,0,(RD[[#This Row],[33 kV_F3_Ex
Incomer1]]-DQ26)*1000)</f>
        <v>101899.99999999418</v>
      </c>
      <c r="EI27" s="146">
        <f>IF((RD[[#This Row],[34 kV_F3_Im
Incomer1]]-DR26)*1000&lt;0,0,(RD[[#This Row],[34 kV_F3_Im
Incomer1]]-DR26)*1000)</f>
        <v>199.99999999998863</v>
      </c>
      <c r="EJ27" s="146">
        <f>IF((RD[[#This Row],[33 kV_F4_Ex
Incomer2]]-DS26)*1000&lt;0,0,(RD[[#This Row],[33 kV_F4_Ex
Incomer2]]-DS26)*1000)</f>
        <v>95500</v>
      </c>
      <c r="EK27" s="146">
        <f>IF((RD[[#This Row],[34 kV_F4_Im
Incomer2]]-DT26)*1000&lt;0,0,(RD[[#This Row],[34 kV_F4_Im
Incomer2]]-DT26)*1000)</f>
        <v>99.999999999994316</v>
      </c>
      <c r="EL27" s="146">
        <f>IF((RD[[#This Row],[33 kV_F5_Ex
Incomer3]]-DU26)*1000&lt;0,0,(RD[[#This Row],[33 kV_F5_Ex
Incomer3]]-DU26)*1000)</f>
        <v>125900.00000000146</v>
      </c>
      <c r="EM27" s="146">
        <f>IF((RD[[#This Row],[34 kV_F5_Im
Incomer3]]-DV26)*1000&lt;0,0,(RD[[#This Row],[34 kV_F5_Im
Incomer3]]-DV26)*1000)</f>
        <v>400.00000000003411</v>
      </c>
      <c r="EN27" s="146">
        <f>IF((RD[[#This Row],[33 kV_F6_Ex
Incomer4]]-DW26)*1000&lt;0,0,(RD[[#This Row],[33 kV_F6_Ex
Incomer4]]-DW26)*1000)</f>
        <v>103000</v>
      </c>
      <c r="EO27" s="146">
        <f>IF((RD[[#This Row],[33 kV_F6_Im
Incomer4]]-DX26)*1000&lt;0,0,(RD[[#This Row],[33 kV_F6_Im
Incomer4]]-DX26)*1000)</f>
        <v>100.00000000000142</v>
      </c>
      <c r="EP27" s="146">
        <f>IF((RD[[#This Row],[33 kV_F7_Ex
Incomer5]]-DY26)*1000&lt;0,0,(RD[[#This Row],[33 kV_F7_Ex
Incomer5]]-DY26)*1000)</f>
        <v>0</v>
      </c>
      <c r="EQ27" s="146">
        <f>IF((RD[[#This Row],[33 kV_F7_Im
Incomer5]]-DZ26)*1000&lt;0,0,(RD[[#This Row],[33 kV_F7_Im
Incomer5]]-DZ26)*1000)</f>
        <v>0</v>
      </c>
      <c r="ER27" s="146">
        <f>IF((RD[[#This Row],[33 kV_Aux Trafo]]-EA26)*1000&lt;0,0,(RD[[#This Row],[33 kV_Aux Trafo]]-EA26)*1000)</f>
        <v>159.99999999999659</v>
      </c>
      <c r="ES27" s="158">
        <f>IF((RD[[#This Row],[33kV_OG1_Ex_]]-EB26)*1&lt;0,0,(RD[[#This Row],[33kV_OG1_Ex_]]-EB26)*1)</f>
        <v>635093</v>
      </c>
      <c r="ET27" s="146">
        <f>IF((RD[[#This Row],[33kV_OG1_Im]]-EC26)*1&lt;0,0,(RD[[#This Row],[33kV_OG1_Im]]-EC26)*1)</f>
        <v>1204.7340000000549</v>
      </c>
      <c r="EU27" s="146">
        <f>IF((RD[[#This Row],[132kV_TX1_EX]]-ED26)*720&lt;=0,"",(RD[[#This Row],[132kV_TX1_EX]]-ED26)*720)</f>
        <v>720</v>
      </c>
      <c r="EV27" s="146">
        <f>IF((RD[[#This Row],[132 kV_Tx1_Im]]-EE26)*720&lt;=0,0,(RD[[#This Row],[132 kV_Tx1_Im]]-EE26)*720)</f>
        <v>455040</v>
      </c>
      <c r="EW27" s="146">
        <f>IF((RD[[#This Row],[132kV_L1_Ex]]-EF26)*720&lt;=0,0,(RD[[#This Row],[132kV_L1_Ex]]-EF26)*720)</f>
        <v>632880</v>
      </c>
      <c r="EX27" s="146">
        <f>IF((RD[[#This Row],[132kV_L1_Im]]-EG26)*720&lt;=0,0,(RD[[#This Row],[132kV_L1_Im]]-EG26)*720)</f>
        <v>1584.0000000000327</v>
      </c>
      <c r="EY27" s="242">
        <f>IFERROR(RD[[#This Row],[33kV_OG1_Ex (MWh)]]+RD[[#This Row],[33kV_OG1_Im (MWh)]],"")</f>
        <v>636297.73400000005</v>
      </c>
      <c r="EZ27" s="148">
        <f>RD[[#This Row],[33kV_OG1_Ex (MWh)]]-RD[[#This Row],[33kV_OG1_Im (MWh)]]</f>
        <v>633888.26599999995</v>
      </c>
      <c r="FA27" s="148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43">
        <f>IFERROR((RD[[#This Row],[Sunset Time (POA&lt;20 W/m2)]]-RD[[#This Row],[Sunrise Time (POA&gt;20 W/m2)]])*24,0)</f>
        <v>12.083333333333336</v>
      </c>
      <c r="FD27" s="244">
        <v>105</v>
      </c>
      <c r="FE27" t="s">
        <v>268</v>
      </c>
      <c r="FF27"/>
      <c r="FG27"/>
    </row>
    <row r="28" spans="1:163">
      <c r="A28" s="133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52">
        <v>0.26319444444444445</v>
      </c>
      <c r="G28" s="162">
        <v>0.7680555555555556</v>
      </c>
      <c r="H28" s="124">
        <v>9143.4</v>
      </c>
      <c r="I28" s="124">
        <v>9125.4</v>
      </c>
      <c r="J28" s="124">
        <v>8682.1</v>
      </c>
      <c r="K28" s="124">
        <v>8785</v>
      </c>
      <c r="L28" s="124">
        <v>8994.9</v>
      </c>
      <c r="M28" s="124">
        <v>9195.1</v>
      </c>
      <c r="N28" s="124">
        <v>8949.1</v>
      </c>
      <c r="O28" s="124">
        <v>9504</v>
      </c>
      <c r="P28" s="124">
        <v>8944</v>
      </c>
      <c r="Q28" s="124">
        <v>8888</v>
      </c>
      <c r="R28" s="124">
        <v>9192</v>
      </c>
      <c r="S28" s="124">
        <v>9124.1</v>
      </c>
      <c r="T28" s="124">
        <v>9400.7999999999993</v>
      </c>
      <c r="U28" s="124">
        <v>9224.5</v>
      </c>
      <c r="V28" s="124">
        <v>9276.2999999999993</v>
      </c>
      <c r="W28" s="124">
        <v>9101.2999999999993</v>
      </c>
      <c r="X28" s="203">
        <v>10730.3</v>
      </c>
      <c r="Y28" s="203">
        <v>11509.4</v>
      </c>
      <c r="Z28" s="203">
        <v>11338.8</v>
      </c>
      <c r="AA28" s="203">
        <v>11696.2</v>
      </c>
      <c r="AB28" s="203">
        <v>11883</v>
      </c>
      <c r="AC28" s="203">
        <v>7362.3</v>
      </c>
      <c r="AD28" s="203">
        <v>12432.1</v>
      </c>
      <c r="AE28" s="203">
        <v>12497.3</v>
      </c>
      <c r="AF28" s="203">
        <v>10717.9</v>
      </c>
      <c r="AG28" s="203">
        <v>10781.8</v>
      </c>
      <c r="AH28" s="203">
        <v>10671.4</v>
      </c>
      <c r="AI28" s="203">
        <v>10771.6</v>
      </c>
      <c r="AJ28" s="142">
        <v>10702</v>
      </c>
      <c r="AK28" s="142">
        <v>11003</v>
      </c>
      <c r="AL28" s="142">
        <v>10189</v>
      </c>
      <c r="AM28" s="142">
        <v>10203</v>
      </c>
      <c r="AN28" s="142">
        <v>10716</v>
      </c>
      <c r="AO28" s="142">
        <v>11013</v>
      </c>
      <c r="AP28" s="142">
        <v>10774</v>
      </c>
      <c r="AQ28" s="142">
        <v>10641</v>
      </c>
      <c r="AR28" s="142">
        <v>9122</v>
      </c>
      <c r="AS28" s="142">
        <v>8791</v>
      </c>
      <c r="AT28" s="142">
        <v>8844.1</v>
      </c>
      <c r="AU28" s="142">
        <v>8803.4</v>
      </c>
      <c r="AV28" s="142">
        <v>8973.6</v>
      </c>
      <c r="AW28" s="142">
        <v>8831.6</v>
      </c>
      <c r="AX28" s="142">
        <v>10414.9</v>
      </c>
      <c r="AY28" s="142">
        <v>11284</v>
      </c>
      <c r="AZ28" s="142">
        <v>7961</v>
      </c>
      <c r="BA28" s="142">
        <v>9544.0990000000002</v>
      </c>
      <c r="BB28" s="142">
        <v>12609.2</v>
      </c>
      <c r="BC28" s="142">
        <v>9952</v>
      </c>
      <c r="BD28" s="142">
        <v>9842.6</v>
      </c>
      <c r="BE28" s="142">
        <v>11868.1</v>
      </c>
      <c r="BF28" s="142">
        <v>12852.1</v>
      </c>
      <c r="BG28" s="142">
        <v>12839.1</v>
      </c>
      <c r="BH28" s="142">
        <v>7812.9</v>
      </c>
      <c r="BI28" s="142">
        <v>4770</v>
      </c>
      <c r="BJ28" s="142">
        <v>7969.2</v>
      </c>
      <c r="BK28" s="142">
        <v>5005</v>
      </c>
      <c r="BL28" s="142">
        <v>7949</v>
      </c>
      <c r="BM28" s="142">
        <v>7337.6</v>
      </c>
      <c r="BN28" s="142"/>
      <c r="BO28" s="142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42"/>
      <c r="CC28" s="142"/>
      <c r="CD28" s="59">
        <v>7.0776942666666569</v>
      </c>
      <c r="CE28" s="59"/>
      <c r="CF28" s="206">
        <v>7.0362274333333339</v>
      </c>
      <c r="CG28" s="206"/>
      <c r="CH28" s="206">
        <v>0.94385484999999969</v>
      </c>
      <c r="CI28" s="206"/>
      <c r="CJ28" s="59">
        <v>1.3952645166666668</v>
      </c>
      <c r="CK28" s="59"/>
      <c r="CL28" s="206">
        <v>32.514258351893069</v>
      </c>
      <c r="CM28" s="206"/>
      <c r="CN28" s="206">
        <v>44.512149962880457</v>
      </c>
      <c r="CO28" s="206"/>
      <c r="CP28" s="206">
        <v>25.267804008908666</v>
      </c>
      <c r="CQ28" s="206"/>
      <c r="CR28" s="59">
        <v>0</v>
      </c>
      <c r="CS28" s="59"/>
      <c r="CT28" s="206">
        <v>1.0995263548626577</v>
      </c>
      <c r="CU28" s="206"/>
      <c r="CV28" s="206">
        <v>2.4569999999999999</v>
      </c>
      <c r="CW28" s="258"/>
      <c r="CX28" s="204">
        <f>IFERROR(AVERAGEIF(RD[[#This Row],[IS1POA1 (KWh/m2)]:[IS7POA2 (KWh/m2)]],"&lt;&gt;0",RD[[#This Row],[IS1POA1 (KWh/m2)]:[IS7POA2 (KWh/m2)]]),"")</f>
        <v>7.0776942666666569</v>
      </c>
      <c r="CY28" s="204">
        <f>IFERROR(AVERAGEIF(RD[[#This Row],[IS1GHI1 (KWh/m2)]:[IS7GHI2 (KWh/m2)]],"&lt;&gt;0",RD[[#This Row],[IS1GHI1 (KWh/m2)]:[IS7GHI2 (KWh/m2)]]),"")</f>
        <v>7.0362274333333339</v>
      </c>
      <c r="CZ28" s="204">
        <f>IFERROR(AVERAGEIF(RD[[#This Row],[IS1POA_BS1 (KWh/m2)]:[IS7POA_BS2 (KWh/m2)]],"&lt;&gt;0",RD[[#This Row],[IS1POA_BS1 (KWh/m2)]:[IS7POA_BS2 (KWh/m2)]]),"")</f>
        <v>0.94385484999999969</v>
      </c>
      <c r="DA28" s="204">
        <f>IFERROR(AVERAGEIF(RD[[#This Row],[IS1GHI_BS1 (KWh/m2)]:[IS1GHI_BS1 (KWh/m2)2]],"&lt;&gt;0",RD[[#This Row],[IS1GHI_BS1 (KWh/m2)]:[IS1GHI_BS1 (KWh/m2)2]]),"")</f>
        <v>1.3952645166666668</v>
      </c>
      <c r="DB28" s="204">
        <f>IFERROR(AVERAGEIF(RD[[#This Row],[IS1AT1 (°C)]:[IS7AT2 (°C)]],"&lt;&gt;0",RD[[#This Row],[IS1AT1 (°C)]:[IS7AT2 (°C)]]),"")</f>
        <v>32.514258351893069</v>
      </c>
      <c r="DC28" s="204">
        <f>IFERROR(AVERAGEIF(RD[[#This Row],[IS1MT1 (°C)]:[IS7MT2 (°C)]],"&lt;&gt;0",RD[[#This Row],[IS1MT1 (°C)]:[IS7MT2 (°C)]]),"")</f>
        <v>44.512149962880457</v>
      </c>
      <c r="DD28" s="204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204">
        <f>IFERROR(AVERAGEIF(RD[[#This Row],[WS_Solar1_Avg (m/s)]:[IS7_WS_Solar1_Avg (m/s)]],"&lt;&gt;0",RD[[#This Row],[WS_Solar1_Avg (m/s)]:[IS7_WS_Solar1_Avg (m/s)]]),"")</f>
        <v>1.0995263548626577</v>
      </c>
      <c r="DG28" s="204">
        <f>IFERROR(AVERAGEIF(RD[[#This Row],[WS_Solar1_Max (m/s)]:[IS7_WS_Solar1_Max (m/s)]],"&lt;&gt;0",RD[[#This Row],[WS_Solar1_Max (m/s)]:[IS7_WS_Solar1_Max (m/s)]]),"")</f>
        <v>2.4569999999999999</v>
      </c>
      <c r="DH28" s="204">
        <f>SUM(RD[[#This Row],[IS1Inv1M1]:[IS4Inv4M2]])</f>
        <v>277922.09999999992</v>
      </c>
      <c r="DI28" s="205">
        <f>SUM(RD[[#This Row],[IS7Inv1M1]]+RD[[#This Row],[IS7Inv2M1]])</f>
        <v>17913</v>
      </c>
      <c r="DJ28" s="204">
        <f>SUM(RD[[#This Row],[IS5Inv1M1]:[IS5Inv2M2]])</f>
        <v>42097</v>
      </c>
      <c r="DK28" s="204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86">
        <f>SUM(RD[[#This Row],[IS12Inv1M1]:[IS12Inv1M4]])</f>
        <v>0</v>
      </c>
      <c r="DO28" s="286">
        <f>SUM(RD[[#This Row],[IS13Inv1M1]:[IS13Inv2M2]])</f>
        <v>0</v>
      </c>
      <c r="DP28" s="204">
        <f>SUM(RD[[#This Row],[O2R15]:[O2R26]])</f>
        <v>566539.59899999993</v>
      </c>
      <c r="DQ28" s="164">
        <v>37275.199999999997</v>
      </c>
      <c r="DR28" s="168">
        <v>202.8</v>
      </c>
      <c r="DS28" s="164">
        <v>32024.9</v>
      </c>
      <c r="DT28" s="164">
        <v>215.2</v>
      </c>
      <c r="DU28" s="168">
        <v>36864.5</v>
      </c>
      <c r="DV28" s="168">
        <v>387.2</v>
      </c>
      <c r="DW28" s="164">
        <v>5054.3</v>
      </c>
      <c r="DX28" s="168">
        <v>22.8</v>
      </c>
      <c r="DY28" s="168"/>
      <c r="DZ28" s="168"/>
      <c r="EA28" s="140">
        <v>88.44</v>
      </c>
      <c r="EB28" s="241">
        <v>112951762</v>
      </c>
      <c r="EC28" s="240">
        <v>878577.08799999999</v>
      </c>
      <c r="ED28" s="241">
        <v>1050</v>
      </c>
      <c r="EE28" s="241">
        <v>107303</v>
      </c>
      <c r="EF28" s="164">
        <v>156682.20000000001</v>
      </c>
      <c r="EG28" s="164">
        <v>1733.8</v>
      </c>
      <c r="EH28" s="146">
        <f>IF((RD[[#This Row],[33 kV_F3_Ex
Incomer1]]-DQ27)*1000&lt;0,0,(RD[[#This Row],[33 kV_F3_Ex
Incomer1]]-DQ27)*1000)</f>
        <v>100500</v>
      </c>
      <c r="EI28" s="146">
        <f>IF((RD[[#This Row],[34 kV_F3_Im
Incomer1]]-DR27)*1000&lt;0,0,(RD[[#This Row],[34 kV_F3_Im
Incomer1]]-DR27)*1000)</f>
        <v>300.00000000001137</v>
      </c>
      <c r="EJ28" s="146">
        <f>IF((RD[[#This Row],[33 kV_F4_Ex
Incomer2]]-DS27)*1000&lt;0,0,(RD[[#This Row],[33 kV_F4_Ex
Incomer2]]-DS27)*1000)</f>
        <v>95000</v>
      </c>
      <c r="EK28" s="146">
        <f>IF((RD[[#This Row],[34 kV_F4_Im
Incomer2]]-DT27)*1000&lt;0,0,(RD[[#This Row],[34 kV_F4_Im
Incomer2]]-DT27)*1000)</f>
        <v>299.99999999998295</v>
      </c>
      <c r="EL28" s="146">
        <f>IF((RD[[#This Row],[33 kV_F5_Ex
Incomer3]]-DU27)*1000&lt;0,0,(RD[[#This Row],[33 kV_F5_Ex
Incomer3]]-DU27)*1000)</f>
        <v>124199.99999999709</v>
      </c>
      <c r="EM28" s="146">
        <f>IF((RD[[#This Row],[34 kV_F5_Im
Incomer3]]-DV27)*1000&lt;0,0,(RD[[#This Row],[34 kV_F5_Im
Incomer3]]-DV27)*1000)</f>
        <v>399.99999999997726</v>
      </c>
      <c r="EN28" s="146">
        <f>IF((RD[[#This Row],[33 kV_F6_Ex
Incomer4]]-DW27)*1000&lt;0,0,(RD[[#This Row],[33 kV_F6_Ex
Incomer4]]-DW27)*1000)</f>
        <v>102900.00000000055</v>
      </c>
      <c r="EO28" s="146">
        <f>IF((RD[[#This Row],[33 kV_F6_Im
Incomer4]]-DX27)*1000&lt;0,0,(RD[[#This Row],[33 kV_F6_Im
Incomer4]]-DX27)*1000)</f>
        <v>199.99999999999929</v>
      </c>
      <c r="EP28" s="146">
        <f>IF((RD[[#This Row],[33 kV_F7_Ex
Incomer5]]-DY27)*1000&lt;0,0,(RD[[#This Row],[33 kV_F7_Ex
Incomer5]]-DY27)*1000)</f>
        <v>0</v>
      </c>
      <c r="EQ28" s="146">
        <f>IF((RD[[#This Row],[33 kV_F7_Im
Incomer5]]-DZ27)*1000&lt;0,0,(RD[[#This Row],[33 kV_F7_Im
Incomer5]]-DZ27)*1000)</f>
        <v>0</v>
      </c>
      <c r="ER28" s="146">
        <f>IF((RD[[#This Row],[33 kV_Aux Trafo]]-EA27)*1000&lt;0,0,(RD[[#This Row],[33 kV_Aux Trafo]]-EA27)*1000)</f>
        <v>189.99999999999773</v>
      </c>
      <c r="ES28" s="158">
        <f>IF((RD[[#This Row],[33kV_OG1_Ex_]]-EB27)*1&lt;0,0,(RD[[#This Row],[33kV_OG1_Ex_]]-EB27)*1)</f>
        <v>629415</v>
      </c>
      <c r="ET28" s="146">
        <f>IF((RD[[#This Row],[33kV_OG1_Im]]-EC27)*1&lt;0,0,(RD[[#This Row],[33kV_OG1_Im]]-EC27)*1)</f>
        <v>1751.8079999999609</v>
      </c>
      <c r="EU28" s="146">
        <f>IF((RD[[#This Row],[132kV_TX1_EX]]-ED27)*720&lt;=0,"",(RD[[#This Row],[132kV_TX1_EX]]-ED27)*720)</f>
        <v>1440</v>
      </c>
      <c r="EV28" s="146">
        <f>IF((RD[[#This Row],[132 kV_Tx1_Im]]-EE27)*720&lt;=0,0,(RD[[#This Row],[132 kV_Tx1_Im]]-EE27)*720)</f>
        <v>451440</v>
      </c>
      <c r="EW28" s="146">
        <f>IF((RD[[#This Row],[132kV_L1_Ex]]-EF27)*720&lt;=0,0,(RD[[#This Row],[132kV_L1_Ex]]-EF27)*720)</f>
        <v>626904.00000000838</v>
      </c>
      <c r="EX28" s="146">
        <f>IF((RD[[#This Row],[132kV_L1_Im]]-EG27)*720&lt;=0,0,(RD[[#This Row],[132kV_L1_Im]]-EG27)*720)</f>
        <v>2231.9999999999345</v>
      </c>
      <c r="EY28" s="242">
        <f>IFERROR(RD[[#This Row],[33kV_OG1_Ex (MWh)]]+RD[[#This Row],[33kV_OG1_Im (MWh)]],"")</f>
        <v>631166.80799999996</v>
      </c>
      <c r="EZ28" s="148">
        <f>RD[[#This Row],[33kV_OG1_Ex (MWh)]]-RD[[#This Row],[33kV_OG1_Im (MWh)]]</f>
        <v>627663.19200000004</v>
      </c>
      <c r="FA28" s="148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43">
        <f>IFERROR((RD[[#This Row],[Sunset Time (POA&lt;20 W/m2)]]-RD[[#This Row],[Sunrise Time (POA&gt;20 W/m2)]])*24,0)</f>
        <v>12.116666666666669</v>
      </c>
      <c r="FD28" s="244">
        <v>105</v>
      </c>
      <c r="FE28" t="s">
        <v>268</v>
      </c>
      <c r="FF28"/>
      <c r="FG28"/>
    </row>
    <row r="29" spans="1:163">
      <c r="A29" s="133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52">
        <v>0.26250000000000001</v>
      </c>
      <c r="G29" s="162">
        <v>0.7680555555555556</v>
      </c>
      <c r="H29" s="124">
        <v>9033.2999999999993</v>
      </c>
      <c r="I29" s="124">
        <v>9013.2000000000007</v>
      </c>
      <c r="J29" s="124">
        <v>8619.5</v>
      </c>
      <c r="K29" s="124">
        <v>8675.7999999999993</v>
      </c>
      <c r="L29" s="124">
        <v>8903.9</v>
      </c>
      <c r="M29" s="124">
        <v>9112.5</v>
      </c>
      <c r="N29" s="124">
        <v>8875.4</v>
      </c>
      <c r="O29" s="124">
        <v>9372.2999999999993</v>
      </c>
      <c r="P29" s="124">
        <v>8854.2999999999993</v>
      </c>
      <c r="Q29" s="124">
        <v>8824.2000000000007</v>
      </c>
      <c r="R29" s="124">
        <v>9102.7999999999993</v>
      </c>
      <c r="S29" s="124">
        <v>9038.1</v>
      </c>
      <c r="T29" s="124">
        <v>9285.1</v>
      </c>
      <c r="U29" s="124">
        <v>9102.4</v>
      </c>
      <c r="V29" s="124">
        <v>9165.2999999999993</v>
      </c>
      <c r="W29" s="124">
        <v>9003</v>
      </c>
      <c r="X29" s="203">
        <v>12989</v>
      </c>
      <c r="Y29" s="203">
        <v>13875</v>
      </c>
      <c r="Z29" s="203">
        <v>12297.8</v>
      </c>
      <c r="AA29" s="203">
        <v>12775.3</v>
      </c>
      <c r="AB29" s="203">
        <v>13407.8</v>
      </c>
      <c r="AC29" s="203">
        <v>8263.7999999999993</v>
      </c>
      <c r="AD29" s="203">
        <v>12781.9</v>
      </c>
      <c r="AE29" s="203">
        <v>12844.6</v>
      </c>
      <c r="AF29" s="203">
        <v>12557.6</v>
      </c>
      <c r="AG29" s="203">
        <v>12615</v>
      </c>
      <c r="AH29" s="203">
        <v>12681.2</v>
      </c>
      <c r="AI29" s="203">
        <v>12813.7</v>
      </c>
      <c r="AJ29" s="142">
        <v>10501.5</v>
      </c>
      <c r="AK29" s="142">
        <v>10802.8</v>
      </c>
      <c r="AL29" s="142">
        <v>10595.6</v>
      </c>
      <c r="AM29" s="142">
        <v>10664.9</v>
      </c>
      <c r="AN29" s="142">
        <v>10560.6</v>
      </c>
      <c r="AO29" s="142">
        <v>10860.6</v>
      </c>
      <c r="AP29" s="142">
        <v>10703.3</v>
      </c>
      <c r="AQ29" s="142">
        <v>10574.7</v>
      </c>
      <c r="AR29" s="142">
        <v>8611.4</v>
      </c>
      <c r="AS29" s="142">
        <v>8668</v>
      </c>
      <c r="AT29" s="142">
        <v>8769.1</v>
      </c>
      <c r="AU29" s="142">
        <v>8758.7999999999993</v>
      </c>
      <c r="AV29" s="142">
        <v>8902.7999999999993</v>
      </c>
      <c r="AW29" s="142">
        <v>8754.7000000000007</v>
      </c>
      <c r="AX29" s="142">
        <v>10642.6</v>
      </c>
      <c r="AY29" s="142">
        <v>11602.3</v>
      </c>
      <c r="AZ29" s="142">
        <v>8294</v>
      </c>
      <c r="BA29" s="142">
        <v>9937</v>
      </c>
      <c r="BB29" s="142">
        <v>12365.5</v>
      </c>
      <c r="BC29" s="142">
        <v>9355</v>
      </c>
      <c r="BD29" s="142">
        <v>9692.2000000000007</v>
      </c>
      <c r="BE29" s="142">
        <v>11647</v>
      </c>
      <c r="BF29" s="142">
        <v>12656.9</v>
      </c>
      <c r="BG29" s="142">
        <v>12669.7</v>
      </c>
      <c r="BH29" s="142">
        <v>7693.7</v>
      </c>
      <c r="BI29" s="142">
        <v>4670</v>
      </c>
      <c r="BJ29" s="142">
        <v>7779.9</v>
      </c>
      <c r="BK29" s="142">
        <v>5429.2</v>
      </c>
      <c r="BL29" s="142">
        <v>7817.1</v>
      </c>
      <c r="BM29" s="142">
        <v>7208.8</v>
      </c>
      <c r="BN29" s="142"/>
      <c r="BO29" s="142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42"/>
      <c r="CC29" s="142"/>
      <c r="CD29" s="59">
        <v>7.3124169833333426</v>
      </c>
      <c r="CE29" s="59"/>
      <c r="CF29" s="206">
        <v>7.2761967333333297</v>
      </c>
      <c r="CG29" s="206"/>
      <c r="CH29" s="206">
        <v>0.97527401666666591</v>
      </c>
      <c r="CI29" s="206"/>
      <c r="CJ29" s="59">
        <v>1.4461927166666662</v>
      </c>
      <c r="CK29" s="59"/>
      <c r="CL29" s="206">
        <v>33.894411326378489</v>
      </c>
      <c r="CM29" s="206"/>
      <c r="CN29" s="206">
        <v>46.28647540983598</v>
      </c>
      <c r="CO29" s="206"/>
      <c r="CP29" s="206">
        <v>25.69533532041731</v>
      </c>
      <c r="CQ29" s="206"/>
      <c r="CR29" s="59">
        <v>0</v>
      </c>
      <c r="CS29" s="59"/>
      <c r="CT29" s="206">
        <v>0.98780923994038716</v>
      </c>
      <c r="CU29" s="206"/>
      <c r="CV29" s="206">
        <v>2.2650000000000001</v>
      </c>
      <c r="CW29" s="258"/>
      <c r="CX29" s="204">
        <f>IFERROR(AVERAGEIF(RD[[#This Row],[IS1POA1 (KWh/m2)]:[IS7POA2 (KWh/m2)]],"&lt;&gt;0",RD[[#This Row],[IS1POA1 (KWh/m2)]:[IS7POA2 (KWh/m2)]]),"")</f>
        <v>7.3124169833333426</v>
      </c>
      <c r="CY29" s="204">
        <f>IFERROR(AVERAGEIF(RD[[#This Row],[IS1GHI1 (KWh/m2)]:[IS7GHI2 (KWh/m2)]],"&lt;&gt;0",RD[[#This Row],[IS1GHI1 (KWh/m2)]:[IS7GHI2 (KWh/m2)]]),"")</f>
        <v>7.2761967333333297</v>
      </c>
      <c r="CZ29" s="204">
        <f>IFERROR(AVERAGEIF(RD[[#This Row],[IS1POA_BS1 (KWh/m2)]:[IS7POA_BS2 (KWh/m2)]],"&lt;&gt;0",RD[[#This Row],[IS1POA_BS1 (KWh/m2)]:[IS7POA_BS2 (KWh/m2)]]),"")</f>
        <v>0.97527401666666591</v>
      </c>
      <c r="DA29" s="204">
        <f>IFERROR(AVERAGEIF(RD[[#This Row],[IS1GHI_BS1 (KWh/m2)]:[IS1GHI_BS1 (KWh/m2)2]],"&lt;&gt;0",RD[[#This Row],[IS1GHI_BS1 (KWh/m2)]:[IS1GHI_BS1 (KWh/m2)2]]),"")</f>
        <v>1.4461927166666662</v>
      </c>
      <c r="DB29" s="204">
        <f>IFERROR(AVERAGEIF(RD[[#This Row],[IS1AT1 (°C)]:[IS7AT2 (°C)]],"&lt;&gt;0",RD[[#This Row],[IS1AT1 (°C)]:[IS7AT2 (°C)]]),"")</f>
        <v>33.894411326378489</v>
      </c>
      <c r="DC29" s="204">
        <f>IFERROR(AVERAGEIF(RD[[#This Row],[IS1MT1 (°C)]:[IS7MT2 (°C)]],"&lt;&gt;0",RD[[#This Row],[IS1MT1 (°C)]:[IS7MT2 (°C)]]),"")</f>
        <v>46.28647540983598</v>
      </c>
      <c r="DD29" s="204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204">
        <f>IFERROR(AVERAGEIF(RD[[#This Row],[WS_Solar1_Avg (m/s)]:[IS7_WS_Solar1_Avg (m/s)]],"&lt;&gt;0",RD[[#This Row],[WS_Solar1_Avg (m/s)]:[IS7_WS_Solar1_Avg (m/s)]]),"")</f>
        <v>0.98780923994038716</v>
      </c>
      <c r="DG29" s="204">
        <f>IFERROR(AVERAGEIF(RD[[#This Row],[WS_Solar1_Max (m/s)]:[IS7_WS_Solar1_Max (m/s)]],"&lt;&gt;0",RD[[#This Row],[WS_Solar1_Max (m/s)]:[IS7_WS_Solar1_Max (m/s)]]),"")</f>
        <v>2.2650000000000001</v>
      </c>
      <c r="DH29" s="204">
        <f>SUM(RD[[#This Row],[IS1Inv1M1]:[IS4Inv4M2]])</f>
        <v>293883.8</v>
      </c>
      <c r="DI29" s="205">
        <f>SUM(RD[[#This Row],[IS7Inv1M1]]+RD[[#This Row],[IS7Inv2M1]])</f>
        <v>17279.400000000001</v>
      </c>
      <c r="DJ29" s="204">
        <f>SUM(RD[[#This Row],[IS5Inv1M1]:[IS5Inv2M2]])</f>
        <v>42564.800000000003</v>
      </c>
      <c r="DK29" s="204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86">
        <f>SUM(RD[[#This Row],[IS12Inv1M1]:[IS12Inv1M4]])</f>
        <v>0</v>
      </c>
      <c r="DO29" s="286">
        <f>SUM(RD[[#This Row],[IS13Inv1M1]:[IS13Inv2M2]])</f>
        <v>0</v>
      </c>
      <c r="DP29" s="204">
        <f>SUM(RD[[#This Row],[O2R15]:[O2R26]])</f>
        <v>581073.5</v>
      </c>
      <c r="DQ29" s="164">
        <v>37374.300000000003</v>
      </c>
      <c r="DR29" s="168">
        <v>203</v>
      </c>
      <c r="DS29" s="164">
        <v>32118.6</v>
      </c>
      <c r="DT29" s="164">
        <v>215.4</v>
      </c>
      <c r="DU29" s="168">
        <v>36986.6</v>
      </c>
      <c r="DV29" s="168">
        <v>387.6</v>
      </c>
      <c r="DW29" s="164">
        <v>5156.1000000000004</v>
      </c>
      <c r="DX29" s="168">
        <v>23.1</v>
      </c>
      <c r="DY29" s="168"/>
      <c r="DZ29" s="168"/>
      <c r="EA29" s="140">
        <v>88.63</v>
      </c>
      <c r="EB29" s="241">
        <v>113573044</v>
      </c>
      <c r="EC29" s="240">
        <v>880431.424</v>
      </c>
      <c r="ED29" s="241">
        <v>1053</v>
      </c>
      <c r="EE29" s="241">
        <v>107922</v>
      </c>
      <c r="EF29" s="164">
        <v>157542.79999999999</v>
      </c>
      <c r="EG29" s="164">
        <v>1737.1</v>
      </c>
      <c r="EH29" s="146">
        <f>IF((RD[[#This Row],[33 kV_F3_Ex
Incomer1]]-DQ28)*1000&lt;0,0,(RD[[#This Row],[33 kV_F3_Ex
Incomer1]]-DQ28)*1000)</f>
        <v>99100.000000005821</v>
      </c>
      <c r="EI29" s="146">
        <f>IF((RD[[#This Row],[34 kV_F3_Im
Incomer1]]-DR28)*1000&lt;0,0,(RD[[#This Row],[34 kV_F3_Im
Incomer1]]-DR28)*1000)</f>
        <v>199.99999999998863</v>
      </c>
      <c r="EJ29" s="146">
        <f>IF((RD[[#This Row],[33 kV_F4_Ex
Incomer2]]-DS28)*1000&lt;0,0,(RD[[#This Row],[33 kV_F4_Ex
Incomer2]]-DS28)*1000)</f>
        <v>93699.99999999709</v>
      </c>
      <c r="EK29" s="146">
        <f>IF((RD[[#This Row],[34 kV_F4_Im
Incomer2]]-DT28)*1000&lt;0,0,(RD[[#This Row],[34 kV_F4_Im
Incomer2]]-DT28)*1000)</f>
        <v>200.00000000001705</v>
      </c>
      <c r="EL29" s="146">
        <f>IF((RD[[#This Row],[33 kV_F5_Ex
Incomer3]]-DU28)*1000&lt;0,0,(RD[[#This Row],[33 kV_F5_Ex
Incomer3]]-DU28)*1000)</f>
        <v>122099.99999999854</v>
      </c>
      <c r="EM29" s="146">
        <f>IF((RD[[#This Row],[34 kV_F5_Im
Incomer3]]-DV28)*1000&lt;0,0,(RD[[#This Row],[34 kV_F5_Im
Incomer3]]-DV28)*1000)</f>
        <v>400.00000000003411</v>
      </c>
      <c r="EN29" s="146">
        <f>IF((RD[[#This Row],[33 kV_F6_Ex
Incomer4]]-DW28)*1000&lt;0,0,(RD[[#This Row],[33 kV_F6_Ex
Incomer4]]-DW28)*1000)</f>
        <v>101800.00000000017</v>
      </c>
      <c r="EO29" s="146">
        <f>IF((RD[[#This Row],[33 kV_F6_Im
Incomer4]]-DX28)*1000&lt;0,0,(RD[[#This Row],[33 kV_F6_Im
Incomer4]]-DX28)*1000)</f>
        <v>300.00000000000068</v>
      </c>
      <c r="EP29" s="146">
        <f>IF((RD[[#This Row],[33 kV_F7_Ex
Incomer5]]-DY28)*1000&lt;0,0,(RD[[#This Row],[33 kV_F7_Ex
Incomer5]]-DY28)*1000)</f>
        <v>0</v>
      </c>
      <c r="EQ29" s="146">
        <f>IF((RD[[#This Row],[33 kV_F7_Im
Incomer5]]-DZ28)*1000&lt;0,0,(RD[[#This Row],[33 kV_F7_Im
Incomer5]]-DZ28)*1000)</f>
        <v>0</v>
      </c>
      <c r="ER29" s="146">
        <f>IF((RD[[#This Row],[33 kV_Aux Trafo]]-EA28)*1000&lt;0,0,(RD[[#This Row],[33 kV_Aux Trafo]]-EA28)*1000)</f>
        <v>189.99999999999773</v>
      </c>
      <c r="ES29" s="158">
        <f>IF((RD[[#This Row],[33kV_OG1_Ex_]]-EB28)*1&lt;0,0,(RD[[#This Row],[33kV_OG1_Ex_]]-EB28)*1)</f>
        <v>621282</v>
      </c>
      <c r="ET29" s="146">
        <f>IF((RD[[#This Row],[33kV_OG1_Im]]-EC28)*1&lt;0,0,(RD[[#This Row],[33kV_OG1_Im]]-EC28)*1)</f>
        <v>1854.3360000000102</v>
      </c>
      <c r="EU29" s="146">
        <f>IF((RD[[#This Row],[132kV_TX1_EX]]-ED28)*720&lt;=0,"",(RD[[#This Row],[132kV_TX1_EX]]-ED28)*720)</f>
        <v>2160</v>
      </c>
      <c r="EV29" s="146">
        <f>IF((RD[[#This Row],[132 kV_Tx1_Im]]-EE28)*720&lt;=0,0,(RD[[#This Row],[132 kV_Tx1_Im]]-EE28)*720)</f>
        <v>445680</v>
      </c>
      <c r="EW29" s="146">
        <f>IF((RD[[#This Row],[132kV_L1_Ex]]-EF28)*720&lt;=0,0,(RD[[#This Row],[132kV_L1_Ex]]-EF28)*720)</f>
        <v>619631.99999998324</v>
      </c>
      <c r="EX29" s="146">
        <f>IF((RD[[#This Row],[132kV_L1_Im]]-EG28)*720&lt;=0,0,(RD[[#This Row],[132kV_L1_Im]]-EG28)*720)</f>
        <v>2375.9999999999673</v>
      </c>
      <c r="EY29" s="242">
        <f>IFERROR(RD[[#This Row],[33kV_OG1_Ex (MWh)]]+RD[[#This Row],[33kV_OG1_Im (MWh)]],"")</f>
        <v>623136.33600000001</v>
      </c>
      <c r="EZ29" s="148">
        <f>RD[[#This Row],[33kV_OG1_Ex (MWh)]]-RD[[#This Row],[33kV_OG1_Im (MWh)]]</f>
        <v>619427.66399999999</v>
      </c>
      <c r="FA29" s="148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43">
        <f>IFERROR((RD[[#This Row],[Sunset Time (POA&lt;20 W/m2)]]-RD[[#This Row],[Sunrise Time (POA&gt;20 W/m2)]])*24,0)</f>
        <v>12.133333333333333</v>
      </c>
      <c r="FD29" s="244">
        <v>105</v>
      </c>
      <c r="FE29" t="s">
        <v>276</v>
      </c>
      <c r="FF29"/>
      <c r="FG29"/>
    </row>
    <row r="30" spans="1:163">
      <c r="A30" s="133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52">
        <v>0.26180555555555557</v>
      </c>
      <c r="G30" s="162">
        <v>0.76597222222222228</v>
      </c>
      <c r="H30" s="124">
        <v>9012.7000000000007</v>
      </c>
      <c r="I30" s="124">
        <v>8982.7000000000007</v>
      </c>
      <c r="J30" s="124">
        <v>8573.4</v>
      </c>
      <c r="K30" s="124">
        <v>8647.2999999999993</v>
      </c>
      <c r="L30" s="124">
        <v>8863.1</v>
      </c>
      <c r="M30" s="124">
        <v>9085.6</v>
      </c>
      <c r="N30" s="124">
        <v>8847.4</v>
      </c>
      <c r="O30" s="124">
        <v>9410</v>
      </c>
      <c r="P30" s="124">
        <v>8836.1</v>
      </c>
      <c r="Q30" s="124">
        <v>8727.2000000000007</v>
      </c>
      <c r="R30" s="124">
        <v>9058.2000000000007</v>
      </c>
      <c r="S30" s="124">
        <v>9013.5</v>
      </c>
      <c r="T30" s="124">
        <v>9265.9</v>
      </c>
      <c r="U30" s="124">
        <v>9055</v>
      </c>
      <c r="V30" s="124">
        <v>9125.2000000000007</v>
      </c>
      <c r="W30" s="124">
        <v>8953.4</v>
      </c>
      <c r="X30" s="203">
        <v>12660</v>
      </c>
      <c r="Y30" s="203">
        <v>13603.7</v>
      </c>
      <c r="Z30" s="203">
        <v>12211.7</v>
      </c>
      <c r="AA30" s="203">
        <v>12687.3</v>
      </c>
      <c r="AB30" s="203">
        <v>13485.5</v>
      </c>
      <c r="AC30" s="203">
        <v>8306.9</v>
      </c>
      <c r="AD30" s="203">
        <v>12738.2</v>
      </c>
      <c r="AE30" s="203">
        <v>12776.6</v>
      </c>
      <c r="AF30" s="203">
        <v>12519.8</v>
      </c>
      <c r="AG30" s="203">
        <v>12523</v>
      </c>
      <c r="AH30" s="203">
        <v>12656.4</v>
      </c>
      <c r="AI30" s="203">
        <v>12766.4</v>
      </c>
      <c r="AJ30" s="142">
        <v>10537.8</v>
      </c>
      <c r="AK30" s="142">
        <v>10879.9</v>
      </c>
      <c r="AL30" s="142">
        <v>10617.1</v>
      </c>
      <c r="AM30" s="142">
        <v>10651.6</v>
      </c>
      <c r="AN30" s="142">
        <v>10537.8</v>
      </c>
      <c r="AO30" s="142">
        <v>10835.6</v>
      </c>
      <c r="AP30" s="142">
        <v>10678.4</v>
      </c>
      <c r="AQ30" s="142">
        <v>10548.8</v>
      </c>
      <c r="AR30" s="142">
        <v>8579.7999999999993</v>
      </c>
      <c r="AS30" s="142">
        <v>8653.2999999999993</v>
      </c>
      <c r="AT30" s="142">
        <v>8789.2000000000007</v>
      </c>
      <c r="AU30" s="142">
        <v>8776.9</v>
      </c>
      <c r="AV30" s="142">
        <v>8912.2999999999993</v>
      </c>
      <c r="AW30" s="142">
        <v>8718.7000000000007</v>
      </c>
      <c r="AX30" s="142">
        <v>12207.7</v>
      </c>
      <c r="AY30" s="142">
        <v>13459.5</v>
      </c>
      <c r="AZ30" s="142">
        <v>9830.9</v>
      </c>
      <c r="BA30" s="142">
        <v>11760.7</v>
      </c>
      <c r="BB30" s="142">
        <v>11884</v>
      </c>
      <c r="BC30" s="142">
        <v>8450</v>
      </c>
      <c r="BD30" s="142">
        <v>9832</v>
      </c>
      <c r="BE30" s="142">
        <v>11705</v>
      </c>
      <c r="BF30" s="142">
        <v>12609</v>
      </c>
      <c r="BG30" s="142">
        <v>12494</v>
      </c>
      <c r="BH30" s="142">
        <v>7660</v>
      </c>
      <c r="BI30" s="142">
        <v>4698</v>
      </c>
      <c r="BJ30" s="142">
        <v>7855.4</v>
      </c>
      <c r="BK30" s="142">
        <v>5600.1</v>
      </c>
      <c r="BL30" s="142">
        <v>7760.8</v>
      </c>
      <c r="BM30" s="142">
        <v>7159.6</v>
      </c>
      <c r="BN30" s="142"/>
      <c r="BO30" s="142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2"/>
      <c r="CD30" s="59">
        <v>7.267512199999997</v>
      </c>
      <c r="CE30" s="59"/>
      <c r="CF30" s="206">
        <v>7.2514088000000019</v>
      </c>
      <c r="CG30" s="206"/>
      <c r="CH30" s="206">
        <v>0.98194756666666594</v>
      </c>
      <c r="CI30" s="206"/>
      <c r="CJ30" s="59">
        <v>1.4546560666666659</v>
      </c>
      <c r="CK30" s="59"/>
      <c r="CL30" s="206">
        <v>34.564774247491734</v>
      </c>
      <c r="CM30" s="206"/>
      <c r="CN30" s="206">
        <v>47.986234949832735</v>
      </c>
      <c r="CO30" s="206"/>
      <c r="CP30" s="206">
        <v>17.935016722408026</v>
      </c>
      <c r="CQ30" s="206"/>
      <c r="CR30" s="59">
        <v>0</v>
      </c>
      <c r="CS30" s="59"/>
      <c r="CT30" s="206">
        <v>0.99358193979933207</v>
      </c>
      <c r="CU30" s="206"/>
      <c r="CV30" s="206">
        <v>2.6459999999999999</v>
      </c>
      <c r="CW30" s="258"/>
      <c r="CX30" s="204">
        <f>IFERROR(AVERAGEIF(RD[[#This Row],[IS1POA1 (KWh/m2)]:[IS7POA2 (KWh/m2)]],"&lt;&gt;0",RD[[#This Row],[IS1POA1 (KWh/m2)]:[IS7POA2 (KWh/m2)]]),"")</f>
        <v>7.267512199999997</v>
      </c>
      <c r="CY30" s="204">
        <f>IFERROR(AVERAGEIF(RD[[#This Row],[IS1GHI1 (KWh/m2)]:[IS7GHI2 (KWh/m2)]],"&lt;&gt;0",RD[[#This Row],[IS1GHI1 (KWh/m2)]:[IS7GHI2 (KWh/m2)]]),"")</f>
        <v>7.2514088000000019</v>
      </c>
      <c r="CZ30" s="204">
        <f>IFERROR(AVERAGEIF(RD[[#This Row],[IS1POA_BS1 (KWh/m2)]:[IS7POA_BS2 (KWh/m2)]],"&lt;&gt;0",RD[[#This Row],[IS1POA_BS1 (KWh/m2)]:[IS7POA_BS2 (KWh/m2)]]),"")</f>
        <v>0.98194756666666594</v>
      </c>
      <c r="DA30" s="204">
        <f>IFERROR(AVERAGEIF(RD[[#This Row],[IS1GHI_BS1 (KWh/m2)]:[IS1GHI_BS1 (KWh/m2)2]],"&lt;&gt;0",RD[[#This Row],[IS1GHI_BS1 (KWh/m2)]:[IS1GHI_BS1 (KWh/m2)2]]),"")</f>
        <v>1.4546560666666659</v>
      </c>
      <c r="DB30" s="204">
        <f>IFERROR(AVERAGEIF(RD[[#This Row],[IS1AT1 (°C)]:[IS7AT2 (°C)]],"&lt;&gt;0",RD[[#This Row],[IS1AT1 (°C)]:[IS7AT2 (°C)]]),"")</f>
        <v>34.564774247491734</v>
      </c>
      <c r="DC30" s="204">
        <f>IFERROR(AVERAGEIF(RD[[#This Row],[IS1MT1 (°C)]:[IS7MT2 (°C)]],"&lt;&gt;0",RD[[#This Row],[IS1MT1 (°C)]:[IS7MT2 (°C)]]),"")</f>
        <v>47.986234949832735</v>
      </c>
      <c r="DD30" s="204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204">
        <f>IFERROR(AVERAGEIF(RD[[#This Row],[WS_Solar1_Avg (m/s)]:[IS7_WS_Solar1_Avg (m/s)]],"&lt;&gt;0",RD[[#This Row],[WS_Solar1_Avg (m/s)]:[IS7_WS_Solar1_Avg (m/s)]]),"")</f>
        <v>0.99358193979933207</v>
      </c>
      <c r="DG30" s="204">
        <f>IFERROR(AVERAGEIF(RD[[#This Row],[WS_Solar1_Max (m/s)]:[IS7_WS_Solar1_Max (m/s)]],"&lt;&gt;0",RD[[#This Row],[WS_Solar1_Max (m/s)]:[IS7_WS_Solar1_Max (m/s)]]),"")</f>
        <v>2.6459999999999999</v>
      </c>
      <c r="DH30" s="204">
        <f>SUM(RD[[#This Row],[IS1Inv1M1]:[IS4Inv4M2]])</f>
        <v>292392.20000000007</v>
      </c>
      <c r="DI30" s="205">
        <f>SUM(RD[[#This Row],[IS7Inv1M1]]+RD[[#This Row],[IS7Inv2M1]])</f>
        <v>17233.099999999999</v>
      </c>
      <c r="DJ30" s="204">
        <f>SUM(RD[[#This Row],[IS5Inv1M1]:[IS5Inv2M2]])</f>
        <v>42686.399999999994</v>
      </c>
      <c r="DK30" s="204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86">
        <f>SUM(RD[[#This Row],[IS12Inv1M1]:[IS12Inv1M4]])</f>
        <v>0</v>
      </c>
      <c r="DO30" s="286">
        <f>SUM(RD[[#This Row],[IS13Inv1M1]:[IS13Inv2M2]])</f>
        <v>0</v>
      </c>
      <c r="DP30" s="204">
        <f>SUM(RD[[#This Row],[O2R15]:[O2R26]])</f>
        <v>585076.10000000009</v>
      </c>
      <c r="DQ30" s="164">
        <v>37473.5</v>
      </c>
      <c r="DR30" s="168">
        <v>203.2</v>
      </c>
      <c r="DS30" s="164">
        <v>32211.7</v>
      </c>
      <c r="DT30" s="164">
        <v>215.6</v>
      </c>
      <c r="DU30" s="168">
        <v>37108.800000000003</v>
      </c>
      <c r="DV30" s="168">
        <v>388</v>
      </c>
      <c r="DW30" s="164">
        <v>5257.9</v>
      </c>
      <c r="DX30" s="168">
        <v>23.5</v>
      </c>
      <c r="DY30" s="168"/>
      <c r="DZ30" s="168"/>
      <c r="EA30" s="140">
        <v>88.8</v>
      </c>
      <c r="EB30" s="241">
        <v>114193997</v>
      </c>
      <c r="EC30" s="240">
        <v>882212.09600000002</v>
      </c>
      <c r="ED30" s="241">
        <v>1055</v>
      </c>
      <c r="EE30" s="241">
        <v>108540</v>
      </c>
      <c r="EF30" s="164">
        <v>158402.4</v>
      </c>
      <c r="EG30" s="164">
        <v>1740</v>
      </c>
      <c r="EH30" s="146">
        <f>IF((RD[[#This Row],[33 kV_F3_Ex
Incomer1]]-DQ29)*1000&lt;0,0,(RD[[#This Row],[33 kV_F3_Ex
Incomer1]]-DQ29)*1000)</f>
        <v>99199.99999999709</v>
      </c>
      <c r="EI30" s="146">
        <f>IF((RD[[#This Row],[34 kV_F3_Im
Incomer1]]-DR29)*1000&lt;0,0,(RD[[#This Row],[34 kV_F3_Im
Incomer1]]-DR29)*1000)</f>
        <v>199.99999999998863</v>
      </c>
      <c r="EJ30" s="146">
        <f>IF((RD[[#This Row],[33 kV_F4_Ex
Incomer2]]-DS29)*1000&lt;0,0,(RD[[#This Row],[33 kV_F4_Ex
Incomer2]]-DS29)*1000)</f>
        <v>93100.000000002183</v>
      </c>
      <c r="EK30" s="146">
        <f>IF((RD[[#This Row],[34 kV_F4_Im
Incomer2]]-DT29)*1000&lt;0,0,(RD[[#This Row],[34 kV_F4_Im
Incomer2]]-DT29)*1000)</f>
        <v>199.99999999998863</v>
      </c>
      <c r="EL30" s="146">
        <f>IF((RD[[#This Row],[33 kV_F5_Ex
Incomer3]]-DU29)*1000&lt;0,0,(RD[[#This Row],[33 kV_F5_Ex
Incomer3]]-DU29)*1000)</f>
        <v>122200.00000000437</v>
      </c>
      <c r="EM30" s="146">
        <f>IF((RD[[#This Row],[34 kV_F5_Im
Incomer3]]-DV29)*1000&lt;0,0,(RD[[#This Row],[34 kV_F5_Im
Incomer3]]-DV29)*1000)</f>
        <v>399.99999999997726</v>
      </c>
      <c r="EN30" s="146">
        <f>IF((RD[[#This Row],[33 kV_F6_Ex
Incomer4]]-DW29)*1000&lt;0,0,(RD[[#This Row],[33 kV_F6_Ex
Incomer4]]-DW29)*1000)</f>
        <v>101799.99999999927</v>
      </c>
      <c r="EO30" s="146">
        <f>IF((RD[[#This Row],[33 kV_F6_Im
Incomer4]]-DX29)*1000&lt;0,0,(RD[[#This Row],[33 kV_F6_Im
Incomer4]]-DX29)*1000)</f>
        <v>399.99999999999858</v>
      </c>
      <c r="EP30" s="146">
        <f>IF((RD[[#This Row],[33 kV_F7_Ex
Incomer5]]-DY29)*1000&lt;0,0,(RD[[#This Row],[33 kV_F7_Ex
Incomer5]]-DY29)*1000)</f>
        <v>0</v>
      </c>
      <c r="EQ30" s="146">
        <f>IF((RD[[#This Row],[33 kV_F7_Im
Incomer5]]-DZ29)*1000&lt;0,0,(RD[[#This Row],[33 kV_F7_Im
Incomer5]]-DZ29)*1000)</f>
        <v>0</v>
      </c>
      <c r="ER30" s="146">
        <f>IF((RD[[#This Row],[33 kV_Aux Trafo]]-EA29)*1000&lt;0,0,(RD[[#This Row],[33 kV_Aux Trafo]]-EA29)*1000)</f>
        <v>170.00000000000171</v>
      </c>
      <c r="ES30" s="158">
        <f>IF((RD[[#This Row],[33kV_OG1_Ex_]]-EB29)*1&lt;0,0,(RD[[#This Row],[33kV_OG1_Ex_]]-EB29)*1)</f>
        <v>620953</v>
      </c>
      <c r="ET30" s="146">
        <f>IF((RD[[#This Row],[33kV_OG1_Im]]-EC29)*1&lt;0,0,(RD[[#This Row],[33kV_OG1_Im]]-EC29)*1)</f>
        <v>1780.6720000000205</v>
      </c>
      <c r="EU30" s="146">
        <f>IF((RD[[#This Row],[132kV_TX1_EX]]-ED29)*720&lt;=0,"",(RD[[#This Row],[132kV_TX1_EX]]-ED29)*720)</f>
        <v>1440</v>
      </c>
      <c r="EV30" s="146">
        <f>IF((RD[[#This Row],[132 kV_Tx1_Im]]-EE29)*720&lt;=0,0,(RD[[#This Row],[132 kV_Tx1_Im]]-EE29)*720)</f>
        <v>444960</v>
      </c>
      <c r="EW30" s="146">
        <f>IF((RD[[#This Row],[132kV_L1_Ex]]-EF29)*720&lt;=0,0,(RD[[#This Row],[132kV_L1_Ex]]-EF29)*720)</f>
        <v>618912.00000000419</v>
      </c>
      <c r="EX30" s="146">
        <f>IF((RD[[#This Row],[132kV_L1_Im]]-EG29)*720&lt;=0,0,(RD[[#This Row],[132kV_L1_Im]]-EG29)*720)</f>
        <v>2088.0000000000655</v>
      </c>
      <c r="EY30" s="242">
        <f>IFERROR(RD[[#This Row],[33kV_OG1_Ex (MWh)]]+RD[[#This Row],[33kV_OG1_Im (MWh)]],"")</f>
        <v>622733.67200000002</v>
      </c>
      <c r="EZ30" s="148">
        <f>RD[[#This Row],[33kV_OG1_Ex (MWh)]]-RD[[#This Row],[33kV_OG1_Im (MWh)]]</f>
        <v>619172.32799999998</v>
      </c>
      <c r="FA30" s="148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43">
        <f>IFERROR((RD[[#This Row],[Sunset Time (POA&lt;20 W/m2)]]-RD[[#This Row],[Sunrise Time (POA&gt;20 W/m2)]])*24,0)</f>
        <v>12.1</v>
      </c>
      <c r="FD30" s="244">
        <v>105</v>
      </c>
      <c r="FE30" t="s">
        <v>268</v>
      </c>
      <c r="FF30"/>
      <c r="FG30"/>
    </row>
    <row r="31" spans="1:163">
      <c r="A31" s="133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52">
        <v>0.26180555555555557</v>
      </c>
      <c r="G31" s="162">
        <v>0.76944444444444449</v>
      </c>
      <c r="H31" s="124">
        <v>8853.7000000000007</v>
      </c>
      <c r="I31" s="124">
        <v>8758.7999999999993</v>
      </c>
      <c r="J31" s="124">
        <v>8252.6</v>
      </c>
      <c r="K31" s="124">
        <v>8339.2000000000007</v>
      </c>
      <c r="L31" s="124">
        <v>8597.7999999999993</v>
      </c>
      <c r="M31" s="124">
        <v>8840.7999999999993</v>
      </c>
      <c r="N31" s="124">
        <v>8555.1</v>
      </c>
      <c r="O31" s="124">
        <v>9273</v>
      </c>
      <c r="P31" s="124">
        <v>8632.2999999999993</v>
      </c>
      <c r="Q31" s="124">
        <v>8543.5</v>
      </c>
      <c r="R31" s="124">
        <v>8856.2000000000007</v>
      </c>
      <c r="S31" s="124">
        <v>8813.7000000000007</v>
      </c>
      <c r="T31" s="124">
        <v>9078</v>
      </c>
      <c r="U31" s="124">
        <v>8839.6</v>
      </c>
      <c r="V31" s="124">
        <v>8950.2000000000007</v>
      </c>
      <c r="W31" s="124">
        <v>8717.9</v>
      </c>
      <c r="X31" s="203">
        <v>12252.3</v>
      </c>
      <c r="Y31" s="203">
        <v>13318.6</v>
      </c>
      <c r="Z31" s="203">
        <v>11766.4</v>
      </c>
      <c r="AA31" s="203">
        <v>12220.7</v>
      </c>
      <c r="AB31" s="203">
        <v>13197.8</v>
      </c>
      <c r="AC31" s="203">
        <v>8024.1</v>
      </c>
      <c r="AD31" s="203">
        <v>12337.5</v>
      </c>
      <c r="AE31" s="203">
        <v>12379.2</v>
      </c>
      <c r="AF31" s="203">
        <v>12093.1</v>
      </c>
      <c r="AG31" s="203">
        <v>12131.2</v>
      </c>
      <c r="AH31" s="203">
        <v>12212.9</v>
      </c>
      <c r="AI31" s="203">
        <v>12355.6</v>
      </c>
      <c r="AJ31" s="142">
        <v>10262.6</v>
      </c>
      <c r="AK31" s="142">
        <v>10522.6</v>
      </c>
      <c r="AL31" s="142">
        <v>10227.299999999999</v>
      </c>
      <c r="AM31" s="142">
        <v>10268.1</v>
      </c>
      <c r="AN31" s="142">
        <v>10186.799999999999</v>
      </c>
      <c r="AO31" s="142">
        <v>10464.6</v>
      </c>
      <c r="AP31" s="142">
        <v>10327.1</v>
      </c>
      <c r="AQ31" s="142">
        <v>10193.799999999999</v>
      </c>
      <c r="AR31" s="142">
        <v>8312.1</v>
      </c>
      <c r="AS31" s="142">
        <v>8368</v>
      </c>
      <c r="AT31" s="142">
        <v>8536.1</v>
      </c>
      <c r="AU31" s="142">
        <v>8498.5</v>
      </c>
      <c r="AV31" s="142">
        <v>8691.2000000000007</v>
      </c>
      <c r="AW31" s="142">
        <v>8457.4</v>
      </c>
      <c r="AX31" s="142">
        <v>11825.1</v>
      </c>
      <c r="AY31" s="142">
        <v>13201.9</v>
      </c>
      <c r="AZ31" s="142">
        <v>9565.7999999999993</v>
      </c>
      <c r="BA31" s="142">
        <v>11411.4</v>
      </c>
      <c r="BB31" s="142">
        <v>12366</v>
      </c>
      <c r="BC31" s="142">
        <v>9355</v>
      </c>
      <c r="BD31" s="142">
        <v>9972</v>
      </c>
      <c r="BE31" s="142">
        <v>11763</v>
      </c>
      <c r="BF31" s="142">
        <v>12657</v>
      </c>
      <c r="BG31" s="142">
        <v>12670</v>
      </c>
      <c r="BH31" s="142">
        <v>7694</v>
      </c>
      <c r="BI31" s="142">
        <v>4726</v>
      </c>
      <c r="BJ31" s="142">
        <v>7930</v>
      </c>
      <c r="BK31" s="142">
        <v>5771</v>
      </c>
      <c r="BL31" s="142">
        <v>7817</v>
      </c>
      <c r="BM31" s="142">
        <v>7209</v>
      </c>
      <c r="BN31" s="142"/>
      <c r="BO31" s="142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142"/>
      <c r="CC31" s="142"/>
      <c r="CD31" s="59">
        <v>6.9662361500000021</v>
      </c>
      <c r="CE31" s="59"/>
      <c r="CF31" s="206">
        <v>6.942666066666666</v>
      </c>
      <c r="CG31" s="206"/>
      <c r="CH31" s="206">
        <v>0.96716798333333232</v>
      </c>
      <c r="CI31" s="206"/>
      <c r="CJ31" s="59">
        <v>1.3974052499999994</v>
      </c>
      <c r="CK31" s="59"/>
      <c r="CL31" s="206">
        <v>34.53467400508044</v>
      </c>
      <c r="CM31" s="206"/>
      <c r="CN31" s="206">
        <v>47.438395427603695</v>
      </c>
      <c r="CO31" s="206"/>
      <c r="CP31" s="206">
        <v>15.735088907705327</v>
      </c>
      <c r="CQ31" s="206"/>
      <c r="CR31" s="59">
        <v>0</v>
      </c>
      <c r="CS31" s="59"/>
      <c r="CT31" s="206">
        <v>1.098401354784083</v>
      </c>
      <c r="CU31" s="206"/>
      <c r="CV31" s="206">
        <v>2.4390000000000001</v>
      </c>
      <c r="CW31" s="258"/>
      <c r="CX31" s="204">
        <f>IFERROR(AVERAGEIF(RD[[#This Row],[IS1POA1 (KWh/m2)]:[IS7POA2 (KWh/m2)]],"&lt;&gt;0",RD[[#This Row],[IS1POA1 (KWh/m2)]:[IS7POA2 (KWh/m2)]]),"")</f>
        <v>6.9662361500000021</v>
      </c>
      <c r="CY31" s="204">
        <f>IFERROR(AVERAGEIF(RD[[#This Row],[IS1GHI1 (KWh/m2)]:[IS7GHI2 (KWh/m2)]],"&lt;&gt;0",RD[[#This Row],[IS1GHI1 (KWh/m2)]:[IS7GHI2 (KWh/m2)]]),"")</f>
        <v>6.942666066666666</v>
      </c>
      <c r="CZ31" s="204">
        <f>IFERROR(AVERAGEIF(RD[[#This Row],[IS1POA_BS1 (KWh/m2)]:[IS7POA_BS2 (KWh/m2)]],"&lt;&gt;0",RD[[#This Row],[IS1POA_BS1 (KWh/m2)]:[IS7POA_BS2 (KWh/m2)]]),"")</f>
        <v>0.96716798333333232</v>
      </c>
      <c r="DA31" s="204">
        <f>IFERROR(AVERAGEIF(RD[[#This Row],[IS1GHI_BS1 (KWh/m2)]:[IS1GHI_BS1 (KWh/m2)2]],"&lt;&gt;0",RD[[#This Row],[IS1GHI_BS1 (KWh/m2)]:[IS1GHI_BS1 (KWh/m2)2]]),"")</f>
        <v>1.3974052499999994</v>
      </c>
      <c r="DB31" s="204">
        <f>IFERROR(AVERAGEIF(RD[[#This Row],[IS1AT1 (°C)]:[IS7AT2 (°C)]],"&lt;&gt;0",RD[[#This Row],[IS1AT1 (°C)]:[IS7AT2 (°C)]]),"")</f>
        <v>34.53467400508044</v>
      </c>
      <c r="DC31" s="204">
        <f>IFERROR(AVERAGEIF(RD[[#This Row],[IS1MT1 (°C)]:[IS7MT2 (°C)]],"&lt;&gt;0",RD[[#This Row],[IS1MT1 (°C)]:[IS7MT2 (°C)]]),"")</f>
        <v>47.438395427603695</v>
      </c>
      <c r="DD31" s="204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204">
        <f>IFERROR(AVERAGEIF(RD[[#This Row],[WS_Solar1_Avg (m/s)]:[IS7_WS_Solar1_Avg (m/s)]],"&lt;&gt;0",RD[[#This Row],[WS_Solar1_Avg (m/s)]:[IS7_WS_Solar1_Avg (m/s)]]),"")</f>
        <v>1.098401354784083</v>
      </c>
      <c r="DG31" s="204">
        <f>IFERROR(AVERAGEIF(RD[[#This Row],[WS_Solar1_Max (m/s)]:[IS7_WS_Solar1_Max (m/s)]],"&lt;&gt;0",RD[[#This Row],[WS_Solar1_Max (m/s)]:[IS7_WS_Solar1_Max (m/s)]]),"")</f>
        <v>2.4390000000000001</v>
      </c>
      <c r="DH31" s="204">
        <f>SUM(RD[[#This Row],[IS1Inv1M1]:[IS4Inv4M2]])</f>
        <v>284191.8</v>
      </c>
      <c r="DI31" s="205">
        <f>SUM(RD[[#This Row],[IS7Inv1M1]]+RD[[#This Row],[IS7Inv2M1]])</f>
        <v>16680.099999999999</v>
      </c>
      <c r="DJ31" s="204">
        <f>SUM(RD[[#This Row],[IS5Inv1M1]:[IS5Inv2M2]])</f>
        <v>41280.6</v>
      </c>
      <c r="DK31" s="204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86">
        <f>SUM(RD[[#This Row],[IS12Inv1M1]:[IS12Inv1M4]])</f>
        <v>0</v>
      </c>
      <c r="DO31" s="286">
        <f>SUM(RD[[#This Row],[IS13Inv1M1]:[IS13Inv2M2]])</f>
        <v>0</v>
      </c>
      <c r="DP31" s="204">
        <f>SUM(RD[[#This Row],[O2R15]:[O2R26]])</f>
        <v>573442.19999999995</v>
      </c>
      <c r="DQ31" s="164">
        <v>37569.5</v>
      </c>
      <c r="DR31" s="168">
        <v>203.4</v>
      </c>
      <c r="DS31" s="164">
        <v>32302.9</v>
      </c>
      <c r="DT31" s="164">
        <v>215.8</v>
      </c>
      <c r="DU31" s="168">
        <v>37227.300000000003</v>
      </c>
      <c r="DV31" s="168">
        <v>388.4</v>
      </c>
      <c r="DW31" s="164">
        <v>5351.7</v>
      </c>
      <c r="DX31" s="168">
        <v>23.8</v>
      </c>
      <c r="DY31" s="168"/>
      <c r="DZ31" s="168"/>
      <c r="EA31" s="140">
        <v>89</v>
      </c>
      <c r="EB31" s="241">
        <v>114789728</v>
      </c>
      <c r="EC31" s="240">
        <v>884037.76</v>
      </c>
      <c r="ED31" s="241">
        <v>1057</v>
      </c>
      <c r="EE31" s="241">
        <v>109133</v>
      </c>
      <c r="EF31" s="164">
        <v>159227</v>
      </c>
      <c r="EG31" s="164">
        <v>1743.4</v>
      </c>
      <c r="EH31" s="146">
        <f>IF((RD[[#This Row],[33 kV_F3_Ex
Incomer1]]-DQ30)*1000&lt;0,0,(RD[[#This Row],[33 kV_F3_Ex
Incomer1]]-DQ30)*1000)</f>
        <v>96000</v>
      </c>
      <c r="EI31" s="146">
        <f>IF((RD[[#This Row],[34 kV_F3_Im
Incomer1]]-DR30)*1000&lt;0,0,(RD[[#This Row],[34 kV_F3_Im
Incomer1]]-DR30)*1000)</f>
        <v>200.00000000001705</v>
      </c>
      <c r="EJ31" s="146">
        <f>IF((RD[[#This Row],[33 kV_F4_Ex
Incomer2]]-DS30)*1000&lt;0,0,(RD[[#This Row],[33 kV_F4_Ex
Incomer2]]-DS30)*1000)</f>
        <v>91200.000000000728</v>
      </c>
      <c r="EK31" s="146">
        <f>IF((RD[[#This Row],[34 kV_F4_Im
Incomer2]]-DT30)*1000&lt;0,0,(RD[[#This Row],[34 kV_F4_Im
Incomer2]]-DT30)*1000)</f>
        <v>200.00000000001705</v>
      </c>
      <c r="EL31" s="146">
        <f>IF((RD[[#This Row],[33 kV_F5_Ex
Incomer3]]-DU30)*1000&lt;0,0,(RD[[#This Row],[33 kV_F5_Ex
Incomer3]]-DU30)*1000)</f>
        <v>118500</v>
      </c>
      <c r="EM31" s="146">
        <f>IF((RD[[#This Row],[34 kV_F5_Im
Incomer3]]-DV30)*1000&lt;0,0,(RD[[#This Row],[34 kV_F5_Im
Incomer3]]-DV30)*1000)</f>
        <v>399.99999999997726</v>
      </c>
      <c r="EN31" s="146">
        <f>IF((RD[[#This Row],[33 kV_F6_Ex
Incomer4]]-DW30)*1000&lt;0,0,(RD[[#This Row],[33 kV_F6_Ex
Incomer4]]-DW30)*1000)</f>
        <v>93800.000000000175</v>
      </c>
      <c r="EO31" s="146">
        <f>IF((RD[[#This Row],[33 kV_F6_Im
Incomer4]]-DX30)*1000&lt;0,0,(RD[[#This Row],[33 kV_F6_Im
Incomer4]]-DX30)*1000)</f>
        <v>300.00000000000068</v>
      </c>
      <c r="EP31" s="146">
        <f>IF((RD[[#This Row],[33 kV_F7_Ex
Incomer5]]-DY30)*1000&lt;0,0,(RD[[#This Row],[33 kV_F7_Ex
Incomer5]]-DY30)*1000)</f>
        <v>0</v>
      </c>
      <c r="EQ31" s="146">
        <f>IF((RD[[#This Row],[33 kV_F7_Im
Incomer5]]-DZ30)*1000&lt;0,0,(RD[[#This Row],[33 kV_F7_Im
Incomer5]]-DZ30)*1000)</f>
        <v>0</v>
      </c>
      <c r="ER31" s="146">
        <f>IF((RD[[#This Row],[33 kV_Aux Trafo]]-EA30)*1000&lt;0,0,(RD[[#This Row],[33 kV_Aux Trafo]]-EA30)*1000)</f>
        <v>200.00000000000284</v>
      </c>
      <c r="ES31" s="158">
        <f>IF((RD[[#This Row],[33kV_OG1_Ex_]]-EB30)*1&lt;0,0,(RD[[#This Row],[33kV_OG1_Ex_]]-EB30)*1)</f>
        <v>595731</v>
      </c>
      <c r="ET31" s="146">
        <f>IF((RD[[#This Row],[33kV_OG1_Im]]-EC30)*1&lt;0,0,(RD[[#This Row],[33kV_OG1_Im]]-EC30)*1)</f>
        <v>1825.6639999999898</v>
      </c>
      <c r="EU31" s="146">
        <f>IF((RD[[#This Row],[132kV_TX1_EX]]-ED30)*720&lt;=0,"",(RD[[#This Row],[132kV_TX1_EX]]-ED30)*720)</f>
        <v>1440</v>
      </c>
      <c r="EV31" s="146">
        <f>IF((RD[[#This Row],[132 kV_Tx1_Im]]-EE30)*720&lt;=0,0,(RD[[#This Row],[132 kV_Tx1_Im]]-EE30)*720)</f>
        <v>426960</v>
      </c>
      <c r="EW31" s="146">
        <f>IF((RD[[#This Row],[132kV_L1_Ex]]-EF30)*720&lt;=0,0,(RD[[#This Row],[132kV_L1_Ex]]-EF30)*720)</f>
        <v>593712.00000000419</v>
      </c>
      <c r="EX31" s="146">
        <f>IF((RD[[#This Row],[132kV_L1_Im]]-EG30)*720&lt;=0,0,(RD[[#This Row],[132kV_L1_Im]]-EG30)*720)</f>
        <v>2448.0000000000655</v>
      </c>
      <c r="EY31" s="242">
        <f>IFERROR(RD[[#This Row],[33kV_OG1_Ex (MWh)]]+RD[[#This Row],[33kV_OG1_Im (MWh)]],"")</f>
        <v>597556.66399999999</v>
      </c>
      <c r="EZ31" s="148">
        <f>RD[[#This Row],[33kV_OG1_Ex (MWh)]]-RD[[#This Row],[33kV_OG1_Im (MWh)]]</f>
        <v>593905.33600000001</v>
      </c>
      <c r="FA31" s="148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43">
        <f>IFERROR((RD[[#This Row],[Sunset Time (POA&lt;20 W/m2)]]-RD[[#This Row],[Sunrise Time (POA&gt;20 W/m2)]])*24,0)</f>
        <v>12.183333333333335</v>
      </c>
      <c r="FD31" s="244">
        <v>105</v>
      </c>
      <c r="FE31" t="s">
        <v>268</v>
      </c>
      <c r="FF31"/>
      <c r="FG31"/>
    </row>
    <row r="32" spans="1:163">
      <c r="A32" s="133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52">
        <v>0.26250000000000001</v>
      </c>
      <c r="G32" s="162">
        <v>0.76597222222222228</v>
      </c>
      <c r="H32" s="124">
        <v>8818.1</v>
      </c>
      <c r="I32" s="124">
        <v>8739</v>
      </c>
      <c r="J32" s="124">
        <v>8249.6</v>
      </c>
      <c r="K32" s="124">
        <v>8403.2000000000007</v>
      </c>
      <c r="L32" s="124">
        <v>8608.1</v>
      </c>
      <c r="M32" s="124">
        <v>8814.9</v>
      </c>
      <c r="N32" s="124">
        <v>8587.6</v>
      </c>
      <c r="O32" s="124">
        <v>9228.5</v>
      </c>
      <c r="P32" s="124">
        <v>8600.7999999999993</v>
      </c>
      <c r="Q32" s="124">
        <v>8534.7000000000007</v>
      </c>
      <c r="R32" s="124">
        <v>8811.6</v>
      </c>
      <c r="S32" s="124">
        <v>8768.7000000000007</v>
      </c>
      <c r="T32" s="124">
        <v>9042.5</v>
      </c>
      <c r="U32" s="124">
        <v>8818.4</v>
      </c>
      <c r="V32" s="124">
        <v>8920.7000000000007</v>
      </c>
      <c r="W32" s="124">
        <v>8713.6</v>
      </c>
      <c r="X32" s="203">
        <v>12239.4</v>
      </c>
      <c r="Y32" s="203">
        <v>13277.9</v>
      </c>
      <c r="Z32" s="203">
        <v>11765.7</v>
      </c>
      <c r="AA32" s="203">
        <v>12200.1</v>
      </c>
      <c r="AB32" s="203">
        <v>13202.5</v>
      </c>
      <c r="AC32" s="203">
        <v>8028</v>
      </c>
      <c r="AD32" s="203">
        <v>12361.4</v>
      </c>
      <c r="AE32" s="203">
        <v>12388.3</v>
      </c>
      <c r="AF32" s="203">
        <v>12092.3</v>
      </c>
      <c r="AG32" s="203">
        <v>12135</v>
      </c>
      <c r="AH32" s="203">
        <v>12197</v>
      </c>
      <c r="AI32" s="203">
        <v>12300.5</v>
      </c>
      <c r="AJ32" s="142">
        <v>10194.700000000001</v>
      </c>
      <c r="AK32" s="142">
        <v>10464.9</v>
      </c>
      <c r="AL32" s="142">
        <v>10179.5</v>
      </c>
      <c r="AM32" s="142">
        <v>10218.200000000001</v>
      </c>
      <c r="AN32" s="142">
        <v>10184.4</v>
      </c>
      <c r="AO32" s="142">
        <v>10451.6</v>
      </c>
      <c r="AP32" s="142">
        <v>10298.4</v>
      </c>
      <c r="AQ32" s="142">
        <v>10176.299999999999</v>
      </c>
      <c r="AR32" s="142">
        <v>8251.2000000000007</v>
      </c>
      <c r="AS32" s="142">
        <v>8323.4</v>
      </c>
      <c r="AT32" s="142">
        <v>8509.1</v>
      </c>
      <c r="AU32" s="142">
        <v>8442.2999999999993</v>
      </c>
      <c r="AV32" s="142">
        <v>8654.5</v>
      </c>
      <c r="AW32" s="142">
        <v>8464.5</v>
      </c>
      <c r="AX32" s="142">
        <v>11700</v>
      </c>
      <c r="AY32" s="142">
        <v>13054</v>
      </c>
      <c r="AZ32" s="142">
        <v>9537</v>
      </c>
      <c r="BA32" s="142">
        <v>11354</v>
      </c>
      <c r="BB32" s="142">
        <v>10428</v>
      </c>
      <c r="BC32" s="142">
        <v>8416</v>
      </c>
      <c r="BD32" s="142">
        <v>8246.7999999999993</v>
      </c>
      <c r="BE32" s="142">
        <v>11278.8</v>
      </c>
      <c r="BF32" s="142">
        <v>12168.8</v>
      </c>
      <c r="BG32" s="142">
        <v>12083.1</v>
      </c>
      <c r="BH32" s="142">
        <v>7292</v>
      </c>
      <c r="BI32" s="142">
        <v>4482.1000000000004</v>
      </c>
      <c r="BJ32" s="142">
        <v>7887</v>
      </c>
      <c r="BK32" s="142">
        <v>5586</v>
      </c>
      <c r="BL32" s="142">
        <v>7561</v>
      </c>
      <c r="BM32" s="142">
        <v>7036</v>
      </c>
      <c r="BN32" s="142">
        <v>7563</v>
      </c>
      <c r="BO32" s="142">
        <v>7968</v>
      </c>
      <c r="BP32" s="142">
        <v>7245</v>
      </c>
      <c r="BQ32" s="142">
        <v>4771</v>
      </c>
      <c r="BR32" s="142">
        <v>2742</v>
      </c>
      <c r="BS32" s="142">
        <v>0</v>
      </c>
      <c r="BT32" s="142">
        <v>2651</v>
      </c>
      <c r="BU32" s="142">
        <v>964</v>
      </c>
      <c r="BV32" s="142"/>
      <c r="BW32" s="142"/>
      <c r="BX32" s="142"/>
      <c r="BY32" s="142"/>
      <c r="BZ32" s="142">
        <v>1318</v>
      </c>
      <c r="CA32" s="142">
        <v>1127</v>
      </c>
      <c r="CB32" s="142">
        <v>4697</v>
      </c>
      <c r="CC32" s="142">
        <v>8529</v>
      </c>
      <c r="CD32" s="59">
        <v>7.0080912333333325</v>
      </c>
      <c r="CE32" s="59"/>
      <c r="CF32" s="206">
        <v>7.0078852000000111</v>
      </c>
      <c r="CG32" s="206"/>
      <c r="CH32" s="206">
        <v>0.95771016666666597</v>
      </c>
      <c r="CI32" s="206"/>
      <c r="CJ32" s="59">
        <v>1.4078384000000006</v>
      </c>
      <c r="CK32" s="59"/>
      <c r="CL32" s="206">
        <v>34.729205350118043</v>
      </c>
      <c r="CM32" s="206"/>
      <c r="CN32" s="206">
        <v>48.10381904012587</v>
      </c>
      <c r="CO32" s="206"/>
      <c r="CP32" s="206">
        <v>24.288332022029934</v>
      </c>
      <c r="CQ32" s="206"/>
      <c r="CR32" s="59">
        <v>0</v>
      </c>
      <c r="CS32" s="59"/>
      <c r="CT32" s="206">
        <v>1.0152368214004723</v>
      </c>
      <c r="CU32" s="206"/>
      <c r="CV32" s="206">
        <v>2.0910000000000002</v>
      </c>
      <c r="CW32" s="258"/>
      <c r="CX32" s="204">
        <f>IFERROR(AVERAGEIF(RD[[#This Row],[IS1POA1 (KWh/m2)]:[IS7POA2 (KWh/m2)]],"&lt;&gt;0",RD[[#This Row],[IS1POA1 (KWh/m2)]:[IS7POA2 (KWh/m2)]]),"")</f>
        <v>7.0080912333333325</v>
      </c>
      <c r="CY32" s="204">
        <f>IFERROR(AVERAGEIF(RD[[#This Row],[IS1GHI1 (KWh/m2)]:[IS7GHI2 (KWh/m2)]],"&lt;&gt;0",RD[[#This Row],[IS1GHI1 (KWh/m2)]:[IS7GHI2 (KWh/m2)]]),"")</f>
        <v>7.0078852000000111</v>
      </c>
      <c r="CZ32" s="204">
        <f>IFERROR(AVERAGEIF(RD[[#This Row],[IS1POA_BS1 (KWh/m2)]:[IS7POA_BS2 (KWh/m2)]],"&lt;&gt;0",RD[[#This Row],[IS1POA_BS1 (KWh/m2)]:[IS7POA_BS2 (KWh/m2)]]),"")</f>
        <v>0.95771016666666597</v>
      </c>
      <c r="DA32" s="204">
        <f>IFERROR(AVERAGEIF(RD[[#This Row],[IS1GHI_BS1 (KWh/m2)]:[IS1GHI_BS1 (KWh/m2)2]],"&lt;&gt;0",RD[[#This Row],[IS1GHI_BS1 (KWh/m2)]:[IS1GHI_BS1 (KWh/m2)2]]),"")</f>
        <v>1.4078384000000006</v>
      </c>
      <c r="DB32" s="204">
        <f>IFERROR(AVERAGEIF(RD[[#This Row],[IS1AT1 (°C)]:[IS7AT2 (°C)]],"&lt;&gt;0",RD[[#This Row],[IS1AT1 (°C)]:[IS7AT2 (°C)]]),"")</f>
        <v>34.729205350118043</v>
      </c>
      <c r="DC32" s="204">
        <f>IFERROR(AVERAGEIF(RD[[#This Row],[IS1MT1 (°C)]:[IS7MT2 (°C)]],"&lt;&gt;0",RD[[#This Row],[IS1MT1 (°C)]:[IS7MT2 (°C)]]),"")</f>
        <v>48.10381904012587</v>
      </c>
      <c r="DD32" s="204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204">
        <f>IFERROR(AVERAGEIF(RD[[#This Row],[WS_Solar1_Avg (m/s)]:[IS7_WS_Solar1_Avg (m/s)]],"&lt;&gt;0",RD[[#This Row],[WS_Solar1_Avg (m/s)]:[IS7_WS_Solar1_Avg (m/s)]]),"")</f>
        <v>1.0152368214004723</v>
      </c>
      <c r="DG32" s="204">
        <f>IFERROR(AVERAGEIF(RD[[#This Row],[WS_Solar1_Max (m/s)]:[IS7_WS_Solar1_Max (m/s)]],"&lt;&gt;0",RD[[#This Row],[WS_Solar1_Max (m/s)]:[IS7_WS_Solar1_Max (m/s)]]),"")</f>
        <v>2.0910000000000002</v>
      </c>
      <c r="DH32" s="204">
        <f>SUM(RD[[#This Row],[IS1Inv1M1]:[IS4Inv4M2]])</f>
        <v>283848.09999999998</v>
      </c>
      <c r="DI32" s="205">
        <f>SUM(RD[[#This Row],[IS7Inv1M1]]+RD[[#This Row],[IS7Inv2M1]])</f>
        <v>16574.599999999999</v>
      </c>
      <c r="DJ32" s="204">
        <f>SUM(RD[[#This Row],[IS5Inv1M1]:[IS5Inv2M2]])</f>
        <v>41057.300000000003</v>
      </c>
      <c r="DK32" s="204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86">
        <f>SUM(RD[[#This Row],[IS12Inv1M1]:[IS12Inv1M4]])</f>
        <v>27547</v>
      </c>
      <c r="DO32" s="286">
        <f>SUM(RD[[#This Row],[IS13Inv1M1]:[IS13Inv2M2]])</f>
        <v>6357</v>
      </c>
      <c r="DP32" s="204">
        <f>SUM(RD[[#This Row],[O2R15]:[O2R26]])</f>
        <v>614346.69999999995</v>
      </c>
      <c r="DQ32" s="164">
        <v>37665.5</v>
      </c>
      <c r="DR32" s="168">
        <v>203.8</v>
      </c>
      <c r="DS32" s="164">
        <v>32392.9</v>
      </c>
      <c r="DT32" s="164">
        <v>216</v>
      </c>
      <c r="DU32" s="168">
        <v>37345.300000000003</v>
      </c>
      <c r="DV32" s="168">
        <v>388.9</v>
      </c>
      <c r="DW32" s="164">
        <v>5451.5</v>
      </c>
      <c r="DX32" s="168">
        <v>24.2</v>
      </c>
      <c r="DY32" s="168"/>
      <c r="DZ32" s="168"/>
      <c r="EA32" s="140">
        <v>89.21</v>
      </c>
      <c r="EB32" s="241">
        <v>115393232</v>
      </c>
      <c r="EC32" s="240">
        <v>886279.61600000004</v>
      </c>
      <c r="ED32" s="241">
        <v>1060</v>
      </c>
      <c r="EE32" s="241">
        <v>109734</v>
      </c>
      <c r="EF32" s="164">
        <v>160062.20000000001</v>
      </c>
      <c r="EG32" s="164">
        <v>1747.3</v>
      </c>
      <c r="EH32" s="146">
        <f>IF((RD[[#This Row],[33 kV_F3_Ex
Incomer1]]-DQ31)*1000&lt;0,0,(RD[[#This Row],[33 kV_F3_Ex
Incomer1]]-DQ31)*1000)</f>
        <v>96000</v>
      </c>
      <c r="EI32" s="146">
        <f>IF((RD[[#This Row],[34 kV_F3_Im
Incomer1]]-DR31)*1000&lt;0,0,(RD[[#This Row],[34 kV_F3_Im
Incomer1]]-DR31)*1000)</f>
        <v>400.00000000000568</v>
      </c>
      <c r="EJ32" s="146">
        <f>IF((RD[[#This Row],[33 kV_F4_Ex
Incomer2]]-DS31)*1000&lt;0,0,(RD[[#This Row],[33 kV_F4_Ex
Incomer2]]-DS31)*1000)</f>
        <v>90000</v>
      </c>
      <c r="EK32" s="146">
        <f>IF((RD[[#This Row],[34 kV_F4_Im
Incomer2]]-DT31)*1000&lt;0,0,(RD[[#This Row],[34 kV_F4_Im
Incomer2]]-DT31)*1000)</f>
        <v>199.99999999998863</v>
      </c>
      <c r="EL32" s="146">
        <f>IF((RD[[#This Row],[33 kV_F5_Ex
Incomer3]]-DU31)*1000&lt;0,0,(RD[[#This Row],[33 kV_F5_Ex
Incomer3]]-DU31)*1000)</f>
        <v>118000</v>
      </c>
      <c r="EM32" s="146">
        <f>IF((RD[[#This Row],[34 kV_F5_Im
Incomer3]]-DV31)*1000&lt;0,0,(RD[[#This Row],[34 kV_F5_Im
Incomer3]]-DV31)*1000)</f>
        <v>500</v>
      </c>
      <c r="EN32" s="146">
        <f>IF((RD[[#This Row],[33 kV_F6_Ex
Incomer4]]-DW31)*1000&lt;0,0,(RD[[#This Row],[33 kV_F6_Ex
Incomer4]]-DW31)*1000)</f>
        <v>99800.000000000175</v>
      </c>
      <c r="EO32" s="146">
        <f>IF((RD[[#This Row],[33 kV_F6_Im
Incomer4]]-DX31)*1000&lt;0,0,(RD[[#This Row],[33 kV_F6_Im
Incomer4]]-DX31)*1000)</f>
        <v>399.99999999999858</v>
      </c>
      <c r="EP32" s="146">
        <f>IF((RD[[#This Row],[33 kV_F7_Ex
Incomer5]]-DY31)*1000&lt;0,0,(RD[[#This Row],[33 kV_F7_Ex
Incomer5]]-DY31)*1000)</f>
        <v>0</v>
      </c>
      <c r="EQ32" s="146">
        <f>IF((RD[[#This Row],[33 kV_F7_Im
Incomer5]]-DZ31)*1000&lt;0,0,(RD[[#This Row],[33 kV_F7_Im
Incomer5]]-DZ31)*1000)</f>
        <v>0</v>
      </c>
      <c r="ER32" s="146">
        <f>IF((RD[[#This Row],[33 kV_Aux Trafo]]-EA31)*1000&lt;0,0,(RD[[#This Row],[33 kV_Aux Trafo]]-EA31)*1000)</f>
        <v>209.99999999999375</v>
      </c>
      <c r="ES32" s="158">
        <f>IF((RD[[#This Row],[33kV_OG1_Ex_]]-EB31)*1&lt;0,0,(RD[[#This Row],[33kV_OG1_Ex_]]-EB31)*1)</f>
        <v>603504</v>
      </c>
      <c r="ET32" s="146">
        <f>IF((RD[[#This Row],[33kV_OG1_Im]]-EC31)*1&lt;0,0,(RD[[#This Row],[33kV_OG1_Im]]-EC31)*1)</f>
        <v>2241.8560000000289</v>
      </c>
      <c r="EU32" s="146">
        <f>IF((RD[[#This Row],[132kV_TX1_EX]]-ED31)*720&lt;=0,"",(RD[[#This Row],[132kV_TX1_EX]]-ED31)*720)</f>
        <v>2160</v>
      </c>
      <c r="EV32" s="146">
        <f>IF((RD[[#This Row],[132 kV_Tx1_Im]]-EE31)*720&lt;=0,0,(RD[[#This Row],[132 kV_Tx1_Im]]-EE31)*720)</f>
        <v>432720</v>
      </c>
      <c r="EW32" s="146">
        <f>IF((RD[[#This Row],[132kV_L1_Ex]]-EF31)*720&lt;=0,0,(RD[[#This Row],[132kV_L1_Ex]]-EF31)*720)</f>
        <v>601344.00000000838</v>
      </c>
      <c r="EX32" s="146">
        <f>IF((RD[[#This Row],[132kV_L1_Im]]-EG31)*720&lt;=0,0,(RD[[#This Row],[132kV_L1_Im]]-EG31)*720)</f>
        <v>2807.9999999999018</v>
      </c>
      <c r="EY32" s="242">
        <f>IFERROR(RD[[#This Row],[33kV_OG1_Ex (MWh)]]+RD[[#This Row],[33kV_OG1_Im (MWh)]],"")</f>
        <v>605745.85600000003</v>
      </c>
      <c r="EZ32" s="148">
        <f>RD[[#This Row],[33kV_OG1_Ex (MWh)]]-RD[[#This Row],[33kV_OG1_Im (MWh)]]</f>
        <v>601262.14399999997</v>
      </c>
      <c r="FA32" s="148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43">
        <f>IFERROR((RD[[#This Row],[Sunset Time (POA&lt;20 W/m2)]]-RD[[#This Row],[Sunrise Time (POA&gt;20 W/m2)]])*24,0)</f>
        <v>12.083333333333336</v>
      </c>
      <c r="FD32" s="244">
        <v>105</v>
      </c>
      <c r="FE32" t="s">
        <v>277</v>
      </c>
      <c r="FF32"/>
      <c r="FG32" s="144" t="str">
        <f>IFERROR(RD[[#This Row],[E_AC (WPR)]]/RD[[#This Row],[E_DC (WPR)]],"")</f>
        <v/>
      </c>
    </row>
    <row r="33" spans="1:163">
      <c r="A33" s="133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52">
        <v>0.26111111111111113</v>
      </c>
      <c r="G33" s="162">
        <v>0.77013888888888893</v>
      </c>
      <c r="H33" s="124">
        <v>6436.5</v>
      </c>
      <c r="I33" s="124">
        <v>6445.1</v>
      </c>
      <c r="J33" s="124">
        <v>6030.3</v>
      </c>
      <c r="K33" s="124">
        <v>6084.3</v>
      </c>
      <c r="L33" s="124">
        <v>6257.3</v>
      </c>
      <c r="M33" s="124">
        <v>6412.3</v>
      </c>
      <c r="N33" s="124">
        <v>6209.6</v>
      </c>
      <c r="O33" s="124">
        <v>6774.2</v>
      </c>
      <c r="P33" s="124">
        <v>6286.7</v>
      </c>
      <c r="Q33" s="124">
        <v>6233.4</v>
      </c>
      <c r="R33" s="124">
        <v>6510</v>
      </c>
      <c r="S33" s="124">
        <v>6496.9</v>
      </c>
      <c r="T33" s="124">
        <v>6660.2</v>
      </c>
      <c r="U33" s="124">
        <v>6506.6</v>
      </c>
      <c r="V33" s="124">
        <v>6591.8</v>
      </c>
      <c r="W33" s="124">
        <v>6375.4</v>
      </c>
      <c r="X33" s="203">
        <v>9136.6</v>
      </c>
      <c r="Y33" s="203">
        <v>9993.2999999999993</v>
      </c>
      <c r="Z33" s="203">
        <v>8662.2999999999993</v>
      </c>
      <c r="AA33" s="203">
        <v>8989</v>
      </c>
      <c r="AB33" s="203">
        <v>9946.2999999999993</v>
      </c>
      <c r="AC33" s="203">
        <v>6109.7</v>
      </c>
      <c r="AD33" s="203">
        <v>9183.6</v>
      </c>
      <c r="AE33" s="203">
        <v>9143.7999999999993</v>
      </c>
      <c r="AF33" s="203">
        <v>9029.1</v>
      </c>
      <c r="AG33" s="203">
        <v>9099</v>
      </c>
      <c r="AH33" s="203">
        <v>9036.5</v>
      </c>
      <c r="AI33" s="203">
        <v>9146.1</v>
      </c>
      <c r="AJ33" s="142">
        <v>7474.9</v>
      </c>
      <c r="AK33" s="142">
        <v>7577.3</v>
      </c>
      <c r="AL33" s="142">
        <v>7275.8</v>
      </c>
      <c r="AM33" s="142">
        <v>7309.9</v>
      </c>
      <c r="AN33" s="142">
        <v>7375.6</v>
      </c>
      <c r="AO33" s="142">
        <v>7565.1</v>
      </c>
      <c r="AP33" s="142">
        <v>7484.9</v>
      </c>
      <c r="AQ33" s="142">
        <v>7348.6</v>
      </c>
      <c r="AR33" s="142">
        <v>5878</v>
      </c>
      <c r="AS33" s="142">
        <v>5946</v>
      </c>
      <c r="AT33" s="142">
        <v>5997.5</v>
      </c>
      <c r="AU33" s="142">
        <v>5962</v>
      </c>
      <c r="AV33" s="142">
        <v>6123</v>
      </c>
      <c r="AW33" s="142">
        <v>6015.4</v>
      </c>
      <c r="AX33" s="142">
        <v>8492</v>
      </c>
      <c r="AY33" s="142">
        <v>9452</v>
      </c>
      <c r="AZ33" s="142">
        <v>6861</v>
      </c>
      <c r="BA33" s="142">
        <v>8171</v>
      </c>
      <c r="BB33" s="142">
        <v>8594</v>
      </c>
      <c r="BC33" s="142">
        <v>7012</v>
      </c>
      <c r="BD33" s="142">
        <v>6011</v>
      </c>
      <c r="BE33" s="142">
        <v>8118</v>
      </c>
      <c r="BF33" s="142">
        <v>8849</v>
      </c>
      <c r="BG33" s="142">
        <v>8832</v>
      </c>
      <c r="BH33" s="142">
        <v>5308</v>
      </c>
      <c r="BI33" s="142">
        <v>3270</v>
      </c>
      <c r="BJ33" s="142">
        <v>5839</v>
      </c>
      <c r="BK33" s="142">
        <v>4319</v>
      </c>
      <c r="BL33" s="142">
        <v>5884</v>
      </c>
      <c r="BM33" s="142">
        <v>5150</v>
      </c>
      <c r="BN33" s="142">
        <v>5377</v>
      </c>
      <c r="BO33" s="142">
        <v>5692</v>
      </c>
      <c r="BP33" s="142">
        <v>5475</v>
      </c>
      <c r="BQ33" s="142">
        <v>3415</v>
      </c>
      <c r="BR33" s="142">
        <v>3119</v>
      </c>
      <c r="BS33" s="142">
        <v>0</v>
      </c>
      <c r="BT33" s="142">
        <v>1953</v>
      </c>
      <c r="BU33" s="142">
        <v>769</v>
      </c>
      <c r="BV33" s="142"/>
      <c r="BW33" s="142"/>
      <c r="BX33" s="142"/>
      <c r="BY33" s="142"/>
      <c r="BZ33" s="142">
        <v>929</v>
      </c>
      <c r="CA33" s="142">
        <v>790</v>
      </c>
      <c r="CB33" s="142">
        <v>3402</v>
      </c>
      <c r="CC33" s="142">
        <v>6231</v>
      </c>
      <c r="CD33" s="59">
        <v>4.9439592833333368</v>
      </c>
      <c r="CE33" s="59"/>
      <c r="CF33" s="206">
        <v>4.940709433333331</v>
      </c>
      <c r="CG33" s="206"/>
      <c r="CH33" s="206">
        <v>0.74732183333333502</v>
      </c>
      <c r="CI33" s="206"/>
      <c r="CJ33" s="59">
        <v>0.98833121666666535</v>
      </c>
      <c r="CK33" s="59"/>
      <c r="CL33" s="206">
        <v>33.198866559485467</v>
      </c>
      <c r="CM33" s="206"/>
      <c r="CN33" s="206">
        <v>43.480128617363356</v>
      </c>
      <c r="CO33" s="206"/>
      <c r="CP33" s="206">
        <v>26.850530546623823</v>
      </c>
      <c r="CQ33" s="206"/>
      <c r="CR33" s="59">
        <v>0</v>
      </c>
      <c r="CS33" s="59"/>
      <c r="CT33" s="206">
        <v>1.1836085209003226</v>
      </c>
      <c r="CU33" s="206"/>
      <c r="CV33" s="206">
        <v>3.0449999999999999</v>
      </c>
      <c r="CW33" s="258"/>
      <c r="CX33" s="204">
        <f>IFERROR(AVERAGEIF(RD[[#This Row],[IS1POA1 (KWh/m2)]:[IS7POA2 (KWh/m2)]],"&lt;&gt;0",RD[[#This Row],[IS1POA1 (KWh/m2)]:[IS7POA2 (KWh/m2)]]),"")</f>
        <v>4.9439592833333368</v>
      </c>
      <c r="CY33" s="204">
        <f>IFERROR(AVERAGEIF(RD[[#This Row],[IS1GHI1 (KWh/m2)]:[IS7GHI2 (KWh/m2)]],"&lt;&gt;0",RD[[#This Row],[IS1GHI1 (KWh/m2)]:[IS7GHI2 (KWh/m2)]]),"")</f>
        <v>4.940709433333331</v>
      </c>
      <c r="CZ33" s="204">
        <f>IFERROR(AVERAGEIF(RD[[#This Row],[IS1POA_BS1 (KWh/m2)]:[IS7POA_BS2 (KWh/m2)]],"&lt;&gt;0",RD[[#This Row],[IS1POA_BS1 (KWh/m2)]:[IS7POA_BS2 (KWh/m2)]]),"")</f>
        <v>0.74732183333333502</v>
      </c>
      <c r="DA33" s="204">
        <f>IFERROR(AVERAGEIF(RD[[#This Row],[IS1GHI_BS1 (KWh/m2)]:[IS1GHI_BS1 (KWh/m2)2]],"&lt;&gt;0",RD[[#This Row],[IS1GHI_BS1 (KWh/m2)]:[IS1GHI_BS1 (KWh/m2)2]]),"")</f>
        <v>0.98833121666666535</v>
      </c>
      <c r="DB33" s="204">
        <f>IFERROR(AVERAGEIF(RD[[#This Row],[IS1AT1 (°C)]:[IS7AT2 (°C)]],"&lt;&gt;0",RD[[#This Row],[IS1AT1 (°C)]:[IS7AT2 (°C)]]),"")</f>
        <v>33.198866559485467</v>
      </c>
      <c r="DC33" s="204">
        <f>IFERROR(AVERAGEIF(RD[[#This Row],[IS1MT1 (°C)]:[IS7MT2 (°C)]],"&lt;&gt;0",RD[[#This Row],[IS1MT1 (°C)]:[IS7MT2 (°C)]]),"")</f>
        <v>43.480128617363356</v>
      </c>
      <c r="DD33" s="204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204">
        <f>IFERROR(AVERAGEIF(RD[[#This Row],[WS_Solar1_Avg (m/s)]:[IS7_WS_Solar1_Avg (m/s)]],"&lt;&gt;0",RD[[#This Row],[WS_Solar1_Avg (m/s)]:[IS7_WS_Solar1_Avg (m/s)]]),"")</f>
        <v>1.1836085209003226</v>
      </c>
      <c r="DG33" s="204">
        <f>IFERROR(AVERAGEIF(RD[[#This Row],[WS_Solar1_Max (m/s)]:[IS7_WS_Solar1_Max (m/s)]],"&lt;&gt;0",RD[[#This Row],[WS_Solar1_Max (m/s)]:[IS7_WS_Solar1_Max (m/s)]]),"")</f>
        <v>3.0449999999999999</v>
      </c>
      <c r="DH33" s="204">
        <f>SUM(RD[[#This Row],[IS1Inv1M1]:[IS4Inv4M2]])</f>
        <v>209785.9</v>
      </c>
      <c r="DI33" s="205">
        <f>SUM(RD[[#This Row],[IS7Inv1M1]]+RD[[#This Row],[IS7Inv2M1]])</f>
        <v>11824</v>
      </c>
      <c r="DJ33" s="204">
        <f>SUM(RD[[#This Row],[IS5Inv1M1]:[IS5Inv2M2]])</f>
        <v>29637.9</v>
      </c>
      <c r="DK33" s="204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86">
        <f>SUM(RD[[#This Row],[IS12Inv1M1]:[IS12Inv1M4]])</f>
        <v>19959</v>
      </c>
      <c r="DO33" s="286">
        <f>SUM(RD[[#This Row],[IS13Inv1M1]:[IS13Inv2M2]])</f>
        <v>5841</v>
      </c>
      <c r="DP33" s="204">
        <f>SUM(RD[[#This Row],[O2R15]:[O2R26]])</f>
        <v>452433.9</v>
      </c>
      <c r="DQ33" s="164">
        <v>37737</v>
      </c>
      <c r="DR33" s="168">
        <v>204</v>
      </c>
      <c r="DS33" s="164">
        <v>32460</v>
      </c>
      <c r="DT33" s="164">
        <v>216.3</v>
      </c>
      <c r="DU33" s="168">
        <v>37430.400000000001</v>
      </c>
      <c r="DV33" s="168">
        <v>389.3</v>
      </c>
      <c r="DW33" s="164">
        <v>5526.7</v>
      </c>
      <c r="DX33" s="168">
        <v>24.7</v>
      </c>
      <c r="DY33" s="168"/>
      <c r="DZ33" s="168"/>
      <c r="EA33" s="140">
        <v>89.42</v>
      </c>
      <c r="EB33" s="241">
        <v>115839008</v>
      </c>
      <c r="EC33" s="240">
        <v>888411.26399999997</v>
      </c>
      <c r="ED33" s="241">
        <v>1063</v>
      </c>
      <c r="EE33" s="241">
        <v>110178</v>
      </c>
      <c r="EF33" s="164">
        <v>160679.4</v>
      </c>
      <c r="EG33" s="164">
        <v>1751</v>
      </c>
      <c r="EH33" s="146">
        <f>IF((RD[[#This Row],[33 kV_F3_Ex
Incomer1]]-DQ32)*1000&lt;0,0,(RD[[#This Row],[33 kV_F3_Ex
Incomer1]]-DQ32)*1000)</f>
        <v>71500</v>
      </c>
      <c r="EI33" s="146">
        <f>IF((RD[[#This Row],[34 kV_F3_Im
Incomer1]]-DR32)*1000&lt;0,0,(RD[[#This Row],[34 kV_F3_Im
Incomer1]]-DR32)*1000)</f>
        <v>199.99999999998863</v>
      </c>
      <c r="EJ33" s="146">
        <f>IF((RD[[#This Row],[33 kV_F4_Ex
Incomer2]]-DS32)*1000&lt;0,0,(RD[[#This Row],[33 kV_F4_Ex
Incomer2]]-DS32)*1000)</f>
        <v>67099.999999998545</v>
      </c>
      <c r="EK33" s="146">
        <f>IF((RD[[#This Row],[34 kV_F4_Im
Incomer2]]-DT32)*1000&lt;0,0,(RD[[#This Row],[34 kV_F4_Im
Incomer2]]-DT32)*1000)</f>
        <v>300.00000000001137</v>
      </c>
      <c r="EL33" s="146">
        <f>IF((RD[[#This Row],[33 kV_F5_Ex
Incomer3]]-DU32)*1000&lt;0,0,(RD[[#This Row],[33 kV_F5_Ex
Incomer3]]-DU32)*1000)</f>
        <v>85099.999999998545</v>
      </c>
      <c r="EM33" s="146">
        <f>IF((RD[[#This Row],[34 kV_F5_Im
Incomer3]]-DV32)*1000&lt;0,0,(RD[[#This Row],[34 kV_F5_Im
Incomer3]]-DV32)*1000)</f>
        <v>400.00000000003411</v>
      </c>
      <c r="EN33" s="146">
        <f>IF((RD[[#This Row],[33 kV_F6_Ex
Incomer4]]-DW32)*1000&lt;0,0,(RD[[#This Row],[33 kV_F6_Ex
Incomer4]]-DW32)*1000)</f>
        <v>75199.999999999825</v>
      </c>
      <c r="EO33" s="146">
        <f>IF((RD[[#This Row],[33 kV_F6_Im
Incomer4]]-DX32)*1000&lt;0,0,(RD[[#This Row],[33 kV_F6_Im
Incomer4]]-DX32)*1000)</f>
        <v>500</v>
      </c>
      <c r="EP33" s="146">
        <f>IF((RD[[#This Row],[33 kV_F7_Ex
Incomer5]]-DY32)*1000&lt;0,0,(RD[[#This Row],[33 kV_F7_Ex
Incomer5]]-DY32)*1000)</f>
        <v>0</v>
      </c>
      <c r="EQ33" s="146">
        <f>IF((RD[[#This Row],[33 kV_F7_Im
Incomer5]]-DZ32)*1000&lt;0,0,(RD[[#This Row],[33 kV_F7_Im
Incomer5]]-DZ32)*1000)</f>
        <v>0</v>
      </c>
      <c r="ER33" s="146">
        <f>IF((RD[[#This Row],[33 kV_Aux Trafo]]-EA32)*1000&lt;0,0,(RD[[#This Row],[33 kV_Aux Trafo]]-EA32)*1000)</f>
        <v>210.00000000000796</v>
      </c>
      <c r="ES33" s="158">
        <f>IF((RD[[#This Row],[33kV_OG1_Ex_]]-EB32)*1&lt;0,0,(RD[[#This Row],[33kV_OG1_Ex_]]-EB32)*1)</f>
        <v>445776</v>
      </c>
      <c r="ET33" s="146">
        <f>IF((RD[[#This Row],[33kV_OG1_Im]]-EC32)*1&lt;0,0,(RD[[#This Row],[33kV_OG1_Im]]-EC32)*1)</f>
        <v>2131.6479999999283</v>
      </c>
      <c r="EU33" s="146">
        <f>IF((RD[[#This Row],[132kV_TX1_EX]]-ED32)*720&lt;=0,"",(RD[[#This Row],[132kV_TX1_EX]]-ED32)*720)</f>
        <v>2160</v>
      </c>
      <c r="EV33" s="146">
        <f>IF((RD[[#This Row],[132 kV_Tx1_Im]]-EE32)*720&lt;=0,0,(RD[[#This Row],[132 kV_Tx1_Im]]-EE32)*720)</f>
        <v>319680</v>
      </c>
      <c r="EW33" s="146">
        <f>IF((RD[[#This Row],[132kV_L1_Ex]]-EF32)*720&lt;=0,0,(RD[[#This Row],[132kV_L1_Ex]]-EF32)*720)</f>
        <v>444383.99999998743</v>
      </c>
      <c r="EX33" s="146">
        <f>IF((RD[[#This Row],[132kV_L1_Im]]-EG32)*720&lt;=0,0,(RD[[#This Row],[132kV_L1_Im]]-EG32)*720)</f>
        <v>2664.0000000000327</v>
      </c>
      <c r="EY33" s="242">
        <f>IFERROR(RD[[#This Row],[33kV_OG1_Ex (MWh)]]+RD[[#This Row],[33kV_OG1_Im (MWh)]],"")</f>
        <v>447907.64799999993</v>
      </c>
      <c r="EZ33" s="148">
        <f>RD[[#This Row],[33kV_OG1_Ex (MWh)]]-RD[[#This Row],[33kV_OG1_Im (MWh)]]</f>
        <v>443644.35200000007</v>
      </c>
      <c r="FA33" s="148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43">
        <f>IFERROR((RD[[#This Row],[Sunset Time (POA&lt;20 W/m2)]]-RD[[#This Row],[Sunrise Time (POA&gt;20 W/m2)]])*24,0)</f>
        <v>12.216666666666669</v>
      </c>
      <c r="FD33" s="244">
        <v>105</v>
      </c>
      <c r="FE33" t="s">
        <v>266</v>
      </c>
      <c r="FG33" s="144" t="str">
        <f>IFERROR(RD[[#This Row],[E_AC (WPR)]]/RD[[#This Row],[E_DC (WPR)]],"")</f>
        <v/>
      </c>
    </row>
    <row r="34" spans="1:163">
      <c r="A34" s="133">
        <f t="shared" si="157"/>
        <v>45774</v>
      </c>
      <c r="B34" s="138">
        <f>YEAR(RD[[#This Row],[Date]])+IF(MONTH(RD[[#This Row],[Date]])&gt;=4,1,0)</f>
        <v>2026</v>
      </c>
      <c r="C34" s="138">
        <f>YEAR(RD[[#This Row],[Date]])</f>
        <v>2025</v>
      </c>
      <c r="D34" s="139">
        <f t="shared" ref="D34:D48" si="158">A34-DAY(A34)+1</f>
        <v>45748</v>
      </c>
      <c r="E34" s="138">
        <f>DAY(EOMONTH(RD[[#This Row],[Date]],0))</f>
        <v>30</v>
      </c>
      <c r="F34" s="152">
        <v>0.26041666666666669</v>
      </c>
      <c r="G34" s="162">
        <v>0.7680555555555556</v>
      </c>
      <c r="H34" s="124">
        <v>9324.2000000000007</v>
      </c>
      <c r="I34" s="124">
        <v>9314.7000000000007</v>
      </c>
      <c r="J34" s="124">
        <v>8849.7000000000007</v>
      </c>
      <c r="K34" s="124">
        <v>8962</v>
      </c>
      <c r="L34" s="124">
        <v>9144.1</v>
      </c>
      <c r="M34" s="124">
        <v>9289.1</v>
      </c>
      <c r="N34" s="124">
        <v>9085.7000000000007</v>
      </c>
      <c r="O34" s="124">
        <v>9691.4</v>
      </c>
      <c r="P34" s="124">
        <v>9068.5</v>
      </c>
      <c r="Q34" s="124">
        <v>9032.6</v>
      </c>
      <c r="R34" s="124">
        <v>9300</v>
      </c>
      <c r="S34" s="124">
        <v>9249.2000000000007</v>
      </c>
      <c r="T34" s="124">
        <v>9517.7999999999993</v>
      </c>
      <c r="U34" s="124">
        <v>9306.7999999999993</v>
      </c>
      <c r="V34" s="124">
        <v>9408.6</v>
      </c>
      <c r="W34" s="124">
        <v>9232.2999999999993</v>
      </c>
      <c r="X34" s="203">
        <v>13058.3</v>
      </c>
      <c r="Y34" s="203">
        <v>13986</v>
      </c>
      <c r="Z34" s="203">
        <v>12585.8</v>
      </c>
      <c r="AA34" s="203">
        <v>13037.2</v>
      </c>
      <c r="AB34" s="203">
        <v>13881.7</v>
      </c>
      <c r="AC34" s="203">
        <v>8692</v>
      </c>
      <c r="AD34" s="203">
        <v>13099</v>
      </c>
      <c r="AE34" s="203">
        <v>13113.1</v>
      </c>
      <c r="AF34" s="203">
        <v>13034</v>
      </c>
      <c r="AG34" s="203">
        <v>13003</v>
      </c>
      <c r="AH34" s="203">
        <v>13036.4</v>
      </c>
      <c r="AI34" s="203">
        <v>13132.1</v>
      </c>
      <c r="AJ34" s="142">
        <v>10754.7</v>
      </c>
      <c r="AK34" s="142">
        <v>11041.9</v>
      </c>
      <c r="AL34" s="142">
        <v>10776.1</v>
      </c>
      <c r="AM34" s="142">
        <v>10831.1</v>
      </c>
      <c r="AN34" s="142">
        <v>10850</v>
      </c>
      <c r="AO34" s="142">
        <v>11255.4</v>
      </c>
      <c r="AP34" s="142">
        <v>11071.8</v>
      </c>
      <c r="AQ34" s="142">
        <v>10951</v>
      </c>
      <c r="AR34" s="142">
        <v>8947.7999999999993</v>
      </c>
      <c r="AS34" s="142">
        <v>9000.6</v>
      </c>
      <c r="AT34" s="142">
        <v>8997.6</v>
      </c>
      <c r="AU34" s="142">
        <v>8936.1</v>
      </c>
      <c r="AV34" s="142">
        <v>9133</v>
      </c>
      <c r="AW34" s="142">
        <v>9018.9</v>
      </c>
      <c r="AX34" s="142">
        <v>12419</v>
      </c>
      <c r="AY34" s="142">
        <v>13737</v>
      </c>
      <c r="AZ34" s="142">
        <v>10126</v>
      </c>
      <c r="BA34" s="142">
        <v>12095</v>
      </c>
      <c r="BB34" s="142">
        <v>12774</v>
      </c>
      <c r="BC34" s="142">
        <v>10499</v>
      </c>
      <c r="BD34" s="142">
        <v>8851</v>
      </c>
      <c r="BE34" s="142">
        <v>12002</v>
      </c>
      <c r="BF34" s="142">
        <v>12657</v>
      </c>
      <c r="BG34" s="142">
        <v>13257</v>
      </c>
      <c r="BH34" s="142">
        <v>7942</v>
      </c>
      <c r="BI34" s="142">
        <v>4837</v>
      </c>
      <c r="BJ34" s="142">
        <v>8539</v>
      </c>
      <c r="BK34" s="142">
        <v>6307</v>
      </c>
      <c r="BL34" s="142">
        <v>8021</v>
      </c>
      <c r="BM34" s="142">
        <v>7731</v>
      </c>
      <c r="BN34" s="142">
        <v>8045</v>
      </c>
      <c r="BO34" s="142">
        <v>8462</v>
      </c>
      <c r="BP34" s="142">
        <v>8232</v>
      </c>
      <c r="BQ34" s="142">
        <v>5485</v>
      </c>
      <c r="BR34" s="142">
        <v>4662</v>
      </c>
      <c r="BS34" s="142">
        <v>0</v>
      </c>
      <c r="BT34" s="142">
        <v>2809</v>
      </c>
      <c r="BU34" s="142">
        <v>1118</v>
      </c>
      <c r="BV34" s="142"/>
      <c r="BW34" s="142"/>
      <c r="BX34" s="142"/>
      <c r="BY34" s="142"/>
      <c r="BZ34" s="142">
        <v>1398</v>
      </c>
      <c r="CA34" s="142">
        <v>1196</v>
      </c>
      <c r="CB34" s="142">
        <v>4969</v>
      </c>
      <c r="CC34" s="142">
        <v>9008</v>
      </c>
      <c r="CD34" s="59">
        <v>7.5635796833333417</v>
      </c>
      <c r="CE34" s="59"/>
      <c r="CF34" s="206">
        <v>7.6219880333333352</v>
      </c>
      <c r="CG34" s="206"/>
      <c r="CH34" s="206">
        <v>1.0114160166666659</v>
      </c>
      <c r="CI34" s="206"/>
      <c r="CJ34" s="59">
        <v>1.4941409499999989</v>
      </c>
      <c r="CK34" s="59"/>
      <c r="CL34" s="206">
        <v>33.387426686217069</v>
      </c>
      <c r="CM34" s="206"/>
      <c r="CN34" s="206">
        <v>46.429399560117247</v>
      </c>
      <c r="CO34" s="206"/>
      <c r="CP34" s="206">
        <v>24.688885630498554</v>
      </c>
      <c r="CQ34" s="206"/>
      <c r="CR34" s="59">
        <v>0</v>
      </c>
      <c r="CS34" s="59"/>
      <c r="CT34" s="206">
        <v>0.83431231671554296</v>
      </c>
      <c r="CU34" s="206"/>
      <c r="CV34" s="206">
        <v>3.3090000000000002</v>
      </c>
      <c r="CW34" s="258"/>
      <c r="CX34" s="204">
        <f>IFERROR(AVERAGEIF(RD[[#This Row],[IS1POA1 (KWh/m2)]:[IS7POA2 (KWh/m2)]],"&lt;&gt;0",RD[[#This Row],[IS1POA1 (KWh/m2)]:[IS7POA2 (KWh/m2)]]),"")</f>
        <v>7.5635796833333417</v>
      </c>
      <c r="CY34" s="204">
        <f>IFERROR(AVERAGEIF(RD[[#This Row],[IS1GHI1 (KWh/m2)]:[IS7GHI2 (KWh/m2)]],"&lt;&gt;0",RD[[#This Row],[IS1GHI1 (KWh/m2)]:[IS7GHI2 (KWh/m2)]]),"")</f>
        <v>7.6219880333333352</v>
      </c>
      <c r="CZ34" s="204">
        <f>IFERROR(AVERAGEIF(RD[[#This Row],[IS1POA_BS1 (KWh/m2)]:[IS7POA_BS2 (KWh/m2)]],"&lt;&gt;0",RD[[#This Row],[IS1POA_BS1 (KWh/m2)]:[IS7POA_BS2 (KWh/m2)]]),"")</f>
        <v>1.0114160166666659</v>
      </c>
      <c r="DA34" s="204">
        <f>IFERROR(AVERAGEIF(RD[[#This Row],[IS1GHI_BS1 (KWh/m2)]:[IS1GHI_BS1 (KWh/m2)2]],"&lt;&gt;0",RD[[#This Row],[IS1GHI_BS1 (KWh/m2)]:[IS1GHI_BS1 (KWh/m2)2]]),"")</f>
        <v>1.4941409499999989</v>
      </c>
      <c r="DB34" s="204">
        <f>IFERROR(AVERAGEIF(RD[[#This Row],[IS1AT1 (°C)]:[IS7AT2 (°C)]],"&lt;&gt;0",RD[[#This Row],[IS1AT1 (°C)]:[IS7AT2 (°C)]]),"")</f>
        <v>33.387426686217069</v>
      </c>
      <c r="DC34" s="204">
        <f>IFERROR(AVERAGEIF(RD[[#This Row],[IS1MT1 (°C)]:[IS7MT2 (°C)]],"&lt;&gt;0",RD[[#This Row],[IS1MT1 (°C)]:[IS7MT2 (°C)]]),"")</f>
        <v>46.429399560117247</v>
      </c>
      <c r="DD34" s="204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204">
        <f>IFERROR(AVERAGEIF(RD[[#This Row],[WS_Solar1_Avg (m/s)]:[IS7_WS_Solar1_Avg (m/s)]],"&lt;&gt;0",RD[[#This Row],[WS_Solar1_Avg (m/s)]:[IS7_WS_Solar1_Avg (m/s)]]),"")</f>
        <v>0.83431231671554296</v>
      </c>
      <c r="DG34" s="204">
        <f>IFERROR(AVERAGEIF(RD[[#This Row],[WS_Solar1_Max (m/s)]:[IS7_WS_Solar1_Max (m/s)]],"&lt;&gt;0",RD[[#This Row],[WS_Solar1_Max (m/s)]:[IS7_WS_Solar1_Max (m/s)]]),"")</f>
        <v>3.3090000000000002</v>
      </c>
      <c r="DH34" s="204">
        <f>SUM(RD[[#This Row],[IS1Inv1M1]:[IS4Inv4M2]])</f>
        <v>301435.3</v>
      </c>
      <c r="DI34" s="205">
        <f>SUM(RD[[#This Row],[IS7Inv1M1]]+RD[[#This Row],[IS7Inv2M1]])</f>
        <v>17948.400000000001</v>
      </c>
      <c r="DJ34" s="204">
        <f>SUM(RD[[#This Row],[IS5Inv1M1]:[IS5Inv2M2]])</f>
        <v>43403.799999999996</v>
      </c>
      <c r="DK34" s="204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86">
        <f>SUM(RD[[#This Row],[IS12Inv1M1]:[IS12Inv1M4]])</f>
        <v>30224</v>
      </c>
      <c r="DO34" s="286">
        <f>SUM(RD[[#This Row],[IS13Inv1M1]:[IS13Inv2M2]])</f>
        <v>8589</v>
      </c>
      <c r="DP34" s="204">
        <f>SUM(RD[[#This Row],[O2R15]:[O2R26]])</f>
        <v>660179.30000000005</v>
      </c>
      <c r="DQ34" s="164">
        <v>37839.199999999997</v>
      </c>
      <c r="DR34" s="168">
        <v>204.2</v>
      </c>
      <c r="DS34" s="164">
        <v>32555.9</v>
      </c>
      <c r="DT34" s="164">
        <v>216.5</v>
      </c>
      <c r="DU34" s="168">
        <v>37555.699999999997</v>
      </c>
      <c r="DV34" s="168">
        <v>389.7</v>
      </c>
      <c r="DW34" s="164">
        <v>5637.4</v>
      </c>
      <c r="DX34" s="168">
        <v>25.4</v>
      </c>
      <c r="DY34" s="168"/>
      <c r="DZ34" s="168"/>
      <c r="EA34" s="140">
        <v>89.61</v>
      </c>
      <c r="EB34" s="241">
        <v>116487249</v>
      </c>
      <c r="EC34" s="240">
        <v>890774.33600000001</v>
      </c>
      <c r="ED34" s="241">
        <v>1066</v>
      </c>
      <c r="EE34" s="241">
        <v>110824</v>
      </c>
      <c r="EF34" s="164">
        <v>161576.70000000001</v>
      </c>
      <c r="EG34" s="164">
        <v>1755.2</v>
      </c>
      <c r="EH34" s="146">
        <f>IF((RD[[#This Row],[33 kV_F3_Ex
Incomer1]]-DQ33)*1000&lt;0,0,(RD[[#This Row],[33 kV_F3_Ex
Incomer1]]-DQ33)*1000)</f>
        <v>102199.99999999709</v>
      </c>
      <c r="EI34" s="146">
        <f>IF((RD[[#This Row],[34 kV_F3_Im
Incomer1]]-DR33)*1000&lt;0,0,(RD[[#This Row],[34 kV_F3_Im
Incomer1]]-DR33)*1000)</f>
        <v>199.99999999998863</v>
      </c>
      <c r="EJ34" s="146">
        <f>IF((RD[[#This Row],[33 kV_F4_Ex
Incomer2]]-DS33)*1000&lt;0,0,(RD[[#This Row],[33 kV_F4_Ex
Incomer2]]-DS33)*1000)</f>
        <v>95900.000000001455</v>
      </c>
      <c r="EK34" s="146">
        <f>IF((RD[[#This Row],[34 kV_F4_Im
Incomer2]]-DT33)*1000&lt;0,0,(RD[[#This Row],[34 kV_F4_Im
Incomer2]]-DT33)*1000)</f>
        <v>199.99999999998863</v>
      </c>
      <c r="EL34" s="146">
        <f>IF((RD[[#This Row],[33 kV_F5_Ex
Incomer3]]-DU33)*1000&lt;0,0,(RD[[#This Row],[33 kV_F5_Ex
Incomer3]]-DU33)*1000)</f>
        <v>125299.99999999563</v>
      </c>
      <c r="EM34" s="146">
        <f>IF((RD[[#This Row],[34 kV_F5_Im
Incomer3]]-DV33)*1000&lt;0,0,(RD[[#This Row],[34 kV_F5_Im
Incomer3]]-DV33)*1000)</f>
        <v>399.99999999997726</v>
      </c>
      <c r="EN34" s="146">
        <f>IF((RD[[#This Row],[33 kV_F6_Ex
Incomer4]]-DW33)*1000&lt;0,0,(RD[[#This Row],[33 kV_F6_Ex
Incomer4]]-DW33)*1000)</f>
        <v>110699.99999999983</v>
      </c>
      <c r="EO34" s="146">
        <f>IF((RD[[#This Row],[33 kV_F6_Im
Incomer4]]-DX33)*1000&lt;0,0,(RD[[#This Row],[33 kV_F6_Im
Incomer4]]-DX33)*1000)</f>
        <v>699.99999999999932</v>
      </c>
      <c r="EP34" s="146">
        <f>IF((RD[[#This Row],[33 kV_F7_Ex
Incomer5]]-DY33)*1000&lt;0,0,(RD[[#This Row],[33 kV_F7_Ex
Incomer5]]-DY33)*1000)</f>
        <v>0</v>
      </c>
      <c r="EQ34" s="146">
        <f>IF((RD[[#This Row],[33 kV_F7_Im
Incomer5]]-DZ33)*1000&lt;0,0,(RD[[#This Row],[33 kV_F7_Im
Incomer5]]-DZ33)*1000)</f>
        <v>0</v>
      </c>
      <c r="ER34" s="146">
        <f>IF((RD[[#This Row],[33 kV_Aux Trafo]]-EA33)*1000&lt;0,0,(RD[[#This Row],[33 kV_Aux Trafo]]-EA33)*1000)</f>
        <v>189.99999999999773</v>
      </c>
      <c r="ES34" s="158">
        <f>IF((RD[[#This Row],[33kV_OG1_Ex_]]-EB33)*1&lt;0,0,(RD[[#This Row],[33kV_OG1_Ex_]]-EB33)*1)</f>
        <v>648241</v>
      </c>
      <c r="ET34" s="146">
        <f>IF((RD[[#This Row],[33kV_OG1_Im]]-EC33)*1&lt;0,0,(RD[[#This Row],[33kV_OG1_Im]]-EC33)*1)</f>
        <v>2363.0720000000438</v>
      </c>
      <c r="EU34" s="146">
        <f>IF((RD[[#This Row],[132kV_TX1_EX]]-ED33)*720&lt;=0,"",(RD[[#This Row],[132kV_TX1_EX]]-ED33)*720)</f>
        <v>2160</v>
      </c>
      <c r="EV34" s="146">
        <f>IF((RD[[#This Row],[132 kV_Tx1_Im]]-EE33)*720&lt;=0,0,(RD[[#This Row],[132 kV_Tx1_Im]]-EE33)*720)</f>
        <v>465120</v>
      </c>
      <c r="EW34" s="146">
        <f>IF((RD[[#This Row],[132kV_L1_Ex]]-EF33)*720&lt;=0,0,(RD[[#This Row],[132kV_L1_Ex]]-EF33)*720)</f>
        <v>646056.00000001257</v>
      </c>
      <c r="EX34" s="146">
        <f>IF((RD[[#This Row],[132kV_L1_Im]]-EG33)*720&lt;=0,0,(RD[[#This Row],[132kV_L1_Im]]-EG33)*720)</f>
        <v>3024.0000000000327</v>
      </c>
      <c r="EY34" s="242">
        <f>IFERROR(RD[[#This Row],[33kV_OG1_Ex (MWh)]]+RD[[#This Row],[33kV_OG1_Im (MWh)]],"")</f>
        <v>650604.07200000004</v>
      </c>
      <c r="EZ34" s="148">
        <f>RD[[#This Row],[33kV_OG1_Ex (MWh)]]-RD[[#This Row],[33kV_OG1_Im (MWh)]]</f>
        <v>645877.92799999996</v>
      </c>
      <c r="FA34" s="148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43">
        <f>IFERROR((RD[[#This Row],[Sunset Time (POA&lt;20 W/m2)]]-RD[[#This Row],[Sunrise Time (POA&gt;20 W/m2)]])*24,0)</f>
        <v>12.183333333333335</v>
      </c>
      <c r="FD34" s="244">
        <v>105</v>
      </c>
      <c r="FE34" t="s">
        <v>268</v>
      </c>
      <c r="FG34" s="144" t="str">
        <f>IFERROR(RD[[#This Row],[E_AC (WPR)]]/RD[[#This Row],[E_DC (WPR)]],"")</f>
        <v/>
      </c>
    </row>
    <row r="35" spans="1:163">
      <c r="A35" s="133">
        <f t="shared" si="157"/>
        <v>45775</v>
      </c>
      <c r="B35" s="138">
        <f>YEAR(RD[[#This Row],[Date]])+IF(MONTH(RD[[#This Row],[Date]])&gt;=4,1,0)</f>
        <v>2026</v>
      </c>
      <c r="C35" s="138">
        <f>YEAR(RD[[#This Row],[Date]])</f>
        <v>2025</v>
      </c>
      <c r="D35" s="139">
        <f t="shared" si="158"/>
        <v>45748</v>
      </c>
      <c r="E35" s="138">
        <f>DAY(EOMONTH(RD[[#This Row],[Date]],0))</f>
        <v>30</v>
      </c>
      <c r="F35" s="152">
        <v>0.26180555555555557</v>
      </c>
      <c r="G35" s="162">
        <v>0.76875000000000004</v>
      </c>
      <c r="H35" s="124">
        <v>9045.6</v>
      </c>
      <c r="I35" s="124">
        <v>9016.6</v>
      </c>
      <c r="J35" s="124">
        <v>8559.4</v>
      </c>
      <c r="K35" s="124">
        <v>8643.2000000000007</v>
      </c>
      <c r="L35" s="124">
        <v>8841.5</v>
      </c>
      <c r="M35" s="124">
        <v>9043.2000000000007</v>
      </c>
      <c r="N35" s="124">
        <v>8808</v>
      </c>
      <c r="O35" s="124">
        <v>9430.4</v>
      </c>
      <c r="P35" s="124">
        <v>8821.4</v>
      </c>
      <c r="Q35" s="124">
        <v>8753.2000000000007</v>
      </c>
      <c r="R35" s="124">
        <v>9023.9</v>
      </c>
      <c r="S35" s="124">
        <v>8961.1</v>
      </c>
      <c r="T35" s="124">
        <v>9250.4</v>
      </c>
      <c r="U35" s="124">
        <v>9023.2000000000007</v>
      </c>
      <c r="V35" s="124">
        <v>9145.2999999999993</v>
      </c>
      <c r="W35" s="124">
        <v>8964.6</v>
      </c>
      <c r="X35" s="203">
        <v>12709.7</v>
      </c>
      <c r="Y35" s="203">
        <v>13669.9</v>
      </c>
      <c r="Z35" s="203">
        <v>12193.2</v>
      </c>
      <c r="AA35" s="203">
        <v>12684.6</v>
      </c>
      <c r="AB35" s="203">
        <v>13469.6</v>
      </c>
      <c r="AC35" s="203">
        <v>8365.7000000000007</v>
      </c>
      <c r="AD35" s="203">
        <v>12677.4</v>
      </c>
      <c r="AE35" s="203">
        <v>12651.5</v>
      </c>
      <c r="AF35" s="203">
        <v>12563.7</v>
      </c>
      <c r="AG35" s="203">
        <v>12542</v>
      </c>
      <c r="AH35" s="203">
        <v>12625.5</v>
      </c>
      <c r="AI35" s="203">
        <v>12697</v>
      </c>
      <c r="AJ35" s="142">
        <v>10367.9</v>
      </c>
      <c r="AK35" s="142">
        <v>10618.1</v>
      </c>
      <c r="AL35" s="142">
        <v>10351.700000000001</v>
      </c>
      <c r="AM35" s="142">
        <v>10372.5</v>
      </c>
      <c r="AN35" s="142">
        <v>10509.9</v>
      </c>
      <c r="AO35" s="142">
        <v>10881.3</v>
      </c>
      <c r="AP35" s="142">
        <v>10704.8</v>
      </c>
      <c r="AQ35" s="142">
        <v>10567.4</v>
      </c>
      <c r="AR35" s="142">
        <v>8592.2999999999993</v>
      </c>
      <c r="AS35" s="142">
        <v>8636</v>
      </c>
      <c r="AT35" s="142">
        <v>8707.7999999999993</v>
      </c>
      <c r="AU35" s="142">
        <v>8581.2000000000007</v>
      </c>
      <c r="AV35" s="142">
        <v>8819</v>
      </c>
      <c r="AW35" s="142">
        <v>8692.4</v>
      </c>
      <c r="AX35" s="142">
        <v>11953</v>
      </c>
      <c r="AY35" s="142">
        <v>13251</v>
      </c>
      <c r="AZ35" s="142">
        <v>9785</v>
      </c>
      <c r="BA35" s="142">
        <v>11746</v>
      </c>
      <c r="BB35" s="142">
        <v>12188</v>
      </c>
      <c r="BC35" s="142">
        <v>10177</v>
      </c>
      <c r="BD35" s="142">
        <v>8450</v>
      </c>
      <c r="BE35" s="142">
        <v>11425</v>
      </c>
      <c r="BF35" s="142">
        <v>10979</v>
      </c>
      <c r="BG35" s="142">
        <v>11052</v>
      </c>
      <c r="BH35" s="142">
        <v>7513</v>
      </c>
      <c r="BI35" s="142">
        <v>4616</v>
      </c>
      <c r="BJ35" s="142">
        <v>8072</v>
      </c>
      <c r="BK35" s="142">
        <v>5967</v>
      </c>
      <c r="BL35" s="142">
        <v>7671</v>
      </c>
      <c r="BM35" s="142">
        <v>7589</v>
      </c>
      <c r="BN35" s="142">
        <v>7619</v>
      </c>
      <c r="BO35" s="142">
        <v>8011</v>
      </c>
      <c r="BP35" s="142">
        <v>7808</v>
      </c>
      <c r="BQ35" s="142">
        <v>5201</v>
      </c>
      <c r="BR35" s="142">
        <v>4484</v>
      </c>
      <c r="BS35" s="142">
        <v>0</v>
      </c>
      <c r="BT35" s="142">
        <v>2654</v>
      </c>
      <c r="BU35" s="142">
        <v>1070</v>
      </c>
      <c r="BV35" s="142"/>
      <c r="BW35" s="142"/>
      <c r="BX35" s="142"/>
      <c r="BY35" s="142"/>
      <c r="BZ35" s="142">
        <v>1323</v>
      </c>
      <c r="CA35" s="142">
        <v>1130</v>
      </c>
      <c r="CB35" s="142">
        <v>4716</v>
      </c>
      <c r="CC35" s="142">
        <v>8528</v>
      </c>
      <c r="CD35" s="59">
        <v>7.2595238333333336</v>
      </c>
      <c r="CE35" s="59"/>
      <c r="CF35" s="206">
        <v>7.3132474333333359</v>
      </c>
      <c r="CG35" s="206"/>
      <c r="CH35" s="206">
        <v>0.97667948333333265</v>
      </c>
      <c r="CI35" s="206"/>
      <c r="CJ35" s="59">
        <v>1.4423139333333357</v>
      </c>
      <c r="CK35" s="59"/>
      <c r="CL35" s="206">
        <v>34.416343750000024</v>
      </c>
      <c r="CM35" s="206"/>
      <c r="CN35" s="206">
        <v>47.668648437499989</v>
      </c>
      <c r="CO35" s="206"/>
      <c r="CP35" s="206">
        <v>24.353492187500024</v>
      </c>
      <c r="CQ35" s="206"/>
      <c r="CR35" s="59">
        <v>0</v>
      </c>
      <c r="CS35" s="59"/>
      <c r="CT35" s="206">
        <v>0.93262031249999977</v>
      </c>
      <c r="CU35" s="206"/>
      <c r="CV35" s="206">
        <v>2.835</v>
      </c>
      <c r="CW35" s="258"/>
      <c r="CX35" s="204">
        <f>IFERROR(AVERAGEIF(RD[[#This Row],[IS1POA1 (KWh/m2)]:[IS7POA2 (KWh/m2)]],"&lt;&gt;0",RD[[#This Row],[IS1POA1 (KWh/m2)]:[IS7POA2 (KWh/m2)]]),"")</f>
        <v>7.2595238333333336</v>
      </c>
      <c r="CY35" s="204">
        <f>IFERROR(AVERAGEIF(RD[[#This Row],[IS1GHI1 (KWh/m2)]:[IS7GHI2 (KWh/m2)]],"&lt;&gt;0",RD[[#This Row],[IS1GHI1 (KWh/m2)]:[IS7GHI2 (KWh/m2)]]),"")</f>
        <v>7.3132474333333359</v>
      </c>
      <c r="CZ35" s="204">
        <f>IFERROR(AVERAGEIF(RD[[#This Row],[IS1POA_BS1 (KWh/m2)]:[IS7POA_BS2 (KWh/m2)]],"&lt;&gt;0",RD[[#This Row],[IS1POA_BS1 (KWh/m2)]:[IS7POA_BS2 (KWh/m2)]]),"")</f>
        <v>0.97667948333333265</v>
      </c>
      <c r="DA35" s="204">
        <f>IFERROR(AVERAGEIF(RD[[#This Row],[IS1GHI_BS1 (KWh/m2)]:[IS1GHI_BS1 (KWh/m2)2]],"&lt;&gt;0",RD[[#This Row],[IS1GHI_BS1 (KWh/m2)]:[IS1GHI_BS1 (KWh/m2)2]]),"")</f>
        <v>1.4423139333333357</v>
      </c>
      <c r="DB35" s="204">
        <f>IFERROR(AVERAGEIF(RD[[#This Row],[IS1AT1 (°C)]:[IS7AT2 (°C)]],"&lt;&gt;0",RD[[#This Row],[IS1AT1 (°C)]:[IS7AT2 (°C)]]),"")</f>
        <v>34.416343750000024</v>
      </c>
      <c r="DC35" s="204">
        <f>IFERROR(AVERAGEIF(RD[[#This Row],[IS1MT1 (°C)]:[IS7MT2 (°C)]],"&lt;&gt;0",RD[[#This Row],[IS1MT1 (°C)]:[IS7MT2 (°C)]]),"")</f>
        <v>47.668648437499989</v>
      </c>
      <c r="DD35" s="204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204">
        <f>IFERROR(AVERAGEIF(RD[[#This Row],[WS_Solar1_Avg (m/s)]:[IS7_WS_Solar1_Avg (m/s)]],"&lt;&gt;0",RD[[#This Row],[WS_Solar1_Avg (m/s)]:[IS7_WS_Solar1_Avg (m/s)]]),"")</f>
        <v>0.93262031249999977</v>
      </c>
      <c r="DG35" s="204">
        <f>IFERROR(AVERAGEIF(RD[[#This Row],[WS_Solar1_Max (m/s)]:[IS7_WS_Solar1_Max (m/s)]],"&lt;&gt;0",RD[[#This Row],[WS_Solar1_Max (m/s)]:[IS7_WS_Solar1_Max (m/s)]]),"")</f>
        <v>2.835</v>
      </c>
      <c r="DH35" s="204">
        <f>SUM(RD[[#This Row],[IS1Inv1M1]:[IS4Inv4M2]])</f>
        <v>292180.80000000005</v>
      </c>
      <c r="DI35" s="205">
        <f>SUM(RD[[#This Row],[IS7Inv1M1]]+RD[[#This Row],[IS7Inv2M1]])</f>
        <v>17228.3</v>
      </c>
      <c r="DJ35" s="204">
        <f>SUM(RD[[#This Row],[IS5Inv1M1]:[IS5Inv2M2]])</f>
        <v>41710.199999999997</v>
      </c>
      <c r="DK35" s="204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86">
        <f>SUM(RD[[#This Row],[IS12Inv1M1]:[IS12Inv1M4]])</f>
        <v>28639</v>
      </c>
      <c r="DO35" s="286">
        <f>SUM(RD[[#This Row],[IS13Inv1M1]:[IS13Inv2M2]])</f>
        <v>8208</v>
      </c>
      <c r="DP35" s="204">
        <f>SUM(RD[[#This Row],[O2R15]:[O2R26]])</f>
        <v>633561.10000000009</v>
      </c>
      <c r="DQ35" s="164">
        <v>37938.199999999997</v>
      </c>
      <c r="DR35" s="168">
        <v>204.4</v>
      </c>
      <c r="DS35" s="164">
        <v>32648.9</v>
      </c>
      <c r="DT35" s="164">
        <v>216.7</v>
      </c>
      <c r="DU35" s="168">
        <v>37676.699999999997</v>
      </c>
      <c r="DV35" s="168">
        <v>390</v>
      </c>
      <c r="DW35" s="164">
        <v>5741.2</v>
      </c>
      <c r="DX35" s="168">
        <v>25.9</v>
      </c>
      <c r="DY35" s="168"/>
      <c r="DZ35" s="168"/>
      <c r="EA35" s="140">
        <v>89.78</v>
      </c>
      <c r="EB35" s="241">
        <v>117109415</v>
      </c>
      <c r="EC35" s="240">
        <v>892512.12800000003</v>
      </c>
      <c r="ED35" s="241">
        <v>1068</v>
      </c>
      <c r="EE35" s="241">
        <v>111443</v>
      </c>
      <c r="EF35" s="164">
        <v>162437.9</v>
      </c>
      <c r="EG35" s="164">
        <v>1758.1</v>
      </c>
      <c r="EH35" s="146">
        <f>IF((RD[[#This Row],[33 kV_F3_Ex
Incomer1]]-DQ34)*1000&lt;0,0,(RD[[#This Row],[33 kV_F3_Ex
Incomer1]]-DQ34)*1000)</f>
        <v>99000</v>
      </c>
      <c r="EI35" s="146">
        <f>IF((RD[[#This Row],[34 kV_F3_Im
Incomer1]]-DR34)*1000&lt;0,0,(RD[[#This Row],[34 kV_F3_Im
Incomer1]]-DR34)*1000)</f>
        <v>200.00000000001705</v>
      </c>
      <c r="EJ35" s="146">
        <f>IF((RD[[#This Row],[33 kV_F4_Ex
Incomer2]]-DS34)*1000&lt;0,0,(RD[[#This Row],[33 kV_F4_Ex
Incomer2]]-DS34)*1000)</f>
        <v>93000</v>
      </c>
      <c r="EK35" s="146">
        <f>IF((RD[[#This Row],[34 kV_F4_Im
Incomer2]]-DT34)*1000&lt;0,0,(RD[[#This Row],[34 kV_F4_Im
Incomer2]]-DT34)*1000)</f>
        <v>199.99999999998863</v>
      </c>
      <c r="EL35" s="146">
        <f>IF((RD[[#This Row],[33 kV_F5_Ex
Incomer3]]-DU34)*1000&lt;0,0,(RD[[#This Row],[33 kV_F5_Ex
Incomer3]]-DU34)*1000)</f>
        <v>121000</v>
      </c>
      <c r="EM35" s="146">
        <f>IF((RD[[#This Row],[34 kV_F5_Im
Incomer3]]-DV34)*1000&lt;0,0,(RD[[#This Row],[34 kV_F5_Im
Incomer3]]-DV34)*1000)</f>
        <v>300.00000000001137</v>
      </c>
      <c r="EN35" s="146">
        <f>IF((RD[[#This Row],[33 kV_F6_Ex
Incomer4]]-DW34)*1000&lt;0,0,(RD[[#This Row],[33 kV_F6_Ex
Incomer4]]-DW34)*1000)</f>
        <v>103800.00000000017</v>
      </c>
      <c r="EO35" s="146">
        <f>IF((RD[[#This Row],[33 kV_F6_Im
Incomer4]]-DX34)*1000&lt;0,0,(RD[[#This Row],[33 kV_F6_Im
Incomer4]]-DX34)*1000)</f>
        <v>500</v>
      </c>
      <c r="EP35" s="146">
        <f>IF((RD[[#This Row],[33 kV_F7_Ex
Incomer5]]-DY34)*1000&lt;0,0,(RD[[#This Row],[33 kV_F7_Ex
Incomer5]]-DY34)*1000)</f>
        <v>0</v>
      </c>
      <c r="EQ35" s="146">
        <f>IF((RD[[#This Row],[33 kV_F7_Im
Incomer5]]-DZ34)*1000&lt;0,0,(RD[[#This Row],[33 kV_F7_Im
Incomer5]]-DZ34)*1000)</f>
        <v>0</v>
      </c>
      <c r="ER35" s="146">
        <f>IF((RD[[#This Row],[33 kV_Aux Trafo]]-EA34)*1000&lt;0,0,(RD[[#This Row],[33 kV_Aux Trafo]]-EA34)*1000)</f>
        <v>170.00000000000171</v>
      </c>
      <c r="ES35" s="158">
        <f>IF((RD[[#This Row],[33kV_OG1_Ex_]]-EB34)*1&lt;0,0,(RD[[#This Row],[33kV_OG1_Ex_]]-EB34)*1)</f>
        <v>622166</v>
      </c>
      <c r="ET35" s="146">
        <f>IF((RD[[#This Row],[33kV_OG1_Im]]-EC34)*1&lt;0,0,(RD[[#This Row],[33kV_OG1_Im]]-EC34)*1)</f>
        <v>1737.7920000000158</v>
      </c>
      <c r="EU35" s="146">
        <f>IF((RD[[#This Row],[132kV_TX1_EX]]-ED34)*720&lt;=0,"",(RD[[#This Row],[132kV_TX1_EX]]-ED34)*720)</f>
        <v>1440</v>
      </c>
      <c r="EV35" s="146">
        <f>IF((RD[[#This Row],[132 kV_Tx1_Im]]-EE34)*720&lt;=0,0,(RD[[#This Row],[132 kV_Tx1_Im]]-EE34)*720)</f>
        <v>445680</v>
      </c>
      <c r="EW35" s="146">
        <f>IF((RD[[#This Row],[132kV_L1_Ex]]-EF34)*720&lt;=0,0,(RD[[#This Row],[132kV_L1_Ex]]-EF34)*720)</f>
        <v>620063.99999998743</v>
      </c>
      <c r="EX35" s="146">
        <f>IF((RD[[#This Row],[132kV_L1_Im]]-EG34)*720&lt;=0,0,(RD[[#This Row],[132kV_L1_Im]]-EG34)*720)</f>
        <v>2087.9999999999018</v>
      </c>
      <c r="EY35" s="242">
        <f>IFERROR(RD[[#This Row],[33kV_OG1_Ex (MWh)]]+RD[[#This Row],[33kV_OG1_Im (MWh)]],"")</f>
        <v>623903.79200000002</v>
      </c>
      <c r="EZ35" s="148">
        <f>RD[[#This Row],[33kV_OG1_Ex (MWh)]]-RD[[#This Row],[33kV_OG1_Im (MWh)]]</f>
        <v>620428.20799999998</v>
      </c>
      <c r="FA35" s="148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43">
        <f>IFERROR((RD[[#This Row],[Sunset Time (POA&lt;20 W/m2)]]-RD[[#This Row],[Sunrise Time (POA&gt;20 W/m2)]])*24,0)</f>
        <v>12.166666666666666</v>
      </c>
      <c r="FD35" s="244">
        <v>106</v>
      </c>
      <c r="FE35" t="s">
        <v>278</v>
      </c>
      <c r="FG35" s="144" t="str">
        <f>IFERROR(RD[[#This Row],[E_AC (WPR)]]/RD[[#This Row],[E_DC (WPR)]],"")</f>
        <v/>
      </c>
    </row>
    <row r="36" spans="1:163">
      <c r="A36" s="133">
        <f t="shared" si="157"/>
        <v>45776</v>
      </c>
      <c r="B36" s="138">
        <f>YEAR(RD[[#This Row],[Date]])+IF(MONTH(RD[[#This Row],[Date]])&gt;=4,1,0)</f>
        <v>2026</v>
      </c>
      <c r="C36" s="138">
        <f>YEAR(RD[[#This Row],[Date]])</f>
        <v>2025</v>
      </c>
      <c r="D36" s="139">
        <f t="shared" si="158"/>
        <v>45748</v>
      </c>
      <c r="E36" s="138">
        <f>DAY(EOMONTH(RD[[#This Row],[Date]],0))</f>
        <v>30</v>
      </c>
      <c r="F36" s="152">
        <v>0.25972222222222224</v>
      </c>
      <c r="G36" s="162">
        <v>0.7680555555555556</v>
      </c>
      <c r="H36" s="124">
        <v>9096.7999999999993</v>
      </c>
      <c r="I36" s="124">
        <v>9075.2999999999993</v>
      </c>
      <c r="J36" s="124">
        <v>8571.1</v>
      </c>
      <c r="K36" s="124">
        <v>8660.4</v>
      </c>
      <c r="L36" s="124">
        <v>8916.2000000000007</v>
      </c>
      <c r="M36" s="124">
        <v>9141.4</v>
      </c>
      <c r="N36" s="124">
        <v>8845.4</v>
      </c>
      <c r="O36" s="124">
        <v>9479.9</v>
      </c>
      <c r="P36" s="124">
        <v>8364.2000000000007</v>
      </c>
      <c r="Q36" s="124">
        <v>8255.9</v>
      </c>
      <c r="R36" s="124">
        <v>8519.7000000000007</v>
      </c>
      <c r="S36" s="124">
        <v>8511.7000000000007</v>
      </c>
      <c r="T36" s="124">
        <v>8778.2000000000007</v>
      </c>
      <c r="U36" s="124">
        <v>8507.7999999999993</v>
      </c>
      <c r="V36" s="124">
        <v>8658.7999999999993</v>
      </c>
      <c r="W36" s="124">
        <v>8488.2000000000007</v>
      </c>
      <c r="X36" s="203">
        <v>11883.9</v>
      </c>
      <c r="Y36" s="203">
        <v>12903.8</v>
      </c>
      <c r="Z36" s="203">
        <v>11392.9</v>
      </c>
      <c r="AA36" s="203">
        <v>11828.4</v>
      </c>
      <c r="AB36" s="203">
        <v>13538.8</v>
      </c>
      <c r="AC36" s="203">
        <v>8332.7000000000007</v>
      </c>
      <c r="AD36" s="203">
        <v>12677.1</v>
      </c>
      <c r="AE36" s="203">
        <v>12651.2</v>
      </c>
      <c r="AF36" s="203">
        <v>12603.2</v>
      </c>
      <c r="AG36" s="203">
        <v>12534</v>
      </c>
      <c r="AH36" s="203">
        <v>12618.1</v>
      </c>
      <c r="AI36" s="203">
        <v>12721</v>
      </c>
      <c r="AJ36" s="142">
        <v>10478.700000000001</v>
      </c>
      <c r="AK36" s="142">
        <v>10720.1</v>
      </c>
      <c r="AL36" s="142">
        <v>10447.299999999999</v>
      </c>
      <c r="AM36" s="142">
        <v>10462.200000000001</v>
      </c>
      <c r="AN36" s="142">
        <v>10534.9</v>
      </c>
      <c r="AO36" s="142">
        <v>10894.5</v>
      </c>
      <c r="AP36" s="142">
        <v>10701.3</v>
      </c>
      <c r="AQ36" s="142">
        <v>10592.2</v>
      </c>
      <c r="AR36" s="142">
        <v>8618.2000000000007</v>
      </c>
      <c r="AS36" s="142">
        <v>8692.9</v>
      </c>
      <c r="AT36" s="142">
        <v>8790.1</v>
      </c>
      <c r="AU36" s="142">
        <v>8696.7000000000007</v>
      </c>
      <c r="AV36" s="142">
        <v>8934.2999999999993</v>
      </c>
      <c r="AW36" s="142">
        <v>8774.7999999999993</v>
      </c>
      <c r="AX36" s="142">
        <v>12425</v>
      </c>
      <c r="AY36" s="142">
        <v>13277</v>
      </c>
      <c r="AZ36" s="142">
        <v>9780</v>
      </c>
      <c r="BA36" s="142">
        <v>11735</v>
      </c>
      <c r="BB36" s="142">
        <v>12190</v>
      </c>
      <c r="BC36" s="142">
        <v>10335</v>
      </c>
      <c r="BD36" s="142">
        <v>8464</v>
      </c>
      <c r="BE36" s="142">
        <v>11435</v>
      </c>
      <c r="BF36" s="142">
        <v>10985</v>
      </c>
      <c r="BG36" s="142">
        <v>11069</v>
      </c>
      <c r="BH36" s="142">
        <v>7519</v>
      </c>
      <c r="BI36" s="142">
        <v>4601</v>
      </c>
      <c r="BJ36" s="142">
        <v>8109</v>
      </c>
      <c r="BK36" s="142">
        <v>5857</v>
      </c>
      <c r="BL36" s="142">
        <v>7817</v>
      </c>
      <c r="BM36" s="142">
        <v>7160</v>
      </c>
      <c r="BN36" s="142"/>
      <c r="BO36" s="142"/>
      <c r="BP36" s="142"/>
      <c r="BQ36" s="142"/>
      <c r="BR36" s="142">
        <v>5172</v>
      </c>
      <c r="BS36" s="142">
        <v>0</v>
      </c>
      <c r="BT36" s="142">
        <v>2690</v>
      </c>
      <c r="BU36" s="142">
        <v>1259</v>
      </c>
      <c r="BV36" s="142"/>
      <c r="BW36" s="142"/>
      <c r="BX36" s="142"/>
      <c r="BY36" s="142"/>
      <c r="BZ36" s="142"/>
      <c r="CA36" s="142"/>
      <c r="CB36" s="142"/>
      <c r="CC36" s="142"/>
      <c r="CD36" s="59">
        <v>7.25</v>
      </c>
      <c r="CE36" s="59"/>
      <c r="CF36" s="206">
        <v>7.319</v>
      </c>
      <c r="CG36" s="206"/>
      <c r="CH36" s="206">
        <v>0.97299999999999998</v>
      </c>
      <c r="CI36" s="206"/>
      <c r="CJ36" s="59">
        <v>1.45</v>
      </c>
      <c r="CK36" s="59"/>
      <c r="CL36" s="206">
        <v>34.658999999999999</v>
      </c>
      <c r="CM36" s="206"/>
      <c r="CN36" s="206">
        <v>46.444000000000003</v>
      </c>
      <c r="CO36" s="206"/>
      <c r="CP36" s="206">
        <v>25.8</v>
      </c>
      <c r="CQ36" s="206"/>
      <c r="CR36" s="59">
        <v>0</v>
      </c>
      <c r="CS36" s="59"/>
      <c r="CT36" s="206">
        <v>1.127</v>
      </c>
      <c r="CU36" s="206"/>
      <c r="CV36" s="206">
        <v>3.234</v>
      </c>
      <c r="CW36" s="258"/>
      <c r="CX36" s="204">
        <f>IFERROR(AVERAGEIF(RD[[#This Row],[IS1POA1 (KWh/m2)]:[IS7POA2 (KWh/m2)]],"&lt;&gt;0",RD[[#This Row],[IS1POA1 (KWh/m2)]:[IS7POA2 (KWh/m2)]]),"")</f>
        <v>7.25</v>
      </c>
      <c r="CY36" s="204">
        <f>IFERROR(AVERAGEIF(RD[[#This Row],[IS1GHI1 (KWh/m2)]:[IS7GHI2 (KWh/m2)]],"&lt;&gt;0",RD[[#This Row],[IS1GHI1 (KWh/m2)]:[IS7GHI2 (KWh/m2)]]),"")</f>
        <v>7.319</v>
      </c>
      <c r="CZ36" s="204">
        <f>IFERROR(AVERAGEIF(RD[[#This Row],[IS1POA_BS1 (KWh/m2)]:[IS7POA_BS2 (KWh/m2)]],"&lt;&gt;0",RD[[#This Row],[IS1POA_BS1 (KWh/m2)]:[IS7POA_BS2 (KWh/m2)]]),"")</f>
        <v>0.97299999999999998</v>
      </c>
      <c r="DA36" s="204">
        <f>IFERROR(AVERAGEIF(RD[[#This Row],[IS1GHI_BS1 (KWh/m2)]:[IS1GHI_BS1 (KWh/m2)2]],"&lt;&gt;0",RD[[#This Row],[IS1GHI_BS1 (KWh/m2)]:[IS1GHI_BS1 (KWh/m2)2]]),"")</f>
        <v>1.45</v>
      </c>
      <c r="DB36" s="204">
        <f>IFERROR(AVERAGEIF(RD[[#This Row],[IS1AT1 (°C)]:[IS7AT2 (°C)]],"&lt;&gt;0",RD[[#This Row],[IS1AT1 (°C)]:[IS7AT2 (°C)]]),"")</f>
        <v>34.658999999999999</v>
      </c>
      <c r="DC36" s="204">
        <f>IFERROR(AVERAGEIF(RD[[#This Row],[IS1MT1 (°C)]:[IS7MT2 (°C)]],"&lt;&gt;0",RD[[#This Row],[IS1MT1 (°C)]:[IS7MT2 (°C)]]),"")</f>
        <v>46.444000000000003</v>
      </c>
      <c r="DD36" s="204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204">
        <f>IFERROR(AVERAGEIF(RD[[#This Row],[WS_Solar1_Avg (m/s)]:[IS7_WS_Solar1_Avg (m/s)]],"&lt;&gt;0",RD[[#This Row],[WS_Solar1_Avg (m/s)]:[IS7_WS_Solar1_Avg (m/s)]]),"")</f>
        <v>1.127</v>
      </c>
      <c r="DG36" s="204">
        <f>IFERROR(AVERAGEIF(RD[[#This Row],[WS_Solar1_Max (m/s)]:[IS7_WS_Solar1_Max (m/s)]],"&lt;&gt;0",RD[[#This Row],[WS_Solar1_Max (m/s)]:[IS7_WS_Solar1_Max (m/s)]]),"")</f>
        <v>3.234</v>
      </c>
      <c r="DH36" s="204">
        <f>SUM(RD[[#This Row],[IS1Inv1M1]:[IS4Inv4M2]])</f>
        <v>285556.09999999998</v>
      </c>
      <c r="DI36" s="205">
        <f>SUM(RD[[#This Row],[IS7Inv1M1]]+RD[[#This Row],[IS7Inv2M1]])</f>
        <v>17311.099999999999</v>
      </c>
      <c r="DJ36" s="204">
        <f>SUM(RD[[#This Row],[IS5Inv1M1]:[IS5Inv2M2]])</f>
        <v>42108.3</v>
      </c>
      <c r="DK36" s="204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86">
        <f>SUM(RD[[#This Row],[IS12Inv1M1]:[IS12Inv1M4]])</f>
        <v>0</v>
      </c>
      <c r="DO36" s="286">
        <f>SUM(RD[[#This Row],[IS13Inv1M1]:[IS13Inv2M2]])</f>
        <v>9121</v>
      </c>
      <c r="DP36" s="204">
        <f>SUM(RD[[#This Row],[O2R15]:[O2R26]])</f>
        <v>584773.29999999993</v>
      </c>
      <c r="DQ36" s="164">
        <v>38035.1</v>
      </c>
      <c r="DR36" s="168">
        <v>204.7</v>
      </c>
      <c r="DS36" s="164">
        <v>32739.9</v>
      </c>
      <c r="DT36" s="164">
        <v>217</v>
      </c>
      <c r="DU36" s="168">
        <v>37798.400000000001</v>
      </c>
      <c r="DV36" s="168">
        <v>390.5</v>
      </c>
      <c r="DW36" s="164">
        <v>5848.7</v>
      </c>
      <c r="DX36" s="168">
        <v>26.8</v>
      </c>
      <c r="DY36" s="168"/>
      <c r="DZ36" s="168"/>
      <c r="EA36" s="140">
        <v>90.04</v>
      </c>
      <c r="EB36" s="241">
        <v>117731704</v>
      </c>
      <c r="EC36" s="240">
        <v>895351.61600000004</v>
      </c>
      <c r="ED36" s="241">
        <v>1072</v>
      </c>
      <c r="EE36" s="241">
        <v>112063</v>
      </c>
      <c r="EF36" s="164">
        <v>163299.20000000001</v>
      </c>
      <c r="EG36" s="164">
        <v>1763.1</v>
      </c>
      <c r="EH36" s="146">
        <f>IF((RD[[#This Row],[33 kV_F3_Ex
Incomer1]]-DQ35)*1000&lt;0,0,(RD[[#This Row],[33 kV_F3_Ex
Incomer1]]-DQ35)*1000)</f>
        <v>96900.000000001455</v>
      </c>
      <c r="EI36" s="146">
        <f>IF((RD[[#This Row],[34 kV_F3_Im
Incomer1]]-DR35)*1000&lt;0,0,(RD[[#This Row],[34 kV_F3_Im
Incomer1]]-DR35)*1000)</f>
        <v>299.99999999998295</v>
      </c>
      <c r="EJ36" s="146">
        <f>IF((RD[[#This Row],[33 kV_F4_Ex
Incomer2]]-DS35)*1000&lt;0,0,(RD[[#This Row],[33 kV_F4_Ex
Incomer2]]-DS35)*1000)</f>
        <v>91000</v>
      </c>
      <c r="EK36" s="146">
        <f>IF((RD[[#This Row],[34 kV_F4_Im
Incomer2]]-DT35)*1000&lt;0,0,(RD[[#This Row],[34 kV_F4_Im
Incomer2]]-DT35)*1000)</f>
        <v>300.00000000001137</v>
      </c>
      <c r="EL36" s="146">
        <f>IF((RD[[#This Row],[33 kV_F5_Ex
Incomer3]]-DU35)*1000&lt;0,0,(RD[[#This Row],[33 kV_F5_Ex
Incomer3]]-DU35)*1000)</f>
        <v>121700.00000000437</v>
      </c>
      <c r="EM36" s="146">
        <f>IF((RD[[#This Row],[34 kV_F5_Im
Incomer3]]-DV35)*1000&lt;0,0,(RD[[#This Row],[34 kV_F5_Im
Incomer3]]-DV35)*1000)</f>
        <v>500</v>
      </c>
      <c r="EN36" s="146">
        <f>IF((RD[[#This Row],[33 kV_F6_Ex
Incomer4]]-DW35)*1000&lt;0,0,(RD[[#This Row],[33 kV_F6_Ex
Incomer4]]-DW35)*1000)</f>
        <v>107500</v>
      </c>
      <c r="EO36" s="146">
        <f>IF((RD[[#This Row],[33 kV_F6_Im
Incomer4]]-DX35)*1000&lt;0,0,(RD[[#This Row],[33 kV_F6_Im
Incomer4]]-DX35)*1000)</f>
        <v>900.00000000000216</v>
      </c>
      <c r="EP36" s="146">
        <f>IF((RD[[#This Row],[33 kV_F7_Ex
Incomer5]]-DY35)*1000&lt;0,0,(RD[[#This Row],[33 kV_F7_Ex
Incomer5]]-DY35)*1000)</f>
        <v>0</v>
      </c>
      <c r="EQ36" s="146">
        <f>IF((RD[[#This Row],[33 kV_F7_Im
Incomer5]]-DZ35)*1000&lt;0,0,(RD[[#This Row],[33 kV_F7_Im
Incomer5]]-DZ35)*1000)</f>
        <v>0</v>
      </c>
      <c r="ER36" s="146">
        <f>IF((RD[[#This Row],[33 kV_Aux Trafo]]-EA35)*1000&lt;0,0,(RD[[#This Row],[33 kV_Aux Trafo]]-EA35)*1000)</f>
        <v>260.00000000000512</v>
      </c>
      <c r="ES36" s="158">
        <f>IF((RD[[#This Row],[33kV_OG1_Ex_]]-EB35)*1&lt;0,0,(RD[[#This Row],[33kV_OG1_Ex_]]-EB35)*1)</f>
        <v>622289</v>
      </c>
      <c r="ET36" s="146">
        <f>IF((RD[[#This Row],[33kV_OG1_Im]]-EC35)*1&lt;0,0,(RD[[#This Row],[33kV_OG1_Im]]-EC35)*1)</f>
        <v>2839.4880000000121</v>
      </c>
      <c r="EU36" s="146">
        <f>IF((RD[[#This Row],[132kV_TX1_EX]]-ED35)*720&lt;=0,"",(RD[[#This Row],[132kV_TX1_EX]]-ED35)*720)</f>
        <v>2880</v>
      </c>
      <c r="EV36" s="146">
        <f>IF((RD[[#This Row],[132 kV_Tx1_Im]]-EE35)*720&lt;=0,0,(RD[[#This Row],[132 kV_Tx1_Im]]-EE35)*720)</f>
        <v>446400</v>
      </c>
      <c r="EW36" s="146">
        <f>IF((RD[[#This Row],[132kV_L1_Ex]]-EF35)*720&lt;=0,0,(RD[[#This Row],[132kV_L1_Ex]]-EF35)*720)</f>
        <v>620136.00000001257</v>
      </c>
      <c r="EX36" s="146">
        <f>IF((RD[[#This Row],[132kV_L1_Im]]-EG35)*720&lt;=0,0,(RD[[#This Row],[132kV_L1_Im]]-EG35)*720)</f>
        <v>3600</v>
      </c>
      <c r="EY36" s="242">
        <f>IFERROR(RD[[#This Row],[33kV_OG1_Ex (MWh)]]+RD[[#This Row],[33kV_OG1_Im (MWh)]],"")</f>
        <v>625128.48800000001</v>
      </c>
      <c r="EZ36" s="148">
        <f>RD[[#This Row],[33kV_OG1_Ex (MWh)]]-RD[[#This Row],[33kV_OG1_Im (MWh)]]</f>
        <v>619449.51199999999</v>
      </c>
      <c r="FA36" s="148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43">
        <f>IFERROR((RD[[#This Row],[Sunset Time (POA&lt;20 W/m2)]]-RD[[#This Row],[Sunrise Time (POA&gt;20 W/m2)]])*24,0)</f>
        <v>12.2</v>
      </c>
      <c r="FD36" s="244">
        <v>106</v>
      </c>
      <c r="FE36" t="s">
        <v>268</v>
      </c>
      <c r="FG36" s="144" t="str">
        <f>IFERROR(RD[[#This Row],[E_AC (WPR)]]/RD[[#This Row],[E_DC (WPR)]],"")</f>
        <v/>
      </c>
    </row>
    <row r="37" spans="1:163">
      <c r="A37" s="133">
        <f t="shared" si="157"/>
        <v>45777</v>
      </c>
      <c r="B37" s="138">
        <f>YEAR(RD[[#This Row],[Date]])+IF(MONTH(RD[[#This Row],[Date]])&gt;=4,1,0)</f>
        <v>2026</v>
      </c>
      <c r="C37" s="138">
        <f>YEAR(RD[[#This Row],[Date]])</f>
        <v>2025</v>
      </c>
      <c r="D37" s="139">
        <f t="shared" si="158"/>
        <v>45748</v>
      </c>
      <c r="E37" s="138">
        <f>DAY(EOMONTH(RD[[#This Row],[Date]],0))</f>
        <v>30</v>
      </c>
      <c r="F37" s="152">
        <v>0.2590277777777778</v>
      </c>
      <c r="G37" s="162">
        <v>0.77361111111111114</v>
      </c>
      <c r="H37" s="124">
        <v>8835.5</v>
      </c>
      <c r="I37" s="124">
        <v>8799.2000000000007</v>
      </c>
      <c r="J37" s="124">
        <v>8388.5</v>
      </c>
      <c r="K37" s="124">
        <v>8456.2999999999993</v>
      </c>
      <c r="L37" s="124">
        <v>8664.6</v>
      </c>
      <c r="M37" s="124">
        <v>8885.7999999999993</v>
      </c>
      <c r="N37" s="124">
        <v>8612.2999999999993</v>
      </c>
      <c r="O37" s="124">
        <v>9211.9</v>
      </c>
      <c r="P37" s="124">
        <v>8629.9</v>
      </c>
      <c r="Q37" s="124">
        <v>8532.6</v>
      </c>
      <c r="R37" s="124">
        <v>8769.2000000000007</v>
      </c>
      <c r="S37" s="124">
        <v>8765</v>
      </c>
      <c r="T37" s="124">
        <v>9043.9</v>
      </c>
      <c r="U37" s="124">
        <v>8794.2000000000007</v>
      </c>
      <c r="V37" s="124">
        <v>8957.7000000000007</v>
      </c>
      <c r="W37" s="124">
        <v>8786.6</v>
      </c>
      <c r="X37" s="203">
        <v>12381.3</v>
      </c>
      <c r="Y37" s="203">
        <v>13343.7</v>
      </c>
      <c r="Z37" s="203">
        <v>11890.1</v>
      </c>
      <c r="AA37" s="203">
        <v>12276.5</v>
      </c>
      <c r="AB37" s="203">
        <v>13273.8</v>
      </c>
      <c r="AC37" s="203">
        <v>8229.7000000000007</v>
      </c>
      <c r="AD37" s="203">
        <v>12495.8</v>
      </c>
      <c r="AE37" s="203">
        <v>12460.8</v>
      </c>
      <c r="AF37" s="203">
        <v>12428</v>
      </c>
      <c r="AG37" s="203">
        <v>12392</v>
      </c>
      <c r="AH37" s="203">
        <v>12459.7</v>
      </c>
      <c r="AI37" s="203">
        <v>12551.2</v>
      </c>
      <c r="AJ37" s="142">
        <v>9070.2000000000007</v>
      </c>
      <c r="AK37" s="142">
        <v>9304.1</v>
      </c>
      <c r="AL37" s="142">
        <v>9044.7000000000007</v>
      </c>
      <c r="AM37" s="142">
        <v>9066.7000000000007</v>
      </c>
      <c r="AN37" s="142">
        <v>10284.4</v>
      </c>
      <c r="AO37" s="142">
        <v>10640.1</v>
      </c>
      <c r="AP37" s="142">
        <v>10455.5</v>
      </c>
      <c r="AQ37" s="142">
        <v>10341</v>
      </c>
      <c r="AR37" s="142">
        <v>8407.1</v>
      </c>
      <c r="AS37" s="142">
        <v>8477</v>
      </c>
      <c r="AT37" s="142">
        <v>8562.7000000000007</v>
      </c>
      <c r="AU37" s="142">
        <v>8488</v>
      </c>
      <c r="AV37" s="142">
        <v>8671.6</v>
      </c>
      <c r="AW37" s="142">
        <v>8551.4</v>
      </c>
      <c r="AX37" s="142">
        <v>11663.5</v>
      </c>
      <c r="AY37" s="142">
        <v>13052</v>
      </c>
      <c r="AZ37" s="142">
        <v>9659.7000000000007</v>
      </c>
      <c r="BA37" s="142">
        <v>11527.1</v>
      </c>
      <c r="BB37" s="142">
        <v>12103.9</v>
      </c>
      <c r="BC37" s="142">
        <v>10113.5</v>
      </c>
      <c r="BD37" s="142">
        <v>8303.4</v>
      </c>
      <c r="BE37" s="142">
        <v>11370</v>
      </c>
      <c r="BF37" s="142">
        <v>10689</v>
      </c>
      <c r="BG37" s="142">
        <v>11087</v>
      </c>
      <c r="BH37" s="142">
        <v>7526.2</v>
      </c>
      <c r="BI37" s="142">
        <v>4627</v>
      </c>
      <c r="BJ37" s="142">
        <v>8173</v>
      </c>
      <c r="BK37" s="142">
        <v>6082</v>
      </c>
      <c r="BL37" s="142">
        <v>7704</v>
      </c>
      <c r="BM37" s="142">
        <v>7640</v>
      </c>
      <c r="BN37" s="142">
        <v>7685</v>
      </c>
      <c r="BO37" s="142">
        <v>8095</v>
      </c>
      <c r="BP37" s="142">
        <v>7857</v>
      </c>
      <c r="BQ37" s="142">
        <v>6302</v>
      </c>
      <c r="BR37" s="142">
        <v>5960</v>
      </c>
      <c r="BS37" s="142">
        <v>0</v>
      </c>
      <c r="BT37" s="142">
        <v>2650</v>
      </c>
      <c r="BU37" s="142">
        <v>1240</v>
      </c>
      <c r="BV37" s="142"/>
      <c r="BW37" s="142"/>
      <c r="BX37" s="142"/>
      <c r="BY37" s="142"/>
      <c r="BZ37" s="142">
        <v>1311</v>
      </c>
      <c r="CA37" s="142">
        <v>1119</v>
      </c>
      <c r="CB37" s="142">
        <v>4712</v>
      </c>
      <c r="CC37" s="142">
        <v>8521</v>
      </c>
      <c r="CD37" s="59">
        <v>7.1097299999999928</v>
      </c>
      <c r="CE37" s="59"/>
      <c r="CF37" s="206">
        <v>7.1730949499999959</v>
      </c>
      <c r="CG37" s="206"/>
      <c r="CH37" s="206">
        <v>0.95906664999999913</v>
      </c>
      <c r="CI37" s="206"/>
      <c r="CJ37" s="59">
        <v>1.4169633833333344</v>
      </c>
      <c r="CK37" s="59"/>
      <c r="CL37" s="206">
        <v>34.780388888888922</v>
      </c>
      <c r="CM37" s="206"/>
      <c r="CN37" s="206">
        <v>46.799704861111138</v>
      </c>
      <c r="CO37" s="206"/>
      <c r="CP37" s="206">
        <v>25.731874999999942</v>
      </c>
      <c r="CQ37" s="206"/>
      <c r="CR37" s="59">
        <v>0</v>
      </c>
      <c r="CS37" s="59"/>
      <c r="CT37" s="206">
        <v>1.3726166666666655</v>
      </c>
      <c r="CU37" s="206"/>
      <c r="CV37" s="206">
        <v>3.3029999999999999</v>
      </c>
      <c r="CW37" s="258"/>
      <c r="CX37" s="204">
        <f>IFERROR(AVERAGEIF(RD[[#This Row],[IS1POA1 (KWh/m2)]:[IS7POA2 (KWh/m2)]],"&lt;&gt;0",RD[[#This Row],[IS1POA1 (KWh/m2)]:[IS7POA2 (KWh/m2)]]),"")</f>
        <v>7.1097299999999928</v>
      </c>
      <c r="CY37" s="204">
        <f>IFERROR(AVERAGEIF(RD[[#This Row],[IS1GHI1 (KWh/m2)]:[IS7GHI2 (KWh/m2)]],"&lt;&gt;0",RD[[#This Row],[IS1GHI1 (KWh/m2)]:[IS7GHI2 (KWh/m2)]]),"")</f>
        <v>7.1730949499999959</v>
      </c>
      <c r="CZ37" s="204">
        <f>IFERROR(AVERAGEIF(RD[[#This Row],[IS1POA_BS1 (KWh/m2)]:[IS7POA_BS2 (KWh/m2)]],"&lt;&gt;0",RD[[#This Row],[IS1POA_BS1 (KWh/m2)]:[IS7POA_BS2 (KWh/m2)]]),"")</f>
        <v>0.95906664999999913</v>
      </c>
      <c r="DA37" s="204">
        <f>IFERROR(AVERAGEIF(RD[[#This Row],[IS1GHI_BS1 (KWh/m2)]:[IS1GHI_BS1 (KWh/m2)2]],"&lt;&gt;0",RD[[#This Row],[IS1GHI_BS1 (KWh/m2)]:[IS1GHI_BS1 (KWh/m2)2]]),"")</f>
        <v>1.4169633833333344</v>
      </c>
      <c r="DB37" s="204">
        <f>IFERROR(AVERAGEIF(RD[[#This Row],[IS1AT1 (°C)]:[IS7AT2 (°C)]],"&lt;&gt;0",RD[[#This Row],[IS1AT1 (°C)]:[IS7AT2 (°C)]]),"")</f>
        <v>34.780388888888922</v>
      </c>
      <c r="DC37" s="204">
        <f>IFERROR(AVERAGEIF(RD[[#This Row],[IS1MT1 (°C)]:[IS7MT2 (°C)]],"&lt;&gt;0",RD[[#This Row],[IS1MT1 (°C)]:[IS7MT2 (°C)]]),"")</f>
        <v>46.799704861111138</v>
      </c>
      <c r="DD37" s="204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204">
        <f>IFERROR(AVERAGEIF(RD[[#This Row],[WS_Solar1_Avg (m/s)]:[IS7_WS_Solar1_Avg (m/s)]],"&lt;&gt;0",RD[[#This Row],[WS_Solar1_Avg (m/s)]:[IS7_WS_Solar1_Avg (m/s)]]),"")</f>
        <v>1.3726166666666655</v>
      </c>
      <c r="DG37" s="204">
        <f>IFERROR(AVERAGEIF(RD[[#This Row],[WS_Solar1_Max (m/s)]:[IS7_WS_Solar1_Max (m/s)]],"&lt;&gt;0",RD[[#This Row],[WS_Solar1_Max (m/s)]:[IS7_WS_Solar1_Max (m/s)]]),"")</f>
        <v>3.3029999999999999</v>
      </c>
      <c r="DH37" s="204">
        <f>SUM(RD[[#This Row],[IS1Inv1M1]:[IS4Inv4M2]])</f>
        <v>286315.8</v>
      </c>
      <c r="DI37" s="205">
        <f>SUM(RD[[#This Row],[IS7Inv1M1]]+RD[[#This Row],[IS7Inv2M1]])</f>
        <v>16884.099999999999</v>
      </c>
      <c r="DJ37" s="204">
        <f>SUM(RD[[#This Row],[IS5Inv1M1]:[IS5Inv2M2]])</f>
        <v>36485.700000000004</v>
      </c>
      <c r="DK37" s="204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86">
        <f>SUM(RD[[#This Row],[IS12Inv1M1]:[IS12Inv1M4]])</f>
        <v>29939</v>
      </c>
      <c r="DO37" s="286">
        <f>SUM(RD[[#This Row],[IS13Inv1M1]:[IS13Inv2M2]])</f>
        <v>9850</v>
      </c>
      <c r="DP37" s="204">
        <f>SUM(RD[[#This Row],[O2R15]:[O2R26]])</f>
        <v>622453.6</v>
      </c>
      <c r="DQ37" s="164">
        <v>38180.1</v>
      </c>
      <c r="DR37" s="168">
        <v>205.2</v>
      </c>
      <c r="DS37" s="164">
        <v>32874.699999999997</v>
      </c>
      <c r="DT37" s="164">
        <v>217.4</v>
      </c>
      <c r="DU37" s="168">
        <v>37970.9</v>
      </c>
      <c r="DV37" s="168">
        <v>391</v>
      </c>
      <c r="DW37" s="164">
        <v>6009.1</v>
      </c>
      <c r="DX37" s="168">
        <v>27.9</v>
      </c>
      <c r="DY37" s="168"/>
      <c r="DZ37" s="168"/>
      <c r="EA37" s="140">
        <v>90.38</v>
      </c>
      <c r="EB37" s="241">
        <v>118345875</v>
      </c>
      <c r="EC37" s="240">
        <v>898020.60800000001</v>
      </c>
      <c r="ED37" s="241">
        <v>1075</v>
      </c>
      <c r="EE37" s="241">
        <v>112675</v>
      </c>
      <c r="EF37" s="164">
        <v>164149.29999999999</v>
      </c>
      <c r="EG37" s="164">
        <v>1767.7</v>
      </c>
      <c r="EH37" s="146">
        <f>IF((RD[[#This Row],[33 kV_F3_Ex
Incomer1]]-DQ36)*1000&lt;0,0,(RD[[#This Row],[33 kV_F3_Ex
Incomer1]]-DQ36)*1000)</f>
        <v>145000</v>
      </c>
      <c r="EI37" s="146">
        <f>IF((RD[[#This Row],[34 kV_F3_Im
Incomer1]]-DR36)*1000&lt;0,0,(RD[[#This Row],[34 kV_F3_Im
Incomer1]]-DR36)*1000)</f>
        <v>500</v>
      </c>
      <c r="EJ37" s="146">
        <f>IF((RD[[#This Row],[33 kV_F4_Ex
Incomer2]]-DS36)*1000&lt;0,0,(RD[[#This Row],[33 kV_F4_Ex
Incomer2]]-DS36)*1000)</f>
        <v>134799.99999999563</v>
      </c>
      <c r="EK37" s="146">
        <f>IF((RD[[#This Row],[34 kV_F4_Im
Incomer2]]-DT36)*1000&lt;0,0,(RD[[#This Row],[34 kV_F4_Im
Incomer2]]-DT36)*1000)</f>
        <v>400.00000000000568</v>
      </c>
      <c r="EL37" s="146">
        <f>IF((RD[[#This Row],[33 kV_F5_Ex
Incomer3]]-DU36)*1000&lt;0,0,(RD[[#This Row],[33 kV_F5_Ex
Incomer3]]-DU36)*1000)</f>
        <v>172500</v>
      </c>
      <c r="EM37" s="146">
        <f>IF((RD[[#This Row],[34 kV_F5_Im
Incomer3]]-DV36)*1000&lt;0,0,(RD[[#This Row],[34 kV_F5_Im
Incomer3]]-DV36)*1000)</f>
        <v>500</v>
      </c>
      <c r="EN37" s="146">
        <f>IF((RD[[#This Row],[33 kV_F6_Ex
Incomer4]]-DW36)*1000&lt;0,0,(RD[[#This Row],[33 kV_F6_Ex
Incomer4]]-DW36)*1000)</f>
        <v>160400.00000000055</v>
      </c>
      <c r="EO37" s="146">
        <f>IF((RD[[#This Row],[33 kV_F6_Im
Incomer4]]-DX36)*1000&lt;0,0,(RD[[#This Row],[33 kV_F6_Im
Incomer4]]-DX36)*1000)</f>
        <v>1099.999999999998</v>
      </c>
      <c r="EP37" s="146">
        <f>IF((RD[[#This Row],[33 kV_F7_Ex
Incomer5]]-DY36)*1000&lt;0,0,(RD[[#This Row],[33 kV_F7_Ex
Incomer5]]-DY36)*1000)</f>
        <v>0</v>
      </c>
      <c r="EQ37" s="146">
        <f>IF((RD[[#This Row],[33 kV_F7_Im
Incomer5]]-DZ36)*1000&lt;0,0,(RD[[#This Row],[33 kV_F7_Im
Incomer5]]-DZ36)*1000)</f>
        <v>0</v>
      </c>
      <c r="ER37" s="146">
        <f>IF((RD[[#This Row],[33 kV_Aux Trafo]]-EA36)*1000&lt;0,0,(RD[[#This Row],[33 kV_Aux Trafo]]-EA36)*1000)</f>
        <v>339.9999999999892</v>
      </c>
      <c r="ES37" s="158">
        <f>IF((RD[[#This Row],[33kV_OG1_Ex_]]-EB36)*1&lt;0,0,(RD[[#This Row],[33kV_OG1_Ex_]]-EB36)*1)</f>
        <v>614171</v>
      </c>
      <c r="ET37" s="146">
        <f>IF((RD[[#This Row],[33kV_OG1_Im]]-EC36)*1&lt;0,0,(RD[[#This Row],[33kV_OG1_Im]]-EC36)*1)</f>
        <v>2668.9919999999693</v>
      </c>
      <c r="EU37" s="146">
        <f>IF((RD[[#This Row],[132kV_TX1_EX]]-ED36)*720&lt;=0,"",(RD[[#This Row],[132kV_TX1_EX]]-ED36)*720)</f>
        <v>2160</v>
      </c>
      <c r="EV37" s="146">
        <f>IF((RD[[#This Row],[132 kV_Tx1_Im]]-EE36)*720&lt;=0,0,(RD[[#This Row],[132 kV_Tx1_Im]]-EE36)*720)</f>
        <v>440640</v>
      </c>
      <c r="EW37" s="146">
        <f>IF((RD[[#This Row],[132kV_L1_Ex]]-EF36)*720&lt;=0,0,(RD[[#This Row],[132kV_L1_Ex]]-EF36)*720)</f>
        <v>612071.99999998324</v>
      </c>
      <c r="EX37" s="146">
        <f>IF((RD[[#This Row],[132kV_L1_Im]]-EG36)*720&lt;=0,0,(RD[[#This Row],[132kV_L1_Im]]-EG36)*720)</f>
        <v>3312.0000000000982</v>
      </c>
      <c r="EY37" s="242">
        <f>IFERROR(RD[[#This Row],[33kV_OG1_Ex (MWh)]]+RD[[#This Row],[33kV_OG1_Im (MWh)]],"")</f>
        <v>616839.99199999997</v>
      </c>
      <c r="EZ37" s="148">
        <f>RD[[#This Row],[33kV_OG1_Ex (MWh)]]-RD[[#This Row],[33kV_OG1_Im (MWh)]]</f>
        <v>611502.00800000003</v>
      </c>
      <c r="FA37" s="148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43">
        <f>IFERROR((RD[[#This Row],[Sunset Time (POA&lt;20 W/m2)]]-RD[[#This Row],[Sunrise Time (POA&gt;20 W/m2)]])*24,0)</f>
        <v>12.350000000000001</v>
      </c>
      <c r="FD37" s="244">
        <v>106</v>
      </c>
      <c r="FE37" t="s">
        <v>268</v>
      </c>
      <c r="FG37" s="144" t="str">
        <f>IFERROR(RD[[#This Row],[E_AC (WPR)]]/RD[[#This Row],[E_DC (WPR)]],"")</f>
        <v/>
      </c>
    </row>
    <row r="38" spans="1:163">
      <c r="A38" s="133">
        <f t="shared" si="157"/>
        <v>45778</v>
      </c>
      <c r="B38" s="138">
        <f>YEAR(RD[[#This Row],[Date]])+IF(MONTH(RD[[#This Row],[Date]])&gt;=4,1,0)</f>
        <v>2026</v>
      </c>
      <c r="C38" s="138">
        <f>YEAR(RD[[#This Row],[Date]])</f>
        <v>2025</v>
      </c>
      <c r="D38" s="139">
        <f t="shared" si="158"/>
        <v>45778</v>
      </c>
      <c r="E38" s="138">
        <f>DAY(EOMONTH(RD[[#This Row],[Date]],0))</f>
        <v>31</v>
      </c>
      <c r="F38" s="152">
        <v>0.25972222222222224</v>
      </c>
      <c r="G38" s="162">
        <v>0.77013888888888893</v>
      </c>
      <c r="H38" s="124">
        <v>8791.2000000000007</v>
      </c>
      <c r="I38" s="124">
        <v>8750.1</v>
      </c>
      <c r="J38" s="124">
        <v>8252.9</v>
      </c>
      <c r="K38" s="124">
        <v>8346.7000000000007</v>
      </c>
      <c r="L38" s="124">
        <v>8587.2999999999993</v>
      </c>
      <c r="M38" s="124">
        <v>8831.7999999999993</v>
      </c>
      <c r="N38" s="124">
        <v>8523.7999999999993</v>
      </c>
      <c r="O38" s="124">
        <v>9187.6</v>
      </c>
      <c r="P38" s="124">
        <v>8571.4</v>
      </c>
      <c r="Q38" s="124">
        <v>8484.6</v>
      </c>
      <c r="R38" s="124">
        <v>8749.6</v>
      </c>
      <c r="S38" s="124">
        <v>8725.4</v>
      </c>
      <c r="T38" s="124">
        <v>8991.4</v>
      </c>
      <c r="U38" s="124">
        <v>8706.7999999999993</v>
      </c>
      <c r="V38" s="124">
        <v>8942.4</v>
      </c>
      <c r="W38" s="124">
        <v>8728.6</v>
      </c>
      <c r="X38" s="203">
        <v>12207.9</v>
      </c>
      <c r="Y38" s="203">
        <v>13295.8</v>
      </c>
      <c r="Z38" s="203">
        <v>11746</v>
      </c>
      <c r="AA38" s="203">
        <v>12207.7</v>
      </c>
      <c r="AB38" s="203">
        <v>13204.2</v>
      </c>
      <c r="AC38" s="203">
        <v>8072.8</v>
      </c>
      <c r="AD38" s="203">
        <v>12289.5</v>
      </c>
      <c r="AE38" s="203">
        <v>12239.9</v>
      </c>
      <c r="AF38" s="203">
        <v>12196.9</v>
      </c>
      <c r="AG38" s="203">
        <v>12146.9</v>
      </c>
      <c r="AH38" s="203">
        <v>12231.6</v>
      </c>
      <c r="AI38" s="203">
        <v>12333.9</v>
      </c>
      <c r="AJ38" s="142">
        <v>10145</v>
      </c>
      <c r="AK38" s="142">
        <v>10411.5</v>
      </c>
      <c r="AL38" s="142">
        <v>10122.299999999999</v>
      </c>
      <c r="AM38" s="142">
        <v>10169.6</v>
      </c>
      <c r="AN38" s="142">
        <v>10177.4</v>
      </c>
      <c r="AO38" s="142">
        <v>10539.1</v>
      </c>
      <c r="AP38" s="142">
        <v>10340.299999999999</v>
      </c>
      <c r="AQ38" s="142">
        <v>10236.799999999999</v>
      </c>
      <c r="AR38" s="142">
        <v>8335.2999999999993</v>
      </c>
      <c r="AS38" s="142">
        <v>8402.2000000000007</v>
      </c>
      <c r="AT38" s="142">
        <v>8483.4</v>
      </c>
      <c r="AU38" s="142">
        <v>8412.5</v>
      </c>
      <c r="AV38" s="142">
        <v>8648</v>
      </c>
      <c r="AW38" s="142">
        <v>8496.5</v>
      </c>
      <c r="AX38" s="142">
        <v>11551.7</v>
      </c>
      <c r="AY38" s="142">
        <v>13067.4</v>
      </c>
      <c r="AZ38" s="142">
        <v>9559.5</v>
      </c>
      <c r="BA38" s="142">
        <v>11438.3</v>
      </c>
      <c r="BB38" s="142">
        <v>11783.5</v>
      </c>
      <c r="BC38" s="142">
        <v>9850.1</v>
      </c>
      <c r="BD38" s="142">
        <v>8095.2</v>
      </c>
      <c r="BE38" s="142">
        <v>11067.7</v>
      </c>
      <c r="BF38" s="142">
        <v>10767</v>
      </c>
      <c r="BG38" s="142">
        <v>11072</v>
      </c>
      <c r="BH38" s="142">
        <v>7309.9</v>
      </c>
      <c r="BI38" s="142">
        <v>4497.2</v>
      </c>
      <c r="BJ38" s="142">
        <v>7935.2</v>
      </c>
      <c r="BK38" s="142">
        <v>5894.5</v>
      </c>
      <c r="BL38" s="142">
        <v>7435</v>
      </c>
      <c r="BM38" s="142">
        <v>7400.8</v>
      </c>
      <c r="BN38" s="142">
        <v>7392.7</v>
      </c>
      <c r="BO38" s="142">
        <v>7848</v>
      </c>
      <c r="BP38" s="142">
        <v>7532.2</v>
      </c>
      <c r="BQ38" s="142">
        <v>6042.4</v>
      </c>
      <c r="BR38" s="142">
        <v>6009.8</v>
      </c>
      <c r="BS38" s="142">
        <v>0</v>
      </c>
      <c r="BT38" s="142">
        <v>2584.1</v>
      </c>
      <c r="BU38" s="142">
        <v>1205.4000000000001</v>
      </c>
      <c r="BV38" s="142"/>
      <c r="BW38" s="142"/>
      <c r="BX38" s="142"/>
      <c r="BY38" s="142"/>
      <c r="BZ38" s="142">
        <v>1273.8</v>
      </c>
      <c r="CA38" s="142">
        <v>1086</v>
      </c>
      <c r="CB38" s="142">
        <v>4590.8</v>
      </c>
      <c r="CC38" s="142">
        <v>8331.2999999999993</v>
      </c>
      <c r="CD38" s="59">
        <v>6.994897416666662</v>
      </c>
      <c r="CE38" s="59">
        <v>6.5940000000000003</v>
      </c>
      <c r="CF38" s="206">
        <v>7.0734290500000041</v>
      </c>
      <c r="CG38" s="206">
        <v>6.4720000000000004</v>
      </c>
      <c r="CH38" s="206">
        <v>0.96663731666666664</v>
      </c>
      <c r="CI38" s="206">
        <v>1.1379999999999999</v>
      </c>
      <c r="CJ38" s="59">
        <v>1.4080297000000026</v>
      </c>
      <c r="CK38" s="59">
        <v>1.236</v>
      </c>
      <c r="CL38" s="206">
        <v>34.279041309431015</v>
      </c>
      <c r="CM38" s="206">
        <v>34.417000000000002</v>
      </c>
      <c r="CN38" s="206">
        <v>47.072208106001497</v>
      </c>
      <c r="CO38" s="206">
        <v>44.051000000000002</v>
      </c>
      <c r="CP38" s="206">
        <v>24.857840997661746</v>
      </c>
      <c r="CQ38" s="206">
        <v>24.923999999999999</v>
      </c>
      <c r="CR38" s="59">
        <v>0</v>
      </c>
      <c r="CS38" s="59">
        <v>0</v>
      </c>
      <c r="CT38" s="206">
        <v>0.99899064692127781</v>
      </c>
      <c r="CU38" s="206">
        <v>1.103</v>
      </c>
      <c r="CV38" s="206">
        <v>3.0870000000000002</v>
      </c>
      <c r="CW38" s="258">
        <v>3.0510000000000002</v>
      </c>
      <c r="CX38" s="204">
        <f>IFERROR(AVERAGEIF(RD[[#This Row],[IS1POA1 (KWh/m2)]:[IS7POA2 (KWh/m2)]],"&lt;&gt;0",RD[[#This Row],[IS1POA1 (KWh/m2)]:[IS7POA2 (KWh/m2)]]),"")</f>
        <v>6.7944487083333307</v>
      </c>
      <c r="CY38" s="204">
        <f>IFERROR(AVERAGEIF(RD[[#This Row],[IS1GHI1 (KWh/m2)]:[IS7GHI2 (KWh/m2)]],"&lt;&gt;0",RD[[#This Row],[IS1GHI1 (KWh/m2)]:[IS7GHI2 (KWh/m2)]]),"")</f>
        <v>6.7727145250000023</v>
      </c>
      <c r="CZ38" s="204">
        <f>IFERROR(AVERAGEIF(RD[[#This Row],[IS1POA_BS1 (KWh/m2)]:[IS7POA_BS2 (KWh/m2)]],"&lt;&gt;0",RD[[#This Row],[IS1POA_BS1 (KWh/m2)]:[IS7POA_BS2 (KWh/m2)]]),"")</f>
        <v>1.0523186583333333</v>
      </c>
      <c r="DA38" s="204">
        <f>IFERROR(AVERAGEIF(RD[[#This Row],[IS1GHI_BS1 (KWh/m2)]:[IS1GHI_BS1 (KWh/m2)2]],"&lt;&gt;0",RD[[#This Row],[IS1GHI_BS1 (KWh/m2)]:[IS1GHI_BS1 (KWh/m2)2]]),"")</f>
        <v>1.3220148500000013</v>
      </c>
      <c r="DB38" s="204">
        <f>IFERROR(AVERAGEIF(RD[[#This Row],[IS1AT1 (°C)]:[IS7AT2 (°C)]],"&lt;&gt;0",RD[[#This Row],[IS1AT1 (°C)]:[IS7AT2 (°C)]]),"")</f>
        <v>34.348020654715512</v>
      </c>
      <c r="DC38" s="204">
        <f>IFERROR(AVERAGEIF(RD[[#This Row],[IS1MT1 (°C)]:[IS7MT2 (°C)]],"&lt;&gt;0",RD[[#This Row],[IS1MT1 (°C)]:[IS7MT2 (°C)]]),"")</f>
        <v>45.56160405300075</v>
      </c>
      <c r="DD38" s="204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204">
        <f>IFERROR(AVERAGEIF(RD[[#This Row],[WS_Solar1_Avg (m/s)]:[IS7_WS_Solar1_Avg (m/s)]],"&lt;&gt;0",RD[[#This Row],[WS_Solar1_Avg (m/s)]:[IS7_WS_Solar1_Avg (m/s)]]),"")</f>
        <v>1.0509953234606388</v>
      </c>
      <c r="DG38" s="204">
        <f>IFERROR(AVERAGEIF(RD[[#This Row],[WS_Solar1_Max (m/s)]:[IS7_WS_Solar1_Max (m/s)]],"&lt;&gt;0",RD[[#This Row],[WS_Solar1_Max (m/s)]:[IS7_WS_Solar1_Max (m/s)]]),"")</f>
        <v>3.069</v>
      </c>
      <c r="DH38" s="204">
        <f>SUM(RD[[#This Row],[IS1Inv1M1]:[IS4Inv4M2]])</f>
        <v>283344.7</v>
      </c>
      <c r="DI38" s="205">
        <f>SUM(RD[[#This Row],[IS7Inv1M1]]+RD[[#This Row],[IS7Inv2M1]])</f>
        <v>16737.5</v>
      </c>
      <c r="DJ38" s="204">
        <f>SUM(RD[[#This Row],[IS5Inv1M1]:[IS5Inv2M2]])</f>
        <v>40848.400000000001</v>
      </c>
      <c r="DK38" s="204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86">
        <f>SUM(RD[[#This Row],[IS12Inv1M1]:[IS12Inv1M4]])</f>
        <v>28815.300000000003</v>
      </c>
      <c r="DO38" s="286">
        <f>SUM(RD[[#This Row],[IS13Inv1M1]:[IS13Inv2M2]])</f>
        <v>9799.2999999999993</v>
      </c>
      <c r="DP38" s="204">
        <f>SUM(RD[[#This Row],[O2R15]:[O2R26]])</f>
        <v>618886.10000000009</v>
      </c>
      <c r="DQ38" s="164">
        <v>38323.199999999997</v>
      </c>
      <c r="DR38" s="168">
        <v>205.3</v>
      </c>
      <c r="DS38" s="164">
        <v>33009.699999999997</v>
      </c>
      <c r="DT38" s="164">
        <v>217.6</v>
      </c>
      <c r="DU38" s="168">
        <v>38146.699999999997</v>
      </c>
      <c r="DV38" s="168">
        <v>391.2</v>
      </c>
      <c r="DW38" s="164">
        <v>6165.1</v>
      </c>
      <c r="DX38" s="168">
        <v>28.1</v>
      </c>
      <c r="DY38" s="168"/>
      <c r="DZ38" s="168"/>
      <c r="EA38" s="140">
        <v>90.59</v>
      </c>
      <c r="EB38" s="241">
        <v>118956154</v>
      </c>
      <c r="EC38" s="240">
        <v>898801.66</v>
      </c>
      <c r="ED38" s="241">
        <v>1076</v>
      </c>
      <c r="EE38" s="241">
        <v>113283</v>
      </c>
      <c r="EF38" s="164">
        <v>164994.1</v>
      </c>
      <c r="EG38" s="164">
        <v>1769</v>
      </c>
      <c r="EH38" s="146">
        <f>IF((RD[[#This Row],[33 kV_F3_Ex
Incomer1]]-DQ37)*1000&lt;0,0,(RD[[#This Row],[33 kV_F3_Ex
Incomer1]]-DQ37)*1000)</f>
        <v>143099.99999999854</v>
      </c>
      <c r="EI38" s="146">
        <f>IF((RD[[#This Row],[34 kV_F3_Im
Incomer1]]-DR37)*1000&lt;0,0,(RD[[#This Row],[34 kV_F3_Im
Incomer1]]-DR37)*1000)</f>
        <v>100.00000000002274</v>
      </c>
      <c r="EJ38" s="146">
        <f>IF((RD[[#This Row],[33 kV_F4_Ex
Incomer2]]-DS37)*1000&lt;0,0,(RD[[#This Row],[33 kV_F4_Ex
Incomer2]]-DS37)*1000)</f>
        <v>135000</v>
      </c>
      <c r="EK38" s="146">
        <f>IF((RD[[#This Row],[34 kV_F4_Im
Incomer2]]-DT37)*1000&lt;0,0,(RD[[#This Row],[34 kV_F4_Im
Incomer2]]-DT37)*1000)</f>
        <v>199.99999999998863</v>
      </c>
      <c r="EL38" s="146">
        <f>IF((RD[[#This Row],[33 kV_F5_Ex
Incomer3]]-DU37)*1000&lt;0,0,(RD[[#This Row],[33 kV_F5_Ex
Incomer3]]-DU37)*1000)</f>
        <v>175799.99999999563</v>
      </c>
      <c r="EM38" s="146">
        <f>IF((RD[[#This Row],[34 kV_F5_Im
Incomer3]]-DV37)*1000&lt;0,0,(RD[[#This Row],[34 kV_F5_Im
Incomer3]]-DV37)*1000)</f>
        <v>199.99999999998863</v>
      </c>
      <c r="EN38" s="146">
        <f>IF((RD[[#This Row],[33 kV_F6_Ex
Incomer4]]-DW37)*1000&lt;0,0,(RD[[#This Row],[33 kV_F6_Ex
Incomer4]]-DW37)*1000)</f>
        <v>156000</v>
      </c>
      <c r="EO38" s="146">
        <f>IF((RD[[#This Row],[33 kV_F6_Im
Incomer4]]-DX37)*1000&lt;0,0,(RD[[#This Row],[33 kV_F6_Im
Incomer4]]-DX37)*1000)</f>
        <v>200.00000000000284</v>
      </c>
      <c r="EP38" s="146">
        <f>IF((RD[[#This Row],[33 kV_F7_Ex
Incomer5]]-DY37)*1000&lt;0,0,(RD[[#This Row],[33 kV_F7_Ex
Incomer5]]-DY37)*1000)</f>
        <v>0</v>
      </c>
      <c r="EQ38" s="146">
        <f>IF((RD[[#This Row],[33 kV_F7_Im
Incomer5]]-DZ37)*1000&lt;0,0,(RD[[#This Row],[33 kV_F7_Im
Incomer5]]-DZ37)*1000)</f>
        <v>0</v>
      </c>
      <c r="ER38" s="146">
        <f>IF((RD[[#This Row],[33 kV_Aux Trafo]]-EA37)*1000&lt;0,0,(RD[[#This Row],[33 kV_Aux Trafo]]-EA37)*1000)</f>
        <v>210.00000000000796</v>
      </c>
      <c r="ES38" s="158">
        <f>IF((RD[[#This Row],[33kV_OG1_Ex_]]-EB37)*1&lt;0,0,(RD[[#This Row],[33kV_OG1_Ex_]]-EB37)*1)</f>
        <v>610279</v>
      </c>
      <c r="ET38" s="146">
        <f>IF((RD[[#This Row],[33kV_OG1_Im]]-EC37)*1&lt;0,0,(RD[[#This Row],[33kV_OG1_Im]]-EC37)*1)</f>
        <v>781.05200000002515</v>
      </c>
      <c r="EU38" s="146">
        <f>IF((RD[[#This Row],[132kV_TX1_EX]]-ED37)*720&lt;=0,"",(RD[[#This Row],[132kV_TX1_EX]]-ED37)*720)</f>
        <v>720</v>
      </c>
      <c r="EV38" s="146">
        <f>IF((RD[[#This Row],[132 kV_Tx1_Im]]-EE37)*720&lt;=0,0,(RD[[#This Row],[132 kV_Tx1_Im]]-EE37)*720)</f>
        <v>437760</v>
      </c>
      <c r="EW38" s="146">
        <f>IF((RD[[#This Row],[132kV_L1_Ex]]-EF37)*720&lt;=0,0,(RD[[#This Row],[132kV_L1_Ex]]-EF37)*720)</f>
        <v>608256.00000001257</v>
      </c>
      <c r="EX38" s="146">
        <f>IF((RD[[#This Row],[132kV_L1_Im]]-EG37)*720&lt;=0,0,(RD[[#This Row],[132kV_L1_Im]]-EG37)*720)</f>
        <v>935.99999999996726</v>
      </c>
      <c r="EY38" s="242">
        <f>IFERROR(RD[[#This Row],[33kV_OG1_Ex (MWh)]]+RD[[#This Row],[33kV_OG1_Im (MWh)]],"")</f>
        <v>611060.05200000003</v>
      </c>
      <c r="EZ38" s="148">
        <f>RD[[#This Row],[33kV_OG1_Ex (MWh)]]-RD[[#This Row],[33kV_OG1_Im (MWh)]]</f>
        <v>609497.94799999997</v>
      </c>
      <c r="FA38" s="148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43">
        <f>IFERROR((RD[[#This Row],[Sunset Time (POA&lt;20 W/m2)]]-RD[[#This Row],[Sunrise Time (POA&gt;20 W/m2)]])*24,0)</f>
        <v>12.250000000000002</v>
      </c>
      <c r="FD38" s="244">
        <v>106</v>
      </c>
      <c r="FE38" t="s">
        <v>268</v>
      </c>
      <c r="FG38" s="144" t="str">
        <f>IFERROR(RD[[#This Row],[E_AC (WPR)]]/RD[[#This Row],[E_DC (WPR)]],"")</f>
        <v/>
      </c>
    </row>
    <row r="39" spans="1:163">
      <c r="A39" s="133">
        <f t="shared" si="157"/>
        <v>45779</v>
      </c>
      <c r="B39" s="138">
        <f>YEAR(RD[[#This Row],[Date]])+IF(MONTH(RD[[#This Row],[Date]])&gt;=4,1,0)</f>
        <v>2026</v>
      </c>
      <c r="C39" s="138">
        <f>YEAR(RD[[#This Row],[Date]])</f>
        <v>2025</v>
      </c>
      <c r="D39" s="139">
        <f t="shared" si="158"/>
        <v>45778</v>
      </c>
      <c r="E39" s="138">
        <f>DAY(EOMONTH(RD[[#This Row],[Date]],0))</f>
        <v>31</v>
      </c>
      <c r="F39" s="152">
        <v>0.25972222222222224</v>
      </c>
      <c r="G39" s="162">
        <v>0.76458333333333328</v>
      </c>
      <c r="H39" s="124">
        <v>8440.5</v>
      </c>
      <c r="I39" s="124">
        <v>8429.9</v>
      </c>
      <c r="J39" s="124">
        <v>8032.9</v>
      </c>
      <c r="K39" s="124">
        <v>8090.2</v>
      </c>
      <c r="L39" s="124">
        <v>8297.1</v>
      </c>
      <c r="M39" s="124">
        <v>8510.5</v>
      </c>
      <c r="N39" s="124">
        <v>8296.9</v>
      </c>
      <c r="O39" s="124">
        <v>8828.4</v>
      </c>
      <c r="P39" s="124">
        <v>8227.5</v>
      </c>
      <c r="Q39" s="124">
        <v>8228.5</v>
      </c>
      <c r="R39" s="124">
        <v>8512</v>
      </c>
      <c r="S39" s="124">
        <v>8439.2999999999993</v>
      </c>
      <c r="T39" s="124">
        <v>8640.6</v>
      </c>
      <c r="U39" s="124">
        <v>8467</v>
      </c>
      <c r="V39" s="124">
        <v>8635.2000000000007</v>
      </c>
      <c r="W39" s="124">
        <v>8443</v>
      </c>
      <c r="X39" s="203">
        <v>11989.6</v>
      </c>
      <c r="Y39" s="203">
        <v>12916.3</v>
      </c>
      <c r="Z39" s="203">
        <v>11504.6</v>
      </c>
      <c r="AA39" s="203">
        <v>11939.7</v>
      </c>
      <c r="AB39" s="203">
        <v>12876.4</v>
      </c>
      <c r="AC39" s="203">
        <v>8040.9</v>
      </c>
      <c r="AD39" s="203">
        <v>12101.2</v>
      </c>
      <c r="AE39" s="203">
        <v>12059.2</v>
      </c>
      <c r="AF39" s="203">
        <v>12001.7</v>
      </c>
      <c r="AG39" s="203">
        <v>11971.6</v>
      </c>
      <c r="AH39" s="203">
        <v>12028.1</v>
      </c>
      <c r="AI39" s="203">
        <v>12101</v>
      </c>
      <c r="AJ39" s="142">
        <v>9989.2999999999993</v>
      </c>
      <c r="AK39" s="142">
        <v>10214.9</v>
      </c>
      <c r="AL39" s="142">
        <v>9918</v>
      </c>
      <c r="AM39" s="142">
        <v>10012.200000000001</v>
      </c>
      <c r="AN39" s="142">
        <v>9922.6</v>
      </c>
      <c r="AO39" s="142">
        <v>10249.200000000001</v>
      </c>
      <c r="AP39" s="142">
        <v>10086.5</v>
      </c>
      <c r="AQ39" s="142">
        <v>9964.2999999999993</v>
      </c>
      <c r="AR39" s="142">
        <v>8058.3</v>
      </c>
      <c r="AS39" s="142">
        <v>8132.7</v>
      </c>
      <c r="AT39" s="142">
        <v>8209.2000000000007</v>
      </c>
      <c r="AU39" s="142">
        <v>8174.1</v>
      </c>
      <c r="AV39" s="142">
        <v>8335.2000000000007</v>
      </c>
      <c r="AW39" s="142">
        <v>8208.2000000000007</v>
      </c>
      <c r="AX39" s="142">
        <v>11368.8</v>
      </c>
      <c r="AY39" s="142">
        <v>12731.5</v>
      </c>
      <c r="AZ39" s="142">
        <v>9297.9</v>
      </c>
      <c r="BA39" s="142">
        <v>11102.9</v>
      </c>
      <c r="BB39" s="142">
        <v>11279.9</v>
      </c>
      <c r="BC39" s="142">
        <v>9405.5</v>
      </c>
      <c r="BD39" s="142">
        <v>7761.8</v>
      </c>
      <c r="BE39" s="142">
        <v>10624</v>
      </c>
      <c r="BF39" s="142">
        <v>10656</v>
      </c>
      <c r="BG39" s="142">
        <v>11054</v>
      </c>
      <c r="BH39" s="142">
        <v>6976.2</v>
      </c>
      <c r="BI39" s="142">
        <v>4397.3</v>
      </c>
      <c r="BJ39" s="142">
        <v>7600.7</v>
      </c>
      <c r="BK39" s="142">
        <v>5683.8</v>
      </c>
      <c r="BL39" s="142">
        <v>7137</v>
      </c>
      <c r="BM39" s="142">
        <v>7096</v>
      </c>
      <c r="BN39" s="142">
        <v>7080.2</v>
      </c>
      <c r="BO39" s="142">
        <v>7497.9</v>
      </c>
      <c r="BP39" s="142">
        <v>7229.7</v>
      </c>
      <c r="BQ39" s="142">
        <v>5831.3</v>
      </c>
      <c r="BR39" s="142">
        <v>5742.8</v>
      </c>
      <c r="BS39" s="142">
        <v>0</v>
      </c>
      <c r="BT39" s="142">
        <v>2476.9</v>
      </c>
      <c r="BU39" s="142">
        <v>1155.2</v>
      </c>
      <c r="BV39" s="142"/>
      <c r="BW39" s="142"/>
      <c r="BX39" s="142"/>
      <c r="BY39" s="142"/>
      <c r="BZ39" s="142">
        <v>1212.9000000000001</v>
      </c>
      <c r="CA39" s="142">
        <v>1032.7</v>
      </c>
      <c r="CB39" s="142">
        <v>4373.8</v>
      </c>
      <c r="CC39" s="142">
        <v>7967.3</v>
      </c>
      <c r="CD39" s="59">
        <v>6.8395193999999941</v>
      </c>
      <c r="CE39" s="59">
        <v>6.3734125333333305</v>
      </c>
      <c r="CF39" s="206">
        <v>6.844666333333338</v>
      </c>
      <c r="CG39" s="206">
        <v>6.2487811500000019</v>
      </c>
      <c r="CH39" s="206">
        <v>0.98367576666666645</v>
      </c>
      <c r="CI39" s="206">
        <v>1.0726770833333334</v>
      </c>
      <c r="CJ39" s="59">
        <v>1.3549220999999994</v>
      </c>
      <c r="CK39" s="59">
        <v>1.1838870666666668</v>
      </c>
      <c r="CL39" s="206">
        <v>35.045701168614279</v>
      </c>
      <c r="CM39" s="206">
        <v>35.006980079681334</v>
      </c>
      <c r="CN39" s="206">
        <v>48.127869782971636</v>
      </c>
      <c r="CO39" s="206">
        <v>45.536712350597625</v>
      </c>
      <c r="CP39" s="206">
        <v>21.831010016694488</v>
      </c>
      <c r="CQ39" s="206">
        <v>23.344908366533858</v>
      </c>
      <c r="CR39" s="59">
        <v>0</v>
      </c>
      <c r="CS39" s="59">
        <v>0</v>
      </c>
      <c r="CT39" s="206">
        <v>1.2089899833055107</v>
      </c>
      <c r="CU39" s="206">
        <v>1.2594956175298808</v>
      </c>
      <c r="CV39" s="206">
        <v>3.093</v>
      </c>
      <c r="CW39" s="258">
        <v>3.609</v>
      </c>
      <c r="CX39" s="204">
        <f>IFERROR(AVERAGEIF(RD[[#This Row],[IS1POA1 (KWh/m2)]:[IS7POA2 (KWh/m2)]],"&lt;&gt;0",RD[[#This Row],[IS1POA1 (KWh/m2)]:[IS7POA2 (KWh/m2)]]),"")</f>
        <v>6.6064659666666623</v>
      </c>
      <c r="CY39" s="204">
        <f>IFERROR(AVERAGEIF(RD[[#This Row],[IS1GHI1 (KWh/m2)]:[IS7GHI2 (KWh/m2)]],"&lt;&gt;0",RD[[#This Row],[IS1GHI1 (KWh/m2)]:[IS7GHI2 (KWh/m2)]]),"")</f>
        <v>6.5467237416666695</v>
      </c>
      <c r="CZ39" s="204">
        <f>IFERROR(AVERAGEIF(RD[[#This Row],[IS1POA_BS1 (KWh/m2)]:[IS7POA_BS2 (KWh/m2)]],"&lt;&gt;0",RD[[#This Row],[IS1POA_BS1 (KWh/m2)]:[IS7POA_BS2 (KWh/m2)]]),"")</f>
        <v>1.0281764249999998</v>
      </c>
      <c r="DA39" s="204">
        <f>IFERROR(AVERAGEIF(RD[[#This Row],[IS1GHI_BS1 (KWh/m2)]:[IS1GHI_BS1 (KWh/m2)2]],"&lt;&gt;0",RD[[#This Row],[IS1GHI_BS1 (KWh/m2)]:[IS1GHI_BS1 (KWh/m2)2]]),"")</f>
        <v>1.2694045833333329</v>
      </c>
      <c r="DB39" s="204">
        <f>IFERROR(AVERAGEIF(RD[[#This Row],[IS1AT1 (°C)]:[IS7AT2 (°C)]],"&lt;&gt;0",RD[[#This Row],[IS1AT1 (°C)]:[IS7AT2 (°C)]]),"")</f>
        <v>35.026340624147807</v>
      </c>
      <c r="DC39" s="204">
        <f>IFERROR(AVERAGEIF(RD[[#This Row],[IS1MT1 (°C)]:[IS7MT2 (°C)]],"&lt;&gt;0",RD[[#This Row],[IS1MT1 (°C)]:[IS7MT2 (°C)]]),"")</f>
        <v>46.832291066784634</v>
      </c>
      <c r="DD39" s="204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204">
        <f>IFERROR(AVERAGEIF(RD[[#This Row],[WS_Solar1_Avg (m/s)]:[IS7_WS_Solar1_Avg (m/s)]],"&lt;&gt;0",RD[[#This Row],[WS_Solar1_Avg (m/s)]:[IS7_WS_Solar1_Avg (m/s)]]),"")</f>
        <v>1.2342428004176957</v>
      </c>
      <c r="DG39" s="204">
        <f>IFERROR(AVERAGEIF(RD[[#This Row],[WS_Solar1_Max (m/s)]:[IS7_WS_Solar1_Max (m/s)]],"&lt;&gt;0",RD[[#This Row],[WS_Solar1_Max (m/s)]:[IS7_WS_Solar1_Max (m/s)]]),"")</f>
        <v>3.351</v>
      </c>
      <c r="DH39" s="204">
        <f>SUM(RD[[#This Row],[IS1Inv1M1]:[IS4Inv4M2]])</f>
        <v>276049.80000000005</v>
      </c>
      <c r="DI39" s="205">
        <f>SUM(RD[[#This Row],[IS7Inv1M1]]+RD[[#This Row],[IS7Inv2M1]])</f>
        <v>16191</v>
      </c>
      <c r="DJ39" s="204">
        <f>SUM(RD[[#This Row],[IS5Inv1M1]:[IS5Inv2M2]])</f>
        <v>40134.399999999994</v>
      </c>
      <c r="DK39" s="204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86">
        <f>SUM(RD[[#This Row],[IS12Inv1M1]:[IS12Inv1M4]])</f>
        <v>27639.1</v>
      </c>
      <c r="DO39" s="286">
        <f>SUM(RD[[#This Row],[IS13Inv1M1]:[IS13Inv2M2]])</f>
        <v>9374.9000000000015</v>
      </c>
      <c r="DP39" s="204">
        <f>SUM(RD[[#This Row],[O2R15]:[O2R26]])</f>
        <v>601298.50000000012</v>
      </c>
      <c r="DQ39" s="164">
        <v>38463.599999999999</v>
      </c>
      <c r="DR39" s="168">
        <v>205.7</v>
      </c>
      <c r="DS39" s="164">
        <v>33140.5</v>
      </c>
      <c r="DT39" s="164">
        <v>217.9</v>
      </c>
      <c r="DU39" s="168">
        <v>38318</v>
      </c>
      <c r="DV39" s="168">
        <v>391.8</v>
      </c>
      <c r="DW39" s="164">
        <v>6314.5</v>
      </c>
      <c r="DX39" s="168">
        <v>28.9</v>
      </c>
      <c r="DY39" s="168"/>
      <c r="DZ39" s="168"/>
      <c r="EA39" s="140">
        <v>90.91</v>
      </c>
      <c r="EB39" s="241">
        <v>119548133</v>
      </c>
      <c r="EC39" s="240">
        <v>901027.71200000006</v>
      </c>
      <c r="ED39" s="241">
        <v>1079</v>
      </c>
      <c r="EE39" s="241">
        <v>113872</v>
      </c>
      <c r="EF39" s="164">
        <v>165813.5</v>
      </c>
      <c r="EG39" s="164">
        <v>1772.9</v>
      </c>
      <c r="EH39" s="146">
        <f>IF((RD[[#This Row],[33 kV_F3_Ex
Incomer1]]-DQ38)*1000&lt;0,0,(RD[[#This Row],[33 kV_F3_Ex
Incomer1]]-DQ38)*1000)</f>
        <v>140400.00000000146</v>
      </c>
      <c r="EI39" s="146">
        <f>IF((RD[[#This Row],[34 kV_F3_Im
Incomer1]]-DR38)*1000&lt;0,0,(RD[[#This Row],[34 kV_F3_Im
Incomer1]]-DR38)*1000)</f>
        <v>399.99999999997726</v>
      </c>
      <c r="EJ39" s="146">
        <f>IF((RD[[#This Row],[33 kV_F4_Ex
Incomer2]]-DS38)*1000&lt;0,0,(RD[[#This Row],[33 kV_F4_Ex
Incomer2]]-DS38)*1000)</f>
        <v>130800.00000000291</v>
      </c>
      <c r="EK39" s="146">
        <f>IF((RD[[#This Row],[34 kV_F4_Im
Incomer2]]-DT38)*1000&lt;0,0,(RD[[#This Row],[34 kV_F4_Im
Incomer2]]-DT38)*1000)</f>
        <v>300.00000000001137</v>
      </c>
      <c r="EL39" s="146">
        <f>IF((RD[[#This Row],[33 kV_F5_Ex
Incomer3]]-DU38)*1000&lt;0,0,(RD[[#This Row],[33 kV_F5_Ex
Incomer3]]-DU38)*1000)</f>
        <v>171300.00000000291</v>
      </c>
      <c r="EM39" s="146">
        <f>IF((RD[[#This Row],[34 kV_F5_Im
Incomer3]]-DV38)*1000&lt;0,0,(RD[[#This Row],[34 kV_F5_Im
Incomer3]]-DV38)*1000)</f>
        <v>600.00000000002274</v>
      </c>
      <c r="EN39" s="146">
        <f>IF((RD[[#This Row],[33 kV_F6_Ex
Incomer4]]-DW38)*1000&lt;0,0,(RD[[#This Row],[33 kV_F6_Ex
Incomer4]]-DW38)*1000)</f>
        <v>149399.99999999965</v>
      </c>
      <c r="EO39" s="146">
        <f>IF((RD[[#This Row],[33 kV_F6_Im
Incomer4]]-DX38)*1000&lt;0,0,(RD[[#This Row],[33 kV_F6_Im
Incomer4]]-DX38)*1000)</f>
        <v>799.99999999999716</v>
      </c>
      <c r="EP39" s="146">
        <f>IF((RD[[#This Row],[33 kV_F7_Ex
Incomer5]]-DY38)*1000&lt;0,0,(RD[[#This Row],[33 kV_F7_Ex
Incomer5]]-DY38)*1000)</f>
        <v>0</v>
      </c>
      <c r="EQ39" s="146">
        <f>IF((RD[[#This Row],[33 kV_F7_Im
Incomer5]]-DZ38)*1000&lt;0,0,(RD[[#This Row],[33 kV_F7_Im
Incomer5]]-DZ38)*1000)</f>
        <v>0</v>
      </c>
      <c r="ER39" s="146">
        <f>IF((RD[[#This Row],[33 kV_Aux Trafo]]-EA38)*1000&lt;0,0,(RD[[#This Row],[33 kV_Aux Trafo]]-EA38)*1000)</f>
        <v>319.99999999999318</v>
      </c>
      <c r="ES39" s="158">
        <f>IF((RD[[#This Row],[33kV_OG1_Ex_]]-EB38)*1&lt;0,0,(RD[[#This Row],[33kV_OG1_Ex_]]-EB38)*1)</f>
        <v>591979</v>
      </c>
      <c r="ET39" s="146">
        <f>IF((RD[[#This Row],[33kV_OG1_Im]]-EC38)*1&lt;0,0,(RD[[#This Row],[33kV_OG1_Im]]-EC38)*1)</f>
        <v>2226.0520000000251</v>
      </c>
      <c r="EU39" s="146">
        <f>IF((RD[[#This Row],[132kV_TX1_EX]]-ED38)*720&lt;=0,"",(RD[[#This Row],[132kV_TX1_EX]]-ED38)*720)</f>
        <v>2160</v>
      </c>
      <c r="EV39" s="146">
        <f>IF((RD[[#This Row],[132 kV_Tx1_Im]]-EE38)*720&lt;=0,0,(RD[[#This Row],[132 kV_Tx1_Im]]-EE38)*720)</f>
        <v>424080</v>
      </c>
      <c r="EW39" s="146">
        <f>IF((RD[[#This Row],[132kV_L1_Ex]]-EF38)*720&lt;=0,0,(RD[[#This Row],[132kV_L1_Ex]]-EF38)*720)</f>
        <v>589967.99999999581</v>
      </c>
      <c r="EX39" s="146">
        <f>IF((RD[[#This Row],[132kV_L1_Im]]-EG38)*720&lt;=0,0,(RD[[#This Row],[132kV_L1_Im]]-EG38)*720)</f>
        <v>2808.0000000000655</v>
      </c>
      <c r="EY39" s="242">
        <f>IFERROR(RD[[#This Row],[33kV_OG1_Ex (MWh)]]+RD[[#This Row],[33kV_OG1_Im (MWh)]],"")</f>
        <v>594205.05200000003</v>
      </c>
      <c r="EZ39" s="148">
        <f>RD[[#This Row],[33kV_OG1_Ex (MWh)]]-RD[[#This Row],[33kV_OG1_Im (MWh)]]</f>
        <v>589752.94799999997</v>
      </c>
      <c r="FA39" s="148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43">
        <f>IFERROR((RD[[#This Row],[Sunset Time (POA&lt;20 W/m2)]]-RD[[#This Row],[Sunrise Time (POA&gt;20 W/m2)]])*24,0)</f>
        <v>12.116666666666664</v>
      </c>
      <c r="FD39" s="244">
        <v>106</v>
      </c>
      <c r="FE39" t="s">
        <v>265</v>
      </c>
      <c r="FG39" s="144" t="str">
        <f>IFERROR(RD[[#This Row],[E_AC (WPR)]]/RD[[#This Row],[E_DC (WPR)]],"")</f>
        <v/>
      </c>
    </row>
    <row r="40" spans="1:163">
      <c r="A40" s="133">
        <f t="shared" si="157"/>
        <v>45780</v>
      </c>
      <c r="B40" s="138">
        <f>YEAR(RD[[#This Row],[Date]])+IF(MONTH(RD[[#This Row],[Date]])&gt;=4,1,0)</f>
        <v>2026</v>
      </c>
      <c r="C40" s="138">
        <f>YEAR(RD[[#This Row],[Date]])</f>
        <v>2025</v>
      </c>
      <c r="D40" s="139">
        <f t="shared" si="158"/>
        <v>45778</v>
      </c>
      <c r="E40" s="138">
        <f>DAY(EOMONTH(RD[[#This Row],[Date]],0))</f>
        <v>31</v>
      </c>
      <c r="F40" s="152">
        <v>0.25833333333333336</v>
      </c>
      <c r="G40" s="162">
        <v>0.77013888888888893</v>
      </c>
      <c r="H40" s="124">
        <v>8397.4</v>
      </c>
      <c r="I40" s="124">
        <v>8262.7000000000007</v>
      </c>
      <c r="J40" s="124">
        <v>7810.7</v>
      </c>
      <c r="K40" s="124">
        <v>8074.8</v>
      </c>
      <c r="L40" s="124">
        <v>8287.7000000000007</v>
      </c>
      <c r="M40" s="124">
        <v>8511.4</v>
      </c>
      <c r="N40" s="124">
        <v>8245.9</v>
      </c>
      <c r="O40" s="124">
        <v>8884.4</v>
      </c>
      <c r="P40" s="124">
        <v>8053.5</v>
      </c>
      <c r="Q40" s="124">
        <v>8060</v>
      </c>
      <c r="R40" s="124">
        <v>8306.4</v>
      </c>
      <c r="S40" s="124">
        <v>8129.9</v>
      </c>
      <c r="T40" s="124">
        <v>8424</v>
      </c>
      <c r="U40" s="124">
        <v>8210</v>
      </c>
      <c r="V40" s="124">
        <v>8423.1</v>
      </c>
      <c r="W40" s="124">
        <v>8139.9</v>
      </c>
      <c r="X40" s="203">
        <v>11358.9</v>
      </c>
      <c r="Y40" s="203">
        <v>12339.9</v>
      </c>
      <c r="Z40" s="203">
        <v>11011.7</v>
      </c>
      <c r="AA40" s="203">
        <v>11496.5</v>
      </c>
      <c r="AB40" s="203">
        <v>12312</v>
      </c>
      <c r="AC40" s="203">
        <v>7667.7</v>
      </c>
      <c r="AD40" s="203">
        <v>11504.3</v>
      </c>
      <c r="AE40" s="203">
        <v>11589.4</v>
      </c>
      <c r="AF40" s="203">
        <v>11396.2</v>
      </c>
      <c r="AG40" s="203">
        <v>11727</v>
      </c>
      <c r="AH40" s="203">
        <v>11445.7</v>
      </c>
      <c r="AI40" s="203">
        <v>11508.6</v>
      </c>
      <c r="AJ40" s="142">
        <v>10052.799999999999</v>
      </c>
      <c r="AK40" s="142">
        <v>10262.9</v>
      </c>
      <c r="AL40" s="142">
        <v>10099.200000000001</v>
      </c>
      <c r="AM40" s="142">
        <v>10138.5</v>
      </c>
      <c r="AN40" s="142">
        <v>8626.2999999999993</v>
      </c>
      <c r="AO40" s="142">
        <v>8908.4</v>
      </c>
      <c r="AP40" s="142">
        <v>8771</v>
      </c>
      <c r="AQ40" s="142">
        <v>8674.7999999999993</v>
      </c>
      <c r="AR40" s="142">
        <v>8164.8</v>
      </c>
      <c r="AS40" s="142">
        <v>8200.9</v>
      </c>
      <c r="AT40" s="142">
        <v>8327.2999999999993</v>
      </c>
      <c r="AU40" s="142">
        <v>8297.2999999999993</v>
      </c>
      <c r="AV40" s="142">
        <v>8440.2000000000007</v>
      </c>
      <c r="AW40" s="142">
        <v>8291</v>
      </c>
      <c r="AX40" s="142">
        <v>11474.2</v>
      </c>
      <c r="AY40" s="142">
        <v>12684.2</v>
      </c>
      <c r="AZ40" s="142">
        <v>9407.5</v>
      </c>
      <c r="BA40" s="142">
        <v>11279.8</v>
      </c>
      <c r="BB40" s="142">
        <v>10819.9</v>
      </c>
      <c r="BC40" s="142">
        <v>9086.2000000000007</v>
      </c>
      <c r="BD40" s="142">
        <v>7473</v>
      </c>
      <c r="BE40" s="142">
        <v>10174.4</v>
      </c>
      <c r="BF40" s="142">
        <v>10948.5</v>
      </c>
      <c r="BG40" s="142">
        <v>11110.5</v>
      </c>
      <c r="BH40" s="142">
        <v>6823</v>
      </c>
      <c r="BI40" s="142">
        <v>4139.7</v>
      </c>
      <c r="BJ40" s="142">
        <v>7310.1</v>
      </c>
      <c r="BK40" s="142">
        <v>5430.4</v>
      </c>
      <c r="BL40" s="142">
        <v>6834.6</v>
      </c>
      <c r="BM40" s="142">
        <v>6788.8</v>
      </c>
      <c r="BN40" s="142">
        <v>6888</v>
      </c>
      <c r="BO40" s="142">
        <v>7309.4</v>
      </c>
      <c r="BP40" s="142">
        <v>7103.3</v>
      </c>
      <c r="BQ40" s="142">
        <v>5697.9</v>
      </c>
      <c r="BR40" s="142">
        <v>5345.6</v>
      </c>
      <c r="BS40" s="142">
        <v>945.2</v>
      </c>
      <c r="BT40" s="142">
        <v>2405.1999999999998</v>
      </c>
      <c r="BU40" s="142">
        <v>1134.5</v>
      </c>
      <c r="BV40" s="142"/>
      <c r="BW40" s="142"/>
      <c r="BX40" s="142"/>
      <c r="BY40" s="142"/>
      <c r="BZ40" s="142">
        <v>1183.2</v>
      </c>
      <c r="CA40" s="142">
        <v>1009</v>
      </c>
      <c r="CB40" s="142">
        <v>4281.3999999999996</v>
      </c>
      <c r="CC40" s="142">
        <v>7755.2</v>
      </c>
      <c r="CD40" s="59">
        <v>6.7846378666666647</v>
      </c>
      <c r="CE40" s="59">
        <v>6.473088566666652</v>
      </c>
      <c r="CF40" s="206">
        <v>6.8618392166666569</v>
      </c>
      <c r="CG40" s="206">
        <v>6.6160032833333338</v>
      </c>
      <c r="CH40" s="206">
        <v>0.92739333333333229</v>
      </c>
      <c r="CI40" s="206">
        <v>1.1396934833333345</v>
      </c>
      <c r="CJ40" s="59">
        <v>1.3816905833333346</v>
      </c>
      <c r="CK40" s="59">
        <v>1.2308757333333333</v>
      </c>
      <c r="CL40" s="206">
        <v>34.137583333333311</v>
      </c>
      <c r="CM40" s="206">
        <v>34.334743055555592</v>
      </c>
      <c r="CN40" s="206">
        <v>45.972781250000025</v>
      </c>
      <c r="CO40" s="206">
        <v>44.128389583333281</v>
      </c>
      <c r="CP40" s="206">
        <v>22.182527777777764</v>
      </c>
      <c r="CQ40" s="206">
        <v>23.905527777777767</v>
      </c>
      <c r="CR40" s="59">
        <v>0</v>
      </c>
      <c r="CS40" s="59">
        <v>0</v>
      </c>
      <c r="CT40" s="206">
        <v>1.3178666666666681</v>
      </c>
      <c r="CU40" s="206">
        <v>1.4374958333333316</v>
      </c>
      <c r="CV40" s="206">
        <v>3.2370000000000001</v>
      </c>
      <c r="CW40" s="258">
        <v>3.0390000000000001</v>
      </c>
      <c r="CX40" s="204">
        <f>IFERROR(AVERAGEIF(RD[[#This Row],[IS1POA1 (KWh/m2)]:[IS7POA2 (KWh/m2)]],"&lt;&gt;0",RD[[#This Row],[IS1POA1 (KWh/m2)]:[IS7POA2 (KWh/m2)]]),"")</f>
        <v>6.6288632166666588</v>
      </c>
      <c r="CY40" s="204">
        <f>IFERROR(AVERAGEIF(RD[[#This Row],[IS1GHI1 (KWh/m2)]:[IS7GHI2 (KWh/m2)]],"&lt;&gt;0",RD[[#This Row],[IS1GHI1 (KWh/m2)]:[IS7GHI2 (KWh/m2)]]),"")</f>
        <v>6.7389212499999953</v>
      </c>
      <c r="CZ40" s="204">
        <f>IFERROR(AVERAGEIF(RD[[#This Row],[IS1POA_BS1 (KWh/m2)]:[IS7POA_BS2 (KWh/m2)]],"&lt;&gt;0",RD[[#This Row],[IS1POA_BS1 (KWh/m2)]:[IS7POA_BS2 (KWh/m2)]]),"")</f>
        <v>1.0335434083333335</v>
      </c>
      <c r="DA40" s="204">
        <f>IFERROR(AVERAGEIF(RD[[#This Row],[IS1GHI_BS1 (KWh/m2)]:[IS1GHI_BS1 (KWh/m2)2]],"&lt;&gt;0",RD[[#This Row],[IS1GHI_BS1 (KWh/m2)]:[IS1GHI_BS1 (KWh/m2)2]]),"")</f>
        <v>1.3062831583333341</v>
      </c>
      <c r="DB40" s="204">
        <f>IFERROR(AVERAGEIF(RD[[#This Row],[IS1AT1 (°C)]:[IS7AT2 (°C)]],"&lt;&gt;0",RD[[#This Row],[IS1AT1 (°C)]:[IS7AT2 (°C)]]),"")</f>
        <v>34.236163194444451</v>
      </c>
      <c r="DC40" s="204">
        <f>IFERROR(AVERAGEIF(RD[[#This Row],[IS1MT1 (°C)]:[IS7MT2 (°C)]],"&lt;&gt;0",RD[[#This Row],[IS1MT1 (°C)]:[IS7MT2 (°C)]]),"")</f>
        <v>45.05058541666665</v>
      </c>
      <c r="DD40" s="204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204">
        <f>IFERROR(AVERAGEIF(RD[[#This Row],[WS_Solar1_Avg (m/s)]:[IS7_WS_Solar1_Avg (m/s)]],"&lt;&gt;0",RD[[#This Row],[WS_Solar1_Avg (m/s)]:[IS7_WS_Solar1_Avg (m/s)]]),"")</f>
        <v>1.3776812499999997</v>
      </c>
      <c r="DG40" s="204">
        <f>IFERROR(AVERAGEIF(RD[[#This Row],[WS_Solar1_Max (m/s)]:[IS7_WS_Solar1_Max (m/s)]],"&lt;&gt;0",RD[[#This Row],[WS_Solar1_Max (m/s)]:[IS7_WS_Solar1_Max (m/s)]]),"")</f>
        <v>3.1379999999999999</v>
      </c>
      <c r="DH40" s="204">
        <f>SUM(RD[[#This Row],[IS1Inv1M1]:[IS4Inv4M2]])</f>
        <v>267579.7</v>
      </c>
      <c r="DI40" s="205">
        <f>SUM(RD[[#This Row],[IS7Inv1M1]]+RD[[#This Row],[IS7Inv2M1]])</f>
        <v>16365.7</v>
      </c>
      <c r="DJ40" s="204">
        <f>SUM(RD[[#This Row],[IS5Inv1M1]:[IS5Inv2M2]])</f>
        <v>40553.399999999994</v>
      </c>
      <c r="DK40" s="204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86">
        <f>SUM(RD[[#This Row],[IS12Inv1M1]:[IS12Inv1M4]])</f>
        <v>26998.6</v>
      </c>
      <c r="DO40" s="286">
        <f>SUM(RD[[#This Row],[IS13Inv1M1]:[IS13Inv2M2]])</f>
        <v>9830.5</v>
      </c>
      <c r="DP40" s="204">
        <f>SUM(RD[[#This Row],[O2R15]:[O2R26]])</f>
        <v>585677.80000000005</v>
      </c>
      <c r="DQ40" s="164">
        <v>38597.9</v>
      </c>
      <c r="DR40" s="168">
        <v>206</v>
      </c>
      <c r="DS40" s="164">
        <v>33268.5</v>
      </c>
      <c r="DT40" s="164">
        <v>218.3</v>
      </c>
      <c r="DU40" s="168">
        <v>38485.5</v>
      </c>
      <c r="DV40" s="168">
        <v>392.1</v>
      </c>
      <c r="DW40" s="164">
        <v>6459.7</v>
      </c>
      <c r="DX40" s="168">
        <v>29.5</v>
      </c>
      <c r="DY40" s="168"/>
      <c r="DZ40" s="168"/>
      <c r="EA40" s="140">
        <v>91.2</v>
      </c>
      <c r="EB40" s="241">
        <v>120123752</v>
      </c>
      <c r="EC40" s="240">
        <v>902716.28799999994</v>
      </c>
      <c r="ED40" s="241">
        <v>1081</v>
      </c>
      <c r="EE40" s="241">
        <v>114445</v>
      </c>
      <c r="EF40" s="164">
        <v>166610.20000000001</v>
      </c>
      <c r="EG40" s="164">
        <v>1776</v>
      </c>
      <c r="EH40" s="146">
        <f>IF((RD[[#This Row],[33 kV_F3_Ex
Incomer1]]-DQ39)*1000&lt;0,0,(RD[[#This Row],[33 kV_F3_Ex
Incomer1]]-DQ39)*1000)</f>
        <v>134300.00000000291</v>
      </c>
      <c r="EI40" s="146">
        <f>IF((RD[[#This Row],[34 kV_F3_Im
Incomer1]]-DR39)*1000&lt;0,0,(RD[[#This Row],[34 kV_F3_Im
Incomer1]]-DR39)*1000)</f>
        <v>300.00000000001137</v>
      </c>
      <c r="EJ40" s="146">
        <f>IF((RD[[#This Row],[33 kV_F4_Ex
Incomer2]]-DS39)*1000&lt;0,0,(RD[[#This Row],[33 kV_F4_Ex
Incomer2]]-DS39)*1000)</f>
        <v>128000</v>
      </c>
      <c r="EK40" s="146">
        <f>IF((RD[[#This Row],[34 kV_F4_Im
Incomer2]]-DT39)*1000&lt;0,0,(RD[[#This Row],[34 kV_F4_Im
Incomer2]]-DT39)*1000)</f>
        <v>400.00000000000568</v>
      </c>
      <c r="EL40" s="146">
        <f>IF((RD[[#This Row],[33 kV_F5_Ex
Incomer3]]-DU39)*1000&lt;0,0,(RD[[#This Row],[33 kV_F5_Ex
Incomer3]]-DU39)*1000)</f>
        <v>167500</v>
      </c>
      <c r="EM40" s="146">
        <f>IF((RD[[#This Row],[34 kV_F5_Im
Incomer3]]-DV39)*1000&lt;0,0,(RD[[#This Row],[34 kV_F5_Im
Incomer3]]-DV39)*1000)</f>
        <v>300.00000000001137</v>
      </c>
      <c r="EN40" s="146">
        <f>IF((RD[[#This Row],[33 kV_F6_Ex
Incomer4]]-DW39)*1000&lt;0,0,(RD[[#This Row],[33 kV_F6_Ex
Incomer4]]-DW39)*1000)</f>
        <v>145199.99999999983</v>
      </c>
      <c r="EO40" s="146">
        <f>IF((RD[[#This Row],[33 kV_F6_Im
Incomer4]]-DX39)*1000&lt;0,0,(RD[[#This Row],[33 kV_F6_Im
Incomer4]]-DX39)*1000)</f>
        <v>600.00000000000136</v>
      </c>
      <c r="EP40" s="146">
        <f>IF((RD[[#This Row],[33 kV_F7_Ex
Incomer5]]-DY39)*1000&lt;0,0,(RD[[#This Row],[33 kV_F7_Ex
Incomer5]]-DY39)*1000)</f>
        <v>0</v>
      </c>
      <c r="EQ40" s="146">
        <f>IF((RD[[#This Row],[33 kV_F7_Im
Incomer5]]-DZ39)*1000&lt;0,0,(RD[[#This Row],[33 kV_F7_Im
Incomer5]]-DZ39)*1000)</f>
        <v>0</v>
      </c>
      <c r="ER40" s="146">
        <f>IF((RD[[#This Row],[33 kV_Aux Trafo]]-EA39)*1000&lt;0,0,(RD[[#This Row],[33 kV_Aux Trafo]]-EA39)*1000)</f>
        <v>290.00000000000625</v>
      </c>
      <c r="ES40" s="158">
        <f>IF((RD[[#This Row],[33kV_OG1_Ex_]]-EB39)*1&lt;0,0,(RD[[#This Row],[33kV_OG1_Ex_]]-EB39)*1)</f>
        <v>575619</v>
      </c>
      <c r="ET40" s="146">
        <f>IF((RD[[#This Row],[33kV_OG1_Im]]-EC39)*1&lt;0,0,(RD[[#This Row],[33kV_OG1_Im]]-EC39)*1)</f>
        <v>1688.5759999998845</v>
      </c>
      <c r="EU40" s="146">
        <f>IF((RD[[#This Row],[132kV_TX1_EX]]-ED39)*720&lt;=0,"",(RD[[#This Row],[132kV_TX1_EX]]-ED39)*720)</f>
        <v>1440</v>
      </c>
      <c r="EV40" s="146">
        <f>IF((RD[[#This Row],[132 kV_Tx1_Im]]-EE39)*720&lt;=0,0,(RD[[#This Row],[132 kV_Tx1_Im]]-EE39)*720)</f>
        <v>412560</v>
      </c>
      <c r="EW40" s="146">
        <f>IF((RD[[#This Row],[132kV_L1_Ex]]-EF39)*720&lt;=0,0,(RD[[#This Row],[132kV_L1_Ex]]-EF39)*720)</f>
        <v>573624.00000000838</v>
      </c>
      <c r="EX40" s="146">
        <f>IF((RD[[#This Row],[132kV_L1_Im]]-EG39)*720&lt;=0,0,(RD[[#This Row],[132kV_L1_Im]]-EG39)*720)</f>
        <v>2231.9999999999345</v>
      </c>
      <c r="EY40" s="242">
        <f>IFERROR(RD[[#This Row],[33kV_OG1_Ex (MWh)]]+RD[[#This Row],[33kV_OG1_Im (MWh)]],"")</f>
        <v>577307.57599999988</v>
      </c>
      <c r="EZ40" s="148">
        <f>RD[[#This Row],[33kV_OG1_Ex (MWh)]]-RD[[#This Row],[33kV_OG1_Im (MWh)]]</f>
        <v>573930.42400000012</v>
      </c>
      <c r="FA40" s="148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43">
        <f>IFERROR((RD[[#This Row],[Sunset Time (POA&lt;20 W/m2)]]-RD[[#This Row],[Sunrise Time (POA&gt;20 W/m2)]])*24,0)</f>
        <v>12.283333333333335</v>
      </c>
      <c r="FD40" s="244">
        <v>106</v>
      </c>
      <c r="FE40" t="s">
        <v>265</v>
      </c>
      <c r="FG40" s="144" t="str">
        <f>IFERROR(RD[[#This Row],[E_AC (WPR)]]/RD[[#This Row],[E_DC (WPR)]],"")</f>
        <v/>
      </c>
    </row>
    <row r="41" spans="1:163">
      <c r="A41" s="133">
        <f t="shared" si="157"/>
        <v>45781</v>
      </c>
      <c r="B41" s="138">
        <f>YEAR(RD[[#This Row],[Date]])+IF(MONTH(RD[[#This Row],[Date]])&gt;=4,1,0)</f>
        <v>2026</v>
      </c>
      <c r="C41" s="138">
        <f>YEAR(RD[[#This Row],[Date]])</f>
        <v>2025</v>
      </c>
      <c r="D41" s="139">
        <f t="shared" si="158"/>
        <v>45778</v>
      </c>
      <c r="E41" s="138">
        <f>DAY(EOMONTH(RD[[#This Row],[Date]],0))</f>
        <v>31</v>
      </c>
      <c r="F41" s="152">
        <v>0.25833333333333336</v>
      </c>
      <c r="G41" s="162">
        <v>0.77152777777777781</v>
      </c>
      <c r="H41" s="124">
        <v>9229.7999999999993</v>
      </c>
      <c r="I41" s="124">
        <v>9178.7999999999993</v>
      </c>
      <c r="J41" s="124">
        <v>8547.6</v>
      </c>
      <c r="K41" s="124">
        <v>8639</v>
      </c>
      <c r="L41" s="124">
        <v>8867</v>
      </c>
      <c r="M41" s="124">
        <v>9134.4</v>
      </c>
      <c r="N41" s="124">
        <v>8875.7999999999993</v>
      </c>
      <c r="O41" s="124">
        <v>9611.9</v>
      </c>
      <c r="P41" s="124">
        <v>8868.7000000000007</v>
      </c>
      <c r="Q41" s="124">
        <v>8782.7000000000007</v>
      </c>
      <c r="R41" s="124">
        <v>9192</v>
      </c>
      <c r="S41" s="124">
        <v>9022</v>
      </c>
      <c r="T41" s="124">
        <v>9315.7000000000007</v>
      </c>
      <c r="U41" s="124">
        <v>9153</v>
      </c>
      <c r="V41" s="124">
        <v>9296.7000000000007</v>
      </c>
      <c r="W41" s="124">
        <v>9067.1</v>
      </c>
      <c r="X41" s="203">
        <v>12592.3</v>
      </c>
      <c r="Y41" s="203">
        <v>13604.8</v>
      </c>
      <c r="Z41" s="203">
        <v>12121.5</v>
      </c>
      <c r="AA41" s="203">
        <v>12578.1</v>
      </c>
      <c r="AB41" s="203">
        <v>12257.7</v>
      </c>
      <c r="AC41" s="203">
        <v>7548.9</v>
      </c>
      <c r="AD41" s="203">
        <v>11418.7</v>
      </c>
      <c r="AE41" s="203">
        <v>11547.7</v>
      </c>
      <c r="AF41" s="203">
        <v>11286.1</v>
      </c>
      <c r="AG41" s="203">
        <v>11238.7</v>
      </c>
      <c r="AH41" s="203">
        <v>11361.7</v>
      </c>
      <c r="AI41" s="203">
        <v>11462.9</v>
      </c>
      <c r="AJ41" s="142">
        <v>10490.1</v>
      </c>
      <c r="AK41" s="142">
        <v>10710.5</v>
      </c>
      <c r="AL41" s="142">
        <v>10484.4</v>
      </c>
      <c r="AM41" s="142">
        <v>10537.9</v>
      </c>
      <c r="AN41" s="142">
        <v>10573</v>
      </c>
      <c r="AO41" s="142">
        <v>10923.3</v>
      </c>
      <c r="AP41" s="142">
        <v>10718.4</v>
      </c>
      <c r="AQ41" s="142">
        <v>10590.9</v>
      </c>
      <c r="AR41" s="142">
        <v>8055.5</v>
      </c>
      <c r="AS41" s="142">
        <v>8103.8</v>
      </c>
      <c r="AT41" s="142">
        <v>8786.9</v>
      </c>
      <c r="AU41" s="142">
        <v>8712.7000000000007</v>
      </c>
      <c r="AV41" s="142">
        <v>8960.9</v>
      </c>
      <c r="AW41" s="142">
        <v>8778</v>
      </c>
      <c r="AX41" s="142">
        <v>12137.3</v>
      </c>
      <c r="AY41" s="142">
        <v>13418.4</v>
      </c>
      <c r="AZ41" s="142">
        <v>9794.1</v>
      </c>
      <c r="BA41" s="142">
        <v>11728.1</v>
      </c>
      <c r="BB41" s="142">
        <v>12064.5</v>
      </c>
      <c r="BC41" s="142">
        <v>10082.1</v>
      </c>
      <c r="BD41" s="142">
        <v>8312.7999999999993</v>
      </c>
      <c r="BE41" s="142">
        <v>11359.2</v>
      </c>
      <c r="BF41" s="142">
        <v>10650</v>
      </c>
      <c r="BG41" s="142">
        <v>11289</v>
      </c>
      <c r="BH41" s="142">
        <v>12203.8</v>
      </c>
      <c r="BI41" s="142">
        <v>7579</v>
      </c>
      <c r="BJ41" s="142">
        <v>8236.7999999999993</v>
      </c>
      <c r="BK41" s="142">
        <v>6125</v>
      </c>
      <c r="BL41" s="142">
        <v>7677.4</v>
      </c>
      <c r="BM41" s="142">
        <v>7620.9</v>
      </c>
      <c r="BN41" s="142">
        <v>7734.1</v>
      </c>
      <c r="BO41" s="142">
        <v>8248.7999999999993</v>
      </c>
      <c r="BP41" s="142">
        <v>8010.4</v>
      </c>
      <c r="BQ41" s="142">
        <v>6433.4</v>
      </c>
      <c r="BR41" s="142">
        <v>7811.5</v>
      </c>
      <c r="BS41" s="142">
        <v>1298.2</v>
      </c>
      <c r="BT41" s="142">
        <v>2687.1</v>
      </c>
      <c r="BU41" s="142">
        <v>1449.7</v>
      </c>
      <c r="BV41" s="142"/>
      <c r="BW41" s="142"/>
      <c r="BX41" s="142"/>
      <c r="BY41" s="142"/>
      <c r="BZ41" s="142">
        <v>1353.3</v>
      </c>
      <c r="CA41" s="142">
        <v>1139.9000000000001</v>
      </c>
      <c r="CB41" s="142">
        <v>4800.1000000000004</v>
      </c>
      <c r="CC41" s="142">
        <v>8632.5</v>
      </c>
      <c r="CD41" s="59">
        <v>7.1993710500000061</v>
      </c>
      <c r="CE41" s="59">
        <v>6.7504897499999856</v>
      </c>
      <c r="CF41" s="206">
        <v>7.3277360333333323</v>
      </c>
      <c r="CG41" s="206">
        <v>6.7174712666666538</v>
      </c>
      <c r="CH41" s="206">
        <v>1.0030697333333325</v>
      </c>
      <c r="CI41" s="206">
        <v>1.1584575833333317</v>
      </c>
      <c r="CJ41" s="59">
        <v>1.4494196166666646</v>
      </c>
      <c r="CK41" s="59">
        <v>1.2675575499999987</v>
      </c>
      <c r="CL41" s="206">
        <v>32.190430555555494</v>
      </c>
      <c r="CM41" s="206">
        <v>32.304833333333306</v>
      </c>
      <c r="CN41" s="206">
        <v>45.61091111111115</v>
      </c>
      <c r="CO41" s="206">
        <v>43.304853472222256</v>
      </c>
      <c r="CP41" s="206">
        <v>30.337875000000011</v>
      </c>
      <c r="CQ41" s="206">
        <v>32.24168055555559</v>
      </c>
      <c r="CR41" s="59">
        <v>0</v>
      </c>
      <c r="CS41" s="59">
        <v>0</v>
      </c>
      <c r="CT41" s="206">
        <v>1.1476770833333323</v>
      </c>
      <c r="CU41" s="206">
        <v>1.2742708333333337</v>
      </c>
      <c r="CV41" s="206">
        <v>3.4740000000000002</v>
      </c>
      <c r="CW41" s="258">
        <v>3.5939999999999999</v>
      </c>
      <c r="CX41" s="204">
        <f>IFERROR(AVERAGEIF(RD[[#This Row],[IS1POA1 (KWh/m2)]:[IS7POA2 (KWh/m2)]],"&lt;&gt;0",RD[[#This Row],[IS1POA1 (KWh/m2)]:[IS7POA2 (KWh/m2)]]),"")</f>
        <v>6.9749303999999963</v>
      </c>
      <c r="CY41" s="204">
        <f>IFERROR(AVERAGEIF(RD[[#This Row],[IS1GHI1 (KWh/m2)]:[IS7GHI2 (KWh/m2)]],"&lt;&gt;0",RD[[#This Row],[IS1GHI1 (KWh/m2)]:[IS7GHI2 (KWh/m2)]]),"")</f>
        <v>7.0226036499999935</v>
      </c>
      <c r="CZ41" s="204">
        <f>IFERROR(AVERAGEIF(RD[[#This Row],[IS1POA_BS1 (KWh/m2)]:[IS7POA_BS2 (KWh/m2)]],"&lt;&gt;0",RD[[#This Row],[IS1POA_BS1 (KWh/m2)]:[IS7POA_BS2 (KWh/m2)]]),"")</f>
        <v>1.080763658333332</v>
      </c>
      <c r="DA41" s="204">
        <f>IFERROR(AVERAGEIF(RD[[#This Row],[IS1GHI_BS1 (KWh/m2)]:[IS1GHI_BS1 (KWh/m2)2]],"&lt;&gt;0",RD[[#This Row],[IS1GHI_BS1 (KWh/m2)]:[IS1GHI_BS1 (KWh/m2)2]]),"")</f>
        <v>1.3584885833333318</v>
      </c>
      <c r="DB41" s="204">
        <f>IFERROR(AVERAGEIF(RD[[#This Row],[IS1AT1 (°C)]:[IS7AT2 (°C)]],"&lt;&gt;0",RD[[#This Row],[IS1AT1 (°C)]:[IS7AT2 (°C)]]),"")</f>
        <v>32.2476319444444</v>
      </c>
      <c r="DC41" s="204">
        <f>IFERROR(AVERAGEIF(RD[[#This Row],[IS1MT1 (°C)]:[IS7MT2 (°C)]],"&lt;&gt;0",RD[[#This Row],[IS1MT1 (°C)]:[IS7MT2 (°C)]]),"")</f>
        <v>44.457882291666706</v>
      </c>
      <c r="DD41" s="204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204">
        <f>IFERROR(AVERAGEIF(RD[[#This Row],[WS_Solar1_Avg (m/s)]:[IS7_WS_Solar1_Avg (m/s)]],"&lt;&gt;0",RD[[#This Row],[WS_Solar1_Avg (m/s)]:[IS7_WS_Solar1_Avg (m/s)]]),"")</f>
        <v>1.210973958333333</v>
      </c>
      <c r="DG41" s="204">
        <f>IFERROR(AVERAGEIF(RD[[#This Row],[WS_Solar1_Max (m/s)]:[IS7_WS_Solar1_Max (m/s)]],"&lt;&gt;0",RD[[#This Row],[WS_Solar1_Max (m/s)]:[IS7_WS_Solar1_Max (m/s)]]),"")</f>
        <v>3.5339999999999998</v>
      </c>
      <c r="DH41" s="204">
        <f>SUM(RD[[#This Row],[IS1Inv1M1]:[IS4Inv4M2]])</f>
        <v>283801.30000000005</v>
      </c>
      <c r="DI41" s="205">
        <f>SUM(RD[[#This Row],[IS7Inv1M1]]+RD[[#This Row],[IS7Inv2M1]])</f>
        <v>16159.3</v>
      </c>
      <c r="DJ41" s="204">
        <f>SUM(RD[[#This Row],[IS5Inv1M1]:[IS5Inv2M2]])</f>
        <v>42222.9</v>
      </c>
      <c r="DK41" s="204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86">
        <f>SUM(RD[[#This Row],[IS12Inv1M1]:[IS12Inv1M4]])</f>
        <v>30426.699999999997</v>
      </c>
      <c r="DO41" s="286">
        <f>SUM(RD[[#This Row],[IS13Inv1M1]:[IS13Inv2M2]])</f>
        <v>13246.500000000002</v>
      </c>
      <c r="DP41" s="204">
        <f>SUM(RD[[#This Row],[O2R15]:[O2R26]])</f>
        <v>640105</v>
      </c>
      <c r="DQ41" s="164">
        <v>38735.599999999999</v>
      </c>
      <c r="DR41" s="168">
        <v>206.3</v>
      </c>
      <c r="DS41" s="164">
        <v>33407.5</v>
      </c>
      <c r="DT41" s="164">
        <v>218.6</v>
      </c>
      <c r="DU41" s="168">
        <v>38666.199999999997</v>
      </c>
      <c r="DV41" s="168">
        <v>392.6</v>
      </c>
      <c r="DW41" s="164">
        <v>6621.4</v>
      </c>
      <c r="DX41" s="168">
        <v>30.4</v>
      </c>
      <c r="DY41" s="168"/>
      <c r="DZ41" s="168"/>
      <c r="EA41" s="140">
        <v>91.51</v>
      </c>
      <c r="EB41" s="241">
        <v>120745099</v>
      </c>
      <c r="EC41" s="240">
        <v>905073.08799999999</v>
      </c>
      <c r="ED41" s="241">
        <v>1084</v>
      </c>
      <c r="EE41" s="241">
        <v>115064</v>
      </c>
      <c r="EF41" s="164">
        <v>167470.20000000001</v>
      </c>
      <c r="EG41" s="164">
        <v>1780</v>
      </c>
      <c r="EH41" s="146">
        <f>IF((RD[[#This Row],[33 kV_F3_Ex
Incomer1]]-DQ40)*1000&lt;0,0,(RD[[#This Row],[33 kV_F3_Ex
Incomer1]]-DQ40)*1000)</f>
        <v>137699.99999999709</v>
      </c>
      <c r="EI41" s="146">
        <f>IF((RD[[#This Row],[34 kV_F3_Im
Incomer1]]-DR40)*1000&lt;0,0,(RD[[#This Row],[34 kV_F3_Im
Incomer1]]-DR40)*1000)</f>
        <v>300.00000000001137</v>
      </c>
      <c r="EJ41" s="146">
        <f>IF((RD[[#This Row],[33 kV_F4_Ex
Incomer2]]-DS40)*1000&lt;0,0,(RD[[#This Row],[33 kV_F4_Ex
Incomer2]]-DS40)*1000)</f>
        <v>139000</v>
      </c>
      <c r="EK41" s="146">
        <f>IF((RD[[#This Row],[34 kV_F4_Im
Incomer2]]-DT40)*1000&lt;0,0,(RD[[#This Row],[34 kV_F4_Im
Incomer2]]-DT40)*1000)</f>
        <v>299.99999999998295</v>
      </c>
      <c r="EL41" s="146">
        <f>IF((RD[[#This Row],[33 kV_F5_Ex
Incomer3]]-DU40)*1000&lt;0,0,(RD[[#This Row],[33 kV_F5_Ex
Incomer3]]-DU40)*1000)</f>
        <v>180699.99999999709</v>
      </c>
      <c r="EM41" s="146">
        <f>IF((RD[[#This Row],[34 kV_F5_Im
Incomer3]]-DV40)*1000&lt;0,0,(RD[[#This Row],[34 kV_F5_Im
Incomer3]]-DV40)*1000)</f>
        <v>500</v>
      </c>
      <c r="EN41" s="146">
        <f>IF((RD[[#This Row],[33 kV_F6_Ex
Incomer4]]-DW40)*1000&lt;0,0,(RD[[#This Row],[33 kV_F6_Ex
Incomer4]]-DW40)*1000)</f>
        <v>161699.99999999983</v>
      </c>
      <c r="EO41" s="146">
        <f>IF((RD[[#This Row],[33 kV_F6_Im
Incomer4]]-DX40)*1000&lt;0,0,(RD[[#This Row],[33 kV_F6_Im
Incomer4]]-DX40)*1000)</f>
        <v>899.99999999999864</v>
      </c>
      <c r="EP41" s="146">
        <f>IF((RD[[#This Row],[33 kV_F7_Ex
Incomer5]]-DY40)*1000&lt;0,0,(RD[[#This Row],[33 kV_F7_Ex
Incomer5]]-DY40)*1000)</f>
        <v>0</v>
      </c>
      <c r="EQ41" s="146">
        <f>IF((RD[[#This Row],[33 kV_F7_Im
Incomer5]]-DZ40)*1000&lt;0,0,(RD[[#This Row],[33 kV_F7_Im
Incomer5]]-DZ40)*1000)</f>
        <v>0</v>
      </c>
      <c r="ER41" s="146">
        <f>IF((RD[[#This Row],[33 kV_Aux Trafo]]-EA40)*1000&lt;0,0,(RD[[#This Row],[33 kV_Aux Trafo]]-EA40)*1000)</f>
        <v>310.00000000000227</v>
      </c>
      <c r="ES41" s="158">
        <f>IF((RD[[#This Row],[33kV_OG1_Ex_]]-EB40)*1&lt;0,0,(RD[[#This Row],[33kV_OG1_Ex_]]-EB40)*1)</f>
        <v>621347</v>
      </c>
      <c r="ET41" s="146">
        <f>IF((RD[[#This Row],[33kV_OG1_Im]]-EC40)*1&lt;0,0,(RD[[#This Row],[33kV_OG1_Im]]-EC40)*1)</f>
        <v>2356.8000000000466</v>
      </c>
      <c r="EU41" s="146">
        <f>IF((RD[[#This Row],[132kV_TX1_EX]]-ED40)*720&lt;=0,"",(RD[[#This Row],[132kV_TX1_EX]]-ED40)*720)</f>
        <v>2160</v>
      </c>
      <c r="EV41" s="146">
        <f>IF((RD[[#This Row],[132 kV_Tx1_Im]]-EE40)*720&lt;=0,0,(RD[[#This Row],[132 kV_Tx1_Im]]-EE40)*720)</f>
        <v>445680</v>
      </c>
      <c r="EW41" s="146">
        <f>IF((RD[[#This Row],[132kV_L1_Ex]]-EF40)*720&lt;=0,0,(RD[[#This Row],[132kV_L1_Ex]]-EF40)*720)</f>
        <v>619200</v>
      </c>
      <c r="EX41" s="146">
        <f>IF((RD[[#This Row],[132kV_L1_Im]]-EG40)*720&lt;=0,0,(RD[[#This Row],[132kV_L1_Im]]-EG40)*720)</f>
        <v>2880</v>
      </c>
      <c r="EY41" s="242">
        <f>IFERROR(RD[[#This Row],[33kV_OG1_Ex (MWh)]]+RD[[#This Row],[33kV_OG1_Im (MWh)]],"")</f>
        <v>623703.80000000005</v>
      </c>
      <c r="EZ41" s="148">
        <f>RD[[#This Row],[33kV_OG1_Ex (MWh)]]-RD[[#This Row],[33kV_OG1_Im (MWh)]]</f>
        <v>618990.19999999995</v>
      </c>
      <c r="FA41" s="148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43">
        <f>IFERROR((RD[[#This Row],[Sunset Time (POA&lt;20 W/m2)]]-RD[[#This Row],[Sunrise Time (POA&gt;20 W/m2)]])*24,0)</f>
        <v>12.316666666666668</v>
      </c>
      <c r="FD41" s="244">
        <v>106</v>
      </c>
      <c r="FE41" t="s">
        <v>265</v>
      </c>
      <c r="FG41" s="144" t="str">
        <f>IFERROR(RD[[#This Row],[E_AC (WPR)]]/RD[[#This Row],[E_DC (WPR)]],"")</f>
        <v/>
      </c>
    </row>
    <row r="42" spans="1:163">
      <c r="A42" s="133">
        <f t="shared" si="157"/>
        <v>45782</v>
      </c>
      <c r="B42" s="138">
        <f>YEAR(RD[[#This Row],[Date]])+IF(MONTH(RD[[#This Row],[Date]])&gt;=4,1,0)</f>
        <v>2026</v>
      </c>
      <c r="C42" s="138">
        <f>YEAR(RD[[#This Row],[Date]])</f>
        <v>2025</v>
      </c>
      <c r="D42" s="139">
        <f t="shared" si="158"/>
        <v>45778</v>
      </c>
      <c r="E42" s="138">
        <f>DAY(EOMONTH(RD[[#This Row],[Date]],0))</f>
        <v>31</v>
      </c>
      <c r="F42" s="152">
        <v>0.27569444444444446</v>
      </c>
      <c r="G42" s="162">
        <v>0.81597222222222221</v>
      </c>
      <c r="H42" s="124">
        <v>8716.4</v>
      </c>
      <c r="I42" s="124">
        <v>8674.7000000000007</v>
      </c>
      <c r="J42" s="124">
        <v>8088.5</v>
      </c>
      <c r="K42" s="124">
        <v>8157.3</v>
      </c>
      <c r="L42" s="124">
        <v>8396.9</v>
      </c>
      <c r="M42" s="124">
        <v>8675.4</v>
      </c>
      <c r="N42" s="124">
        <v>8411</v>
      </c>
      <c r="O42" s="124">
        <v>9112.4</v>
      </c>
      <c r="P42" s="124">
        <v>8399.5</v>
      </c>
      <c r="Q42" s="124">
        <v>8325</v>
      </c>
      <c r="R42" s="124">
        <v>8734.1</v>
      </c>
      <c r="S42" s="124">
        <v>8587.6</v>
      </c>
      <c r="T42" s="124">
        <v>8823.4</v>
      </c>
      <c r="U42" s="124">
        <v>8700.2000000000007</v>
      </c>
      <c r="V42" s="124">
        <v>8830.5</v>
      </c>
      <c r="W42" s="124">
        <v>8590.2000000000007</v>
      </c>
      <c r="X42" s="203">
        <v>11990</v>
      </c>
      <c r="Y42" s="203">
        <v>13023.4</v>
      </c>
      <c r="Z42" s="203">
        <v>11496.1</v>
      </c>
      <c r="AA42" s="203">
        <v>11903.2</v>
      </c>
      <c r="AB42" s="203">
        <v>12992.4</v>
      </c>
      <c r="AC42" s="203">
        <v>8021</v>
      </c>
      <c r="AD42" s="203">
        <v>12116.8</v>
      </c>
      <c r="AE42" s="203">
        <v>12228.9</v>
      </c>
      <c r="AF42" s="203">
        <v>11980.3</v>
      </c>
      <c r="AG42" s="203">
        <v>11906.3</v>
      </c>
      <c r="AH42" s="203">
        <v>12012.5</v>
      </c>
      <c r="AI42" s="203">
        <v>12132.6</v>
      </c>
      <c r="AJ42" s="142">
        <v>10046.1</v>
      </c>
      <c r="AK42" s="142">
        <v>10230.9</v>
      </c>
      <c r="AL42" s="142">
        <v>9980.5</v>
      </c>
      <c r="AM42" s="142">
        <v>10078.700000000001</v>
      </c>
      <c r="AN42" s="142">
        <v>10074.299999999999</v>
      </c>
      <c r="AO42" s="142">
        <v>10415.6</v>
      </c>
      <c r="AP42" s="142">
        <v>10249.4</v>
      </c>
      <c r="AQ42" s="142">
        <v>10138.4</v>
      </c>
      <c r="AR42" s="142">
        <v>8139.8</v>
      </c>
      <c r="AS42" s="142">
        <v>8201.9</v>
      </c>
      <c r="AT42" s="142">
        <v>8347.2999999999993</v>
      </c>
      <c r="AU42" s="142">
        <v>8307.2000000000007</v>
      </c>
      <c r="AV42" s="142">
        <v>8566.4</v>
      </c>
      <c r="AW42" s="142">
        <v>8403.7999999999993</v>
      </c>
      <c r="AX42" s="142">
        <v>11650.4</v>
      </c>
      <c r="AY42" s="142">
        <v>12918.4</v>
      </c>
      <c r="AZ42" s="142">
        <v>9328.9</v>
      </c>
      <c r="BA42" s="142">
        <v>11175.2</v>
      </c>
      <c r="BB42" s="142">
        <v>11209.9</v>
      </c>
      <c r="BC42" s="142">
        <v>9380.6</v>
      </c>
      <c r="BD42" s="142">
        <v>7766.9</v>
      </c>
      <c r="BE42" s="142">
        <v>10547.1</v>
      </c>
      <c r="BF42" s="142">
        <v>11235</v>
      </c>
      <c r="BG42" s="142">
        <v>11350</v>
      </c>
      <c r="BH42" s="142">
        <v>6924.1</v>
      </c>
      <c r="BI42" s="142">
        <v>4286.2</v>
      </c>
      <c r="BJ42" s="142">
        <v>7651.3</v>
      </c>
      <c r="BK42" s="142">
        <v>5546.2</v>
      </c>
      <c r="BL42" s="142">
        <v>7183.4</v>
      </c>
      <c r="BM42" s="142">
        <v>7129.3</v>
      </c>
      <c r="BN42" s="142">
        <v>7165.1</v>
      </c>
      <c r="BO42" s="142">
        <v>7373</v>
      </c>
      <c r="BP42" s="142">
        <v>7445.5</v>
      </c>
      <c r="BQ42" s="142">
        <v>5977.7</v>
      </c>
      <c r="BR42" s="142">
        <v>6126.4</v>
      </c>
      <c r="BS42" s="142">
        <v>1478.9</v>
      </c>
      <c r="BT42" s="142">
        <v>2872.8</v>
      </c>
      <c r="BU42" s="142">
        <v>1542.5</v>
      </c>
      <c r="BV42" s="142"/>
      <c r="BW42" s="142"/>
      <c r="BX42" s="142"/>
      <c r="BY42" s="142"/>
      <c r="BZ42" s="142">
        <v>1247.7</v>
      </c>
      <c r="CA42" s="142">
        <v>1041.9000000000001</v>
      </c>
      <c r="CB42" s="142">
        <v>4464.3999999999996</v>
      </c>
      <c r="CC42" s="142">
        <v>8160.1</v>
      </c>
      <c r="CD42" s="59">
        <v>6.8117458999999991</v>
      </c>
      <c r="CE42" s="59">
        <v>6.2750000000000004</v>
      </c>
      <c r="CF42" s="206">
        <v>6.9183544000000037</v>
      </c>
      <c r="CG42" s="206">
        <v>6.35</v>
      </c>
      <c r="CH42" s="206">
        <v>6.9183544000000037</v>
      </c>
      <c r="CI42" s="206">
        <v>1.1200000000000001</v>
      </c>
      <c r="CJ42" s="59">
        <v>1.3561856666666674</v>
      </c>
      <c r="CK42" s="59">
        <v>1.1539999999999999</v>
      </c>
      <c r="CL42" s="206">
        <v>31.750174854287984</v>
      </c>
      <c r="CM42" s="206">
        <v>33.204999999999998</v>
      </c>
      <c r="CN42" s="206">
        <v>46.448009991673594</v>
      </c>
      <c r="CO42" s="206">
        <v>42.201999999999998</v>
      </c>
      <c r="CP42" s="206">
        <v>33.467693588676092</v>
      </c>
      <c r="CQ42" s="206">
        <v>31.1</v>
      </c>
      <c r="CR42" s="59">
        <v>0</v>
      </c>
      <c r="CS42" s="59">
        <v>0</v>
      </c>
      <c r="CT42" s="206">
        <v>1.1400199833472087</v>
      </c>
      <c r="CU42" s="206">
        <v>1.109</v>
      </c>
      <c r="CV42" s="206">
        <v>4.3680000000000003</v>
      </c>
      <c r="CW42" s="258">
        <v>3.4340000000000002</v>
      </c>
      <c r="CX42" s="204">
        <f>IFERROR(AVERAGEIF(RD[[#This Row],[IS1POA1 (KWh/m2)]:[IS7POA2 (KWh/m2)]],"&lt;&gt;0",RD[[#This Row],[IS1POA1 (KWh/m2)]:[IS7POA2 (KWh/m2)]]),"")</f>
        <v>6.5433729500000002</v>
      </c>
      <c r="CY42" s="204">
        <f>IFERROR(AVERAGEIF(RD[[#This Row],[IS1GHI1 (KWh/m2)]:[IS7GHI2 (KWh/m2)]],"&lt;&gt;0",RD[[#This Row],[IS1GHI1 (KWh/m2)]:[IS7GHI2 (KWh/m2)]]),"")</f>
        <v>6.6341772000000017</v>
      </c>
      <c r="CZ42" s="204">
        <f>IFERROR(AVERAGEIF(RD[[#This Row],[IS1POA_BS1 (KWh/m2)]:[IS7POA_BS2 (KWh/m2)]],"&lt;&gt;0",RD[[#This Row],[IS1POA_BS1 (KWh/m2)]:[IS7POA_BS2 (KWh/m2)]]),"")</f>
        <v>4.0191772000000014</v>
      </c>
      <c r="DA42" s="204">
        <f>IFERROR(AVERAGEIF(RD[[#This Row],[IS1GHI_BS1 (KWh/m2)]:[IS1GHI_BS1 (KWh/m2)2]],"&lt;&gt;0",RD[[#This Row],[IS1GHI_BS1 (KWh/m2)]:[IS1GHI_BS1 (KWh/m2)2]]),"")</f>
        <v>1.2550928333333338</v>
      </c>
      <c r="DB42" s="204">
        <f>IFERROR(AVERAGEIF(RD[[#This Row],[IS1AT1 (°C)]:[IS7AT2 (°C)]],"&lt;&gt;0",RD[[#This Row],[IS1AT1 (°C)]:[IS7AT2 (°C)]]),"")</f>
        <v>32.477587427143987</v>
      </c>
      <c r="DC42" s="204">
        <f>IFERROR(AVERAGEIF(RD[[#This Row],[IS1MT1 (°C)]:[IS7MT2 (°C)]],"&lt;&gt;0",RD[[#This Row],[IS1MT1 (°C)]:[IS7MT2 (°C)]]),"")</f>
        <v>44.325004995836792</v>
      </c>
      <c r="DD42" s="204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204">
        <f>IFERROR(AVERAGEIF(RD[[#This Row],[WS_Solar1_Avg (m/s)]:[IS7_WS_Solar1_Avg (m/s)]],"&lt;&gt;0",RD[[#This Row],[WS_Solar1_Avg (m/s)]:[IS7_WS_Solar1_Avg (m/s)]]),"")</f>
        <v>1.1245099916736043</v>
      </c>
      <c r="DG42" s="204">
        <f>IFERROR(AVERAGEIF(RD[[#This Row],[WS_Solar1_Max (m/s)]:[IS7_WS_Solar1_Max (m/s)]],"&lt;&gt;0",RD[[#This Row],[WS_Solar1_Max (m/s)]:[IS7_WS_Solar1_Max (m/s)]]),"")</f>
        <v>3.9010000000000002</v>
      </c>
      <c r="DH42" s="204">
        <f>SUM(RD[[#This Row],[IS1Inv1M1]:[IS4Inv4M2]])</f>
        <v>279026.59999999998</v>
      </c>
      <c r="DI42" s="205">
        <f>SUM(RD[[#This Row],[IS7Inv1M1]]+RD[[#This Row],[IS7Inv2M1]])</f>
        <v>16341.7</v>
      </c>
      <c r="DJ42" s="204">
        <f>SUM(RD[[#This Row],[IS5Inv1M1]:[IS5Inv2M2]])</f>
        <v>40336.199999999997</v>
      </c>
      <c r="DK42" s="204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86">
        <f>SUM(RD[[#This Row],[IS12Inv1M1]:[IS12Inv1M4]])</f>
        <v>27961.3</v>
      </c>
      <c r="DO42" s="286">
        <f>SUM(RD[[#This Row],[IS13Inv1M1]:[IS13Inv2M2]])</f>
        <v>12020.599999999999</v>
      </c>
      <c r="DP42" s="204">
        <f>SUM(RD[[#This Row],[O2R15]:[O2R26]])</f>
        <v>610385.80000000005</v>
      </c>
      <c r="DQ42" s="164">
        <v>38876.300000000003</v>
      </c>
      <c r="DR42" s="168">
        <v>206.6</v>
      </c>
      <c r="DS42" s="164">
        <v>33540.6</v>
      </c>
      <c r="DT42" s="164">
        <v>218.9</v>
      </c>
      <c r="DU42" s="168">
        <v>38839.800000000003</v>
      </c>
      <c r="DV42" s="168">
        <v>393.1</v>
      </c>
      <c r="DW42" s="164">
        <v>6773.8</v>
      </c>
      <c r="DX42" s="168">
        <v>31.1</v>
      </c>
      <c r="DY42" s="168"/>
      <c r="DZ42" s="168"/>
      <c r="EA42" s="140">
        <v>91.78</v>
      </c>
      <c r="EB42" s="241">
        <v>121345286</v>
      </c>
      <c r="EC42" s="240">
        <v>906982.33600000001</v>
      </c>
      <c r="ED42" s="241">
        <v>1086</v>
      </c>
      <c r="EE42" s="241">
        <v>115662</v>
      </c>
      <c r="EF42" s="164">
        <v>168300.7</v>
      </c>
      <c r="EG42" s="164">
        <v>1783.3</v>
      </c>
      <c r="EH42" s="146">
        <f>IF((RD[[#This Row],[33 kV_F3_Ex
Incomer1]]-DQ41)*1000&lt;0,0,(RD[[#This Row],[33 kV_F3_Ex
Incomer1]]-DQ41)*1000)</f>
        <v>140700.00000000437</v>
      </c>
      <c r="EI42" s="146">
        <f>IF((RD[[#This Row],[34 kV_F3_Im
Incomer1]]-DR41)*1000&lt;0,0,(RD[[#This Row],[34 kV_F3_Im
Incomer1]]-DR41)*1000)</f>
        <v>299.99999999998295</v>
      </c>
      <c r="EJ42" s="146">
        <f>IF((RD[[#This Row],[33 kV_F4_Ex
Incomer2]]-DS41)*1000&lt;0,0,(RD[[#This Row],[33 kV_F4_Ex
Incomer2]]-DS41)*1000)</f>
        <v>133099.99999999854</v>
      </c>
      <c r="EK42" s="146">
        <f>IF((RD[[#This Row],[34 kV_F4_Im
Incomer2]]-DT41)*1000&lt;0,0,(RD[[#This Row],[34 kV_F4_Im
Incomer2]]-DT41)*1000)</f>
        <v>300.00000000001137</v>
      </c>
      <c r="EL42" s="146">
        <f>IF((RD[[#This Row],[33 kV_F5_Ex
Incomer3]]-DU41)*1000&lt;0,0,(RD[[#This Row],[33 kV_F5_Ex
Incomer3]]-DU41)*1000)</f>
        <v>173600.00000000582</v>
      </c>
      <c r="EM42" s="146">
        <f>IF((RD[[#This Row],[34 kV_F5_Im
Incomer3]]-DV41)*1000&lt;0,0,(RD[[#This Row],[34 kV_F5_Im
Incomer3]]-DV41)*1000)</f>
        <v>500</v>
      </c>
      <c r="EN42" s="146">
        <f>IF((RD[[#This Row],[33 kV_F6_Ex
Incomer4]]-DW41)*1000&lt;0,0,(RD[[#This Row],[33 kV_F6_Ex
Incomer4]]-DW41)*1000)</f>
        <v>152400.00000000055</v>
      </c>
      <c r="EO42" s="146">
        <f>IF((RD[[#This Row],[33 kV_F6_Im
Incomer4]]-DX41)*1000&lt;0,0,(RD[[#This Row],[33 kV_F6_Im
Incomer4]]-DX41)*1000)</f>
        <v>700.00000000000284</v>
      </c>
      <c r="EP42" s="146">
        <f>IF((RD[[#This Row],[33 kV_F7_Ex
Incomer5]]-DY41)*1000&lt;0,0,(RD[[#This Row],[33 kV_F7_Ex
Incomer5]]-DY41)*1000)</f>
        <v>0</v>
      </c>
      <c r="EQ42" s="146">
        <f>IF((RD[[#This Row],[33 kV_F7_Im
Incomer5]]-DZ41)*1000&lt;0,0,(RD[[#This Row],[33 kV_F7_Im
Incomer5]]-DZ41)*1000)</f>
        <v>0</v>
      </c>
      <c r="ER42" s="146">
        <f>IF((RD[[#This Row],[33 kV_Aux Trafo]]-EA41)*1000&lt;0,0,(RD[[#This Row],[33 kV_Aux Trafo]]-EA41)*1000)</f>
        <v>269.99999999999602</v>
      </c>
      <c r="ES42" s="158">
        <f>IF((RD[[#This Row],[33kV_OG1_Ex_]]-EB41)*1&lt;0,0,(RD[[#This Row],[33kV_OG1_Ex_]]-EB41)*1)</f>
        <v>600187</v>
      </c>
      <c r="ET42" s="146">
        <f>IF((RD[[#This Row],[33kV_OG1_Im]]-EC41)*1&lt;0,0,(RD[[#This Row],[33kV_OG1_Im]]-EC41)*1)</f>
        <v>1909.2480000000214</v>
      </c>
      <c r="EU42" s="146">
        <f>IF((RD[[#This Row],[132kV_TX1_EX]]-ED41)*720&lt;=0,"",(RD[[#This Row],[132kV_TX1_EX]]-ED41)*720)</f>
        <v>1440</v>
      </c>
      <c r="EV42" s="146">
        <f>IF((RD[[#This Row],[132 kV_Tx1_Im]]-EE41)*720&lt;=0,0,(RD[[#This Row],[132 kV_Tx1_Im]]-EE41)*720)</f>
        <v>430560</v>
      </c>
      <c r="EW42" s="146">
        <f>IF((RD[[#This Row],[132kV_L1_Ex]]-EF41)*720&lt;=0,0,(RD[[#This Row],[132kV_L1_Ex]]-EF41)*720)</f>
        <v>597960</v>
      </c>
      <c r="EX42" s="146">
        <f>IF((RD[[#This Row],[132kV_L1_Im]]-EG41)*720&lt;=0,0,(RD[[#This Row],[132kV_L1_Im]]-EG41)*720)</f>
        <v>2375.9999999999673</v>
      </c>
      <c r="EY42" s="242">
        <f>IFERROR(RD[[#This Row],[33kV_OG1_Ex (MWh)]]+RD[[#This Row],[33kV_OG1_Im (MWh)]],"")</f>
        <v>602096.24800000002</v>
      </c>
      <c r="EZ42" s="148">
        <f>RD[[#This Row],[33kV_OG1_Ex (MWh)]]-RD[[#This Row],[33kV_OG1_Im (MWh)]]</f>
        <v>598277.75199999998</v>
      </c>
      <c r="FA42" s="148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43">
        <f>IFERROR((RD[[#This Row],[Sunset Time (POA&lt;20 W/m2)]]-RD[[#This Row],[Sunrise Time (POA&gt;20 W/m2)]])*24,0)</f>
        <v>12.966666666666665</v>
      </c>
      <c r="FD42" s="244">
        <v>106</v>
      </c>
      <c r="FE42" t="s">
        <v>265</v>
      </c>
      <c r="FG42" s="144" t="str">
        <f>IFERROR(RD[[#This Row],[E_AC (WPR)]]/RD[[#This Row],[E_DC (WPR)]],"")</f>
        <v/>
      </c>
    </row>
    <row r="43" spans="1:163">
      <c r="A43" s="133">
        <f t="shared" si="157"/>
        <v>45783</v>
      </c>
      <c r="B43" s="138">
        <f>YEAR(RD[[#This Row],[Date]])+IF(MONTH(RD[[#This Row],[Date]])&gt;=4,1,0)</f>
        <v>2026</v>
      </c>
      <c r="C43" s="138">
        <f>YEAR(RD[[#This Row],[Date]])</f>
        <v>2025</v>
      </c>
      <c r="D43" s="139">
        <f t="shared" si="158"/>
        <v>45778</v>
      </c>
      <c r="E43" s="138">
        <f>DAY(EOMONTH(RD[[#This Row],[Date]],0))</f>
        <v>31</v>
      </c>
      <c r="F43" s="152">
        <v>0.25972222222222224</v>
      </c>
      <c r="G43" s="162">
        <v>0.74513888888888891</v>
      </c>
      <c r="H43" s="124">
        <v>8590.2000000000007</v>
      </c>
      <c r="I43" s="124">
        <v>8548.6</v>
      </c>
      <c r="J43" s="124">
        <v>8171</v>
      </c>
      <c r="K43" s="124">
        <v>8240.9</v>
      </c>
      <c r="L43" s="124">
        <v>8468.7000000000007</v>
      </c>
      <c r="M43" s="124">
        <v>8664</v>
      </c>
      <c r="N43" s="124">
        <v>8408.5</v>
      </c>
      <c r="O43" s="124">
        <v>8982.5</v>
      </c>
      <c r="P43" s="124">
        <v>8421.4</v>
      </c>
      <c r="Q43" s="124">
        <v>8381.6</v>
      </c>
      <c r="R43" s="124">
        <v>8687</v>
      </c>
      <c r="S43" s="124">
        <v>8633.4</v>
      </c>
      <c r="T43" s="124">
        <v>8862.7000000000007</v>
      </c>
      <c r="U43" s="124">
        <v>8724.4</v>
      </c>
      <c r="V43" s="124">
        <v>8751.2999999999993</v>
      </c>
      <c r="W43" s="124">
        <v>8474.7999999999993</v>
      </c>
      <c r="X43" s="203">
        <v>11980.8</v>
      </c>
      <c r="Y43" s="203">
        <v>12942.5</v>
      </c>
      <c r="Z43" s="203">
        <v>11570.5</v>
      </c>
      <c r="AA43" s="203">
        <v>12099</v>
      </c>
      <c r="AB43" s="203">
        <v>12828.5</v>
      </c>
      <c r="AC43" s="203">
        <v>8142.8</v>
      </c>
      <c r="AD43" s="203">
        <v>12097.7</v>
      </c>
      <c r="AE43" s="203">
        <v>12293.1</v>
      </c>
      <c r="AF43" s="203">
        <v>12022.8</v>
      </c>
      <c r="AG43" s="203">
        <v>11949.5</v>
      </c>
      <c r="AH43" s="203">
        <v>11940.8</v>
      </c>
      <c r="AI43" s="203">
        <v>12051.7</v>
      </c>
      <c r="AJ43" s="142">
        <v>10102.799999999999</v>
      </c>
      <c r="AK43" s="142">
        <v>10344.6</v>
      </c>
      <c r="AL43" s="142">
        <v>10059</v>
      </c>
      <c r="AM43" s="142">
        <v>10165.1</v>
      </c>
      <c r="AN43" s="142">
        <v>10099.799999999999</v>
      </c>
      <c r="AO43" s="142">
        <v>10427.5</v>
      </c>
      <c r="AP43" s="142">
        <v>10270.6</v>
      </c>
      <c r="AQ43" s="142">
        <v>10134.9</v>
      </c>
      <c r="AR43" s="142">
        <v>8257.6</v>
      </c>
      <c r="AS43" s="142">
        <v>8331.5</v>
      </c>
      <c r="AT43" s="142">
        <v>8362.5</v>
      </c>
      <c r="AU43" s="142">
        <v>8323.7999999999993</v>
      </c>
      <c r="AV43" s="142">
        <v>8513.7999999999993</v>
      </c>
      <c r="AW43" s="142">
        <v>8197.7000000000007</v>
      </c>
      <c r="AX43" s="142">
        <v>11718.8</v>
      </c>
      <c r="AY43" s="142">
        <v>12766.8</v>
      </c>
      <c r="AZ43" s="142">
        <v>9440</v>
      </c>
      <c r="BA43" s="142">
        <v>11395.2</v>
      </c>
      <c r="BB43" s="142">
        <v>11759</v>
      </c>
      <c r="BC43" s="142">
        <v>9799.5</v>
      </c>
      <c r="BD43" s="142">
        <v>8131.8</v>
      </c>
      <c r="BE43" s="142">
        <v>11103.3</v>
      </c>
      <c r="BF43" s="142">
        <v>12037.2</v>
      </c>
      <c r="BG43" s="142">
        <v>11993.5</v>
      </c>
      <c r="BH43" s="142">
        <v>7142.5</v>
      </c>
      <c r="BI43" s="142">
        <v>4461.8</v>
      </c>
      <c r="BJ43" s="142">
        <v>7235</v>
      </c>
      <c r="BK43" s="142">
        <v>5230</v>
      </c>
      <c r="BL43" s="142">
        <v>6932</v>
      </c>
      <c r="BM43" s="142">
        <v>6909</v>
      </c>
      <c r="BN43" s="142">
        <v>6858</v>
      </c>
      <c r="BO43" s="142">
        <v>7030</v>
      </c>
      <c r="BP43" s="142">
        <v>7134</v>
      </c>
      <c r="BQ43" s="142">
        <v>5875</v>
      </c>
      <c r="BR43" s="142">
        <v>6173.1</v>
      </c>
      <c r="BS43" s="142">
        <v>1514.3</v>
      </c>
      <c r="BT43" s="142">
        <v>2961.2</v>
      </c>
      <c r="BU43" s="142">
        <v>1547.8</v>
      </c>
      <c r="BV43" s="142"/>
      <c r="BW43" s="142"/>
      <c r="BX43" s="142"/>
      <c r="BY43" s="142"/>
      <c r="BZ43" s="142">
        <v>1210</v>
      </c>
      <c r="CA43" s="142">
        <v>1009</v>
      </c>
      <c r="CB43" s="142">
        <v>4231</v>
      </c>
      <c r="CC43" s="142">
        <v>7985</v>
      </c>
      <c r="CD43" s="59">
        <v>6.6925646166666706</v>
      </c>
      <c r="CE43" s="59">
        <v>6.5573097999999987</v>
      </c>
      <c r="CF43" s="206">
        <v>6.7917442833333368</v>
      </c>
      <c r="CG43" s="206">
        <v>6.231253783333341</v>
      </c>
      <c r="CH43" s="206">
        <v>0.89070824999999876</v>
      </c>
      <c r="CI43" s="206">
        <v>0.9369680166666674</v>
      </c>
      <c r="CJ43" s="59">
        <v>1.2269434999999995</v>
      </c>
      <c r="CK43" s="59">
        <v>1.078330566666668</v>
      </c>
      <c r="CL43" s="206">
        <v>28.187914110429556</v>
      </c>
      <c r="CM43" s="206">
        <v>27.931720438527829</v>
      </c>
      <c r="CN43" s="206">
        <v>41.900332055214669</v>
      </c>
      <c r="CO43" s="206">
        <v>39.126941268598209</v>
      </c>
      <c r="CP43" s="206">
        <v>53.418213190184041</v>
      </c>
      <c r="CQ43" s="206">
        <v>57.760887235708687</v>
      </c>
      <c r="CR43" s="59">
        <v>0</v>
      </c>
      <c r="CS43" s="59">
        <v>0</v>
      </c>
      <c r="CT43" s="206">
        <v>1.361222392638036</v>
      </c>
      <c r="CU43" s="206">
        <v>1.331097102584184</v>
      </c>
      <c r="CV43" s="206">
        <v>5.8559999999999999</v>
      </c>
      <c r="CW43" s="258">
        <v>5.8920000000000003</v>
      </c>
      <c r="CX43" s="204">
        <f>IFERROR(AVERAGEIF(RD[[#This Row],[IS1POA1 (KWh/m2)]:[IS7POA2 (KWh/m2)]],"&lt;&gt;0",RD[[#This Row],[IS1POA1 (KWh/m2)]:[IS7POA2 (KWh/m2)]]),"")</f>
        <v>6.6249372083333347</v>
      </c>
      <c r="CY43" s="204">
        <f>IFERROR(AVERAGEIF(RD[[#This Row],[IS1GHI1 (KWh/m2)]:[IS7GHI2 (KWh/m2)]],"&lt;&gt;0",RD[[#This Row],[IS1GHI1 (KWh/m2)]:[IS7GHI2 (KWh/m2)]]),"")</f>
        <v>6.5114990333333385</v>
      </c>
      <c r="CZ43" s="204">
        <f>IFERROR(AVERAGEIF(RD[[#This Row],[IS1POA_BS1 (KWh/m2)]:[IS7POA_BS2 (KWh/m2)]],"&lt;&gt;0",RD[[#This Row],[IS1POA_BS1 (KWh/m2)]:[IS7POA_BS2 (KWh/m2)]]),"")</f>
        <v>0.91383813333333308</v>
      </c>
      <c r="DA43" s="204">
        <f>IFERROR(AVERAGEIF(RD[[#This Row],[IS1GHI_BS1 (KWh/m2)]:[IS1GHI_BS1 (KWh/m2)2]],"&lt;&gt;0",RD[[#This Row],[IS1GHI_BS1 (KWh/m2)]:[IS1GHI_BS1 (KWh/m2)2]]),"")</f>
        <v>1.1526370333333338</v>
      </c>
      <c r="DB43" s="204">
        <f>IFERROR(AVERAGEIF(RD[[#This Row],[IS1AT1 (°C)]:[IS7AT2 (°C)]],"&lt;&gt;0",RD[[#This Row],[IS1AT1 (°C)]:[IS7AT2 (°C)]]),"")</f>
        <v>28.059817274478693</v>
      </c>
      <c r="DC43" s="204">
        <f>IFERROR(AVERAGEIF(RD[[#This Row],[IS1MT1 (°C)]:[IS7MT2 (°C)]],"&lt;&gt;0",RD[[#This Row],[IS1MT1 (°C)]:[IS7MT2 (°C)]]),"")</f>
        <v>40.513636661906439</v>
      </c>
      <c r="DD43" s="204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204">
        <f>IFERROR(AVERAGEIF(RD[[#This Row],[WS_Solar1_Avg (m/s)]:[IS7_WS_Solar1_Avg (m/s)]],"&lt;&gt;0",RD[[#This Row],[WS_Solar1_Avg (m/s)]:[IS7_WS_Solar1_Avg (m/s)]]),"")</f>
        <v>1.34615974761111</v>
      </c>
      <c r="DG43" s="204">
        <f>IFERROR(AVERAGEIF(RD[[#This Row],[WS_Solar1_Max (m/s)]:[IS7_WS_Solar1_Max (m/s)]],"&lt;&gt;0",RD[[#This Row],[WS_Solar1_Max (m/s)]:[IS7_WS_Solar1_Max (m/s)]]),"")</f>
        <v>5.8740000000000006</v>
      </c>
      <c r="DH43" s="204">
        <f>SUM(RD[[#This Row],[IS1Inv1M1]:[IS4Inv4M2]])</f>
        <v>278930.7</v>
      </c>
      <c r="DI43" s="205">
        <f>SUM(RD[[#This Row],[IS7Inv1M1]]+RD[[#This Row],[IS7Inv2M1]])</f>
        <v>16589.099999999999</v>
      </c>
      <c r="DJ43" s="204">
        <f>SUM(RD[[#This Row],[IS5Inv1M1]:[IS5Inv2M2]])</f>
        <v>40671.5</v>
      </c>
      <c r="DK43" s="204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86">
        <f>SUM(RD[[#This Row],[IS12Inv1M1]:[IS12Inv1M4]])</f>
        <v>26897</v>
      </c>
      <c r="DO43" s="286">
        <f>SUM(RD[[#This Row],[IS13Inv1M1]:[IS13Inv2M2]])</f>
        <v>12196.4</v>
      </c>
      <c r="DP43" s="204">
        <f>SUM(RD[[#This Row],[O2R15]:[O2R26]])</f>
        <v>612105.70000000007</v>
      </c>
      <c r="DQ43" s="164">
        <v>39017</v>
      </c>
      <c r="DR43" s="168">
        <v>207</v>
      </c>
      <c r="DS43" s="164">
        <v>33673.9</v>
      </c>
      <c r="DT43" s="164">
        <v>219.2</v>
      </c>
      <c r="DU43" s="168">
        <v>39013.800000000003</v>
      </c>
      <c r="DV43" s="168">
        <v>393.7</v>
      </c>
      <c r="DW43" s="164">
        <v>6932.2</v>
      </c>
      <c r="DX43" s="168">
        <v>31.3</v>
      </c>
      <c r="DY43" s="168"/>
      <c r="DZ43" s="168"/>
      <c r="EA43" s="140">
        <v>92.04</v>
      </c>
      <c r="EB43" s="241">
        <v>121951952</v>
      </c>
      <c r="EC43" s="240">
        <v>908554.17599999998</v>
      </c>
      <c r="ED43" s="241">
        <v>1089</v>
      </c>
      <c r="EE43" s="241">
        <v>116266</v>
      </c>
      <c r="EF43" s="164">
        <v>169140.1</v>
      </c>
      <c r="EG43" s="164">
        <v>1786.2</v>
      </c>
      <c r="EH43" s="146">
        <f>IF((RD[[#This Row],[33 kV_F3_Ex
Incomer1]]-DQ42)*1000&lt;0,0,(RD[[#This Row],[33 kV_F3_Ex
Incomer1]]-DQ42)*1000)</f>
        <v>140699.99999999709</v>
      </c>
      <c r="EI43" s="146">
        <f>IF((RD[[#This Row],[34 kV_F3_Im
Incomer1]]-DR42)*1000&lt;0,0,(RD[[#This Row],[34 kV_F3_Im
Incomer1]]-DR42)*1000)</f>
        <v>400.00000000000568</v>
      </c>
      <c r="EJ43" s="146">
        <f>IF((RD[[#This Row],[33 kV_F4_Ex
Incomer2]]-DS42)*1000&lt;0,0,(RD[[#This Row],[33 kV_F4_Ex
Incomer2]]-DS42)*1000)</f>
        <v>133300.00000000291</v>
      </c>
      <c r="EK43" s="146">
        <f>IF((RD[[#This Row],[34 kV_F4_Im
Incomer2]]-DT42)*1000&lt;0,0,(RD[[#This Row],[34 kV_F4_Im
Incomer2]]-DT42)*1000)</f>
        <v>299.99999999998295</v>
      </c>
      <c r="EL43" s="146">
        <f>IF((RD[[#This Row],[33 kV_F5_Ex
Incomer3]]-DU42)*1000&lt;0,0,(RD[[#This Row],[33 kV_F5_Ex
Incomer3]]-DU42)*1000)</f>
        <v>174000</v>
      </c>
      <c r="EM43" s="146">
        <f>IF((RD[[#This Row],[34 kV_F5_Im
Incomer3]]-DV42)*1000&lt;0,0,(RD[[#This Row],[34 kV_F5_Im
Incomer3]]-DV42)*1000)</f>
        <v>599.99999999996589</v>
      </c>
      <c r="EN43" s="146">
        <f>IF((RD[[#This Row],[33 kV_F6_Ex
Incomer4]]-DW42)*1000&lt;0,0,(RD[[#This Row],[33 kV_F6_Ex
Incomer4]]-DW42)*1000)</f>
        <v>158399.99999999965</v>
      </c>
      <c r="EO43" s="146">
        <f>IF((RD[[#This Row],[33 kV_F6_Im
Incomer4]]-DX42)*1000&lt;0,0,(RD[[#This Row],[33 kV_F6_Im
Incomer4]]-DX42)*1000)</f>
        <v>199.99999999999929</v>
      </c>
      <c r="EP43" s="146">
        <f>IF((RD[[#This Row],[33 kV_F7_Ex
Incomer5]]-DY42)*1000&lt;0,0,(RD[[#This Row],[33 kV_F7_Ex
Incomer5]]-DY42)*1000)</f>
        <v>0</v>
      </c>
      <c r="EQ43" s="146">
        <f>IF((RD[[#This Row],[33 kV_F7_Im
Incomer5]]-DZ42)*1000&lt;0,0,(RD[[#This Row],[33 kV_F7_Im
Incomer5]]-DZ42)*1000)</f>
        <v>0</v>
      </c>
      <c r="ER43" s="146">
        <f>IF((RD[[#This Row],[33 kV_Aux Trafo]]-EA42)*1000&lt;0,0,(RD[[#This Row],[33 kV_Aux Trafo]]-EA42)*1000)</f>
        <v>260.00000000000512</v>
      </c>
      <c r="ES43" s="158">
        <f>IF((RD[[#This Row],[33kV_OG1_Ex_]]-EB42)*1&lt;0,0,(RD[[#This Row],[33kV_OG1_Ex_]]-EB42)*1)</f>
        <v>606666</v>
      </c>
      <c r="ET43" s="146">
        <f>IF((RD[[#This Row],[33kV_OG1_Im]]-EC42)*1&lt;0,0,(RD[[#This Row],[33kV_OG1_Im]]-EC42)*1)</f>
        <v>1571.8399999999674</v>
      </c>
      <c r="EU43" s="146">
        <f>IF((RD[[#This Row],[132kV_TX1_EX]]-ED42)*720&lt;=0,"",(RD[[#This Row],[132kV_TX1_EX]]-ED42)*720)</f>
        <v>2160</v>
      </c>
      <c r="EV43" s="146">
        <f>IF((RD[[#This Row],[132 kV_Tx1_Im]]-EE42)*720&lt;=0,0,(RD[[#This Row],[132 kV_Tx1_Im]]-EE42)*720)</f>
        <v>434880</v>
      </c>
      <c r="EW43" s="146">
        <f>IF((RD[[#This Row],[132kV_L1_Ex]]-EF42)*720&lt;=0,0,(RD[[#This Row],[132kV_L1_Ex]]-EF42)*720)</f>
        <v>604367.99999999581</v>
      </c>
      <c r="EX43" s="146">
        <f>IF((RD[[#This Row],[132kV_L1_Im]]-EG42)*720&lt;=0,0,(RD[[#This Row],[132kV_L1_Im]]-EG42)*720)</f>
        <v>2088.0000000000655</v>
      </c>
      <c r="EY43" s="242">
        <f>IFERROR(RD[[#This Row],[33kV_OG1_Ex (MWh)]]+RD[[#This Row],[33kV_OG1_Im (MWh)]],"")</f>
        <v>608237.84</v>
      </c>
      <c r="EZ43" s="148">
        <f>RD[[#This Row],[33kV_OG1_Ex (MWh)]]-RD[[#This Row],[33kV_OG1_Im (MWh)]]</f>
        <v>605094.16</v>
      </c>
      <c r="FA43" s="148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43">
        <f>IFERROR((RD[[#This Row],[Sunset Time (POA&lt;20 W/m2)]]-RD[[#This Row],[Sunrise Time (POA&gt;20 W/m2)]])*24,0)</f>
        <v>11.65</v>
      </c>
      <c r="FD43" s="244">
        <v>106</v>
      </c>
      <c r="FE43" t="s">
        <v>265</v>
      </c>
      <c r="FG43" s="144" t="str">
        <f>IFERROR(RD[[#This Row],[E_AC (WPR)]]/RD[[#This Row],[E_DC (WPR)]],"")</f>
        <v/>
      </c>
    </row>
    <row r="44" spans="1:163">
      <c r="A44" s="133">
        <f t="shared" si="157"/>
        <v>45784</v>
      </c>
      <c r="B44" s="138">
        <f>YEAR(RD[[#This Row],[Date]])+IF(MONTH(RD[[#This Row],[Date]])&gt;=4,1,0)</f>
        <v>2026</v>
      </c>
      <c r="C44" s="138">
        <f>YEAR(RD[[#This Row],[Date]])</f>
        <v>2025</v>
      </c>
      <c r="D44" s="139">
        <f t="shared" si="158"/>
        <v>45778</v>
      </c>
      <c r="E44" s="138">
        <f>DAY(EOMONTH(RD[[#This Row],[Date]],0))</f>
        <v>31</v>
      </c>
      <c r="F44" s="152">
        <v>0.25486111111111109</v>
      </c>
      <c r="G44" s="162">
        <v>0.77222222222222225</v>
      </c>
      <c r="H44" s="124">
        <v>8765</v>
      </c>
      <c r="I44" s="124">
        <v>8719</v>
      </c>
      <c r="J44" s="124">
        <v>8366</v>
      </c>
      <c r="K44" s="124">
        <v>8505</v>
      </c>
      <c r="L44" s="124">
        <v>8762</v>
      </c>
      <c r="M44" s="124">
        <v>8929</v>
      </c>
      <c r="N44" s="124">
        <v>8630</v>
      </c>
      <c r="O44" s="124">
        <v>9171</v>
      </c>
      <c r="P44" s="124">
        <v>8577</v>
      </c>
      <c r="Q44" s="124">
        <v>8588</v>
      </c>
      <c r="R44" s="124">
        <v>8858</v>
      </c>
      <c r="S44" s="124">
        <v>8807</v>
      </c>
      <c r="T44" s="124">
        <v>9012</v>
      </c>
      <c r="U44" s="124">
        <v>8898</v>
      </c>
      <c r="V44" s="124">
        <v>8935</v>
      </c>
      <c r="W44" s="124">
        <v>8577</v>
      </c>
      <c r="X44" s="203">
        <v>12187</v>
      </c>
      <c r="Y44" s="203">
        <v>13013</v>
      </c>
      <c r="Z44" s="203">
        <v>11857</v>
      </c>
      <c r="AA44" s="203">
        <v>12234</v>
      </c>
      <c r="AB44" s="203">
        <v>12963</v>
      </c>
      <c r="AC44" s="203">
        <v>8403</v>
      </c>
      <c r="AD44" s="203">
        <v>12283</v>
      </c>
      <c r="AE44" s="203">
        <v>12439</v>
      </c>
      <c r="AF44" s="203">
        <v>12204</v>
      </c>
      <c r="AG44" s="203">
        <v>12194</v>
      </c>
      <c r="AH44" s="203">
        <v>12176</v>
      </c>
      <c r="AI44" s="203">
        <v>12441</v>
      </c>
      <c r="AJ44" s="142">
        <v>10748</v>
      </c>
      <c r="AK44" s="142">
        <v>10996</v>
      </c>
      <c r="AL44" s="142">
        <v>10712</v>
      </c>
      <c r="AM44" s="142">
        <v>10835</v>
      </c>
      <c r="AN44" s="142">
        <v>10100</v>
      </c>
      <c r="AO44" s="142">
        <v>10428</v>
      </c>
      <c r="AP44" s="142">
        <v>10922</v>
      </c>
      <c r="AQ44" s="142">
        <v>10782</v>
      </c>
      <c r="AR44" s="142">
        <v>8648</v>
      </c>
      <c r="AS44" s="142">
        <v>8710</v>
      </c>
      <c r="AT44" s="142">
        <v>7266</v>
      </c>
      <c r="AU44" s="142">
        <v>7230</v>
      </c>
      <c r="AV44" s="142">
        <v>7378</v>
      </c>
      <c r="AW44" s="142">
        <v>7133</v>
      </c>
      <c r="AX44" s="142">
        <v>11100</v>
      </c>
      <c r="AY44" s="142">
        <v>11943</v>
      </c>
      <c r="AZ44" s="142">
        <v>9038</v>
      </c>
      <c r="BA44" s="142">
        <v>10852</v>
      </c>
      <c r="BB44" s="142">
        <v>12117</v>
      </c>
      <c r="BC44" s="142">
        <v>10231</v>
      </c>
      <c r="BD44" s="142">
        <v>8488</v>
      </c>
      <c r="BE44" s="142">
        <v>11592</v>
      </c>
      <c r="BF44" s="142">
        <v>12369</v>
      </c>
      <c r="BG44" s="142">
        <v>12321</v>
      </c>
      <c r="BH44" s="142">
        <v>7296</v>
      </c>
      <c r="BI44" s="142">
        <v>4623</v>
      </c>
      <c r="BJ44" s="142">
        <v>8293</v>
      </c>
      <c r="BK44" s="142">
        <v>5966</v>
      </c>
      <c r="BL44" s="142">
        <v>7742</v>
      </c>
      <c r="BM44" s="142">
        <v>7668</v>
      </c>
      <c r="BN44" s="142">
        <v>7582</v>
      </c>
      <c r="BO44" s="142">
        <v>7739</v>
      </c>
      <c r="BP44" s="142">
        <v>7859</v>
      </c>
      <c r="BQ44" s="142">
        <v>7232</v>
      </c>
      <c r="BR44" s="142">
        <v>6468</v>
      </c>
      <c r="BS44" s="142">
        <v>2698</v>
      </c>
      <c r="BT44" s="142">
        <v>3075</v>
      </c>
      <c r="BU44" s="142">
        <v>1613</v>
      </c>
      <c r="BV44" s="142"/>
      <c r="BW44" s="142"/>
      <c r="BX44" s="142"/>
      <c r="BY44" s="142"/>
      <c r="BZ44" s="142">
        <v>1324</v>
      </c>
      <c r="CA44" s="142">
        <v>1114</v>
      </c>
      <c r="CB44" s="142">
        <v>4735</v>
      </c>
      <c r="CC44" s="142">
        <v>8511</v>
      </c>
      <c r="CD44" s="59">
        <v>6.7690000000000001</v>
      </c>
      <c r="CE44" s="59">
        <v>6.8959999999999999</v>
      </c>
      <c r="CF44" s="206">
        <v>6.9509999999999996</v>
      </c>
      <c r="CG44" s="206">
        <v>6.899</v>
      </c>
      <c r="CH44" s="206">
        <v>0.90700000000000003</v>
      </c>
      <c r="CI44" s="206">
        <v>1.004</v>
      </c>
      <c r="CJ44" s="59">
        <v>1.2629999999999999</v>
      </c>
      <c r="CK44" s="59">
        <v>1.133</v>
      </c>
      <c r="CL44" s="206">
        <v>26.716000000000001</v>
      </c>
      <c r="CM44" s="206">
        <v>26.552</v>
      </c>
      <c r="CN44" s="206">
        <v>41.006999999999998</v>
      </c>
      <c r="CO44" s="206">
        <v>38.631999999999998</v>
      </c>
      <c r="CP44" s="206">
        <v>52.8</v>
      </c>
      <c r="CQ44" s="206">
        <v>55.661999999999999</v>
      </c>
      <c r="CR44" s="59">
        <v>0</v>
      </c>
      <c r="CS44" s="59">
        <v>0</v>
      </c>
      <c r="CT44" s="206">
        <v>1.1639999999999999</v>
      </c>
      <c r="CU44" s="206">
        <v>1.175</v>
      </c>
      <c r="CV44" s="206">
        <v>4.47</v>
      </c>
      <c r="CW44" s="258">
        <v>3.84</v>
      </c>
      <c r="CX44" s="204">
        <f>IFERROR(AVERAGEIF(RD[[#This Row],[IS1POA1 (KWh/m2)]:[IS7POA2 (KWh/m2)]],"&lt;&gt;0",RD[[#This Row],[IS1POA1 (KWh/m2)]:[IS7POA2 (KWh/m2)]]),"")</f>
        <v>6.8324999999999996</v>
      </c>
      <c r="CY44" s="204">
        <f>IFERROR(AVERAGEIF(RD[[#This Row],[IS1GHI1 (KWh/m2)]:[IS7GHI2 (KWh/m2)]],"&lt;&gt;0",RD[[#This Row],[IS1GHI1 (KWh/m2)]:[IS7GHI2 (KWh/m2)]]),"")</f>
        <v>6.9249999999999998</v>
      </c>
      <c r="CZ44" s="204">
        <f>IFERROR(AVERAGEIF(RD[[#This Row],[IS1POA_BS1 (KWh/m2)]:[IS7POA_BS2 (KWh/m2)]],"&lt;&gt;0",RD[[#This Row],[IS1POA_BS1 (KWh/m2)]:[IS7POA_BS2 (KWh/m2)]]),"")</f>
        <v>0.95550000000000002</v>
      </c>
      <c r="DA44" s="204">
        <f>IFERROR(AVERAGEIF(RD[[#This Row],[IS1GHI_BS1 (KWh/m2)]:[IS1GHI_BS1 (KWh/m2)2]],"&lt;&gt;0",RD[[#This Row],[IS1GHI_BS1 (KWh/m2)]:[IS1GHI_BS1 (KWh/m2)2]]),"")</f>
        <v>1.198</v>
      </c>
      <c r="DB44" s="204">
        <f>IFERROR(AVERAGEIF(RD[[#This Row],[IS1AT1 (°C)]:[IS7AT2 (°C)]],"&lt;&gt;0",RD[[#This Row],[IS1AT1 (°C)]:[IS7AT2 (°C)]]),"")</f>
        <v>26.634</v>
      </c>
      <c r="DC44" s="204">
        <f>IFERROR(AVERAGEIF(RD[[#This Row],[IS1MT1 (°C)]:[IS7MT2 (°C)]],"&lt;&gt;0",RD[[#This Row],[IS1MT1 (°C)]:[IS7MT2 (°C)]]),"")</f>
        <v>39.819499999999998</v>
      </c>
      <c r="DD44" s="204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204">
        <f>IFERROR(AVERAGEIF(RD[[#This Row],[WS_Solar1_Avg (m/s)]:[IS7_WS_Solar1_Avg (m/s)]],"&lt;&gt;0",RD[[#This Row],[WS_Solar1_Avg (m/s)]:[IS7_WS_Solar1_Avg (m/s)]]),"")</f>
        <v>1.1695</v>
      </c>
      <c r="DG44" s="204">
        <f>IFERROR(AVERAGEIF(RD[[#This Row],[WS_Solar1_Max (m/s)]:[IS7_WS_Solar1_Max (m/s)]],"&lt;&gt;0",RD[[#This Row],[WS_Solar1_Max (m/s)]:[IS7_WS_Solar1_Max (m/s)]]),"")</f>
        <v>4.1549999999999994</v>
      </c>
      <c r="DH44" s="204">
        <f>SUM(RD[[#This Row],[IS1Inv1M1]:[IS4Inv4M2]])</f>
        <v>284493</v>
      </c>
      <c r="DI44" s="205">
        <f>SUM(RD[[#This Row],[IS7Inv1M1]]+RD[[#This Row],[IS7Inv2M1]])</f>
        <v>17358</v>
      </c>
      <c r="DJ44" s="204">
        <f>SUM(RD[[#This Row],[IS5Inv1M1]:[IS5Inv2M2]])</f>
        <v>43291</v>
      </c>
      <c r="DK44" s="204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86">
        <f>SUM(RD[[#This Row],[IS12Inv1M1]:[IS12Inv1M4]])</f>
        <v>30412</v>
      </c>
      <c r="DO44" s="286">
        <f>SUM(RD[[#This Row],[IS13Inv1M1]:[IS13Inv2M2]])</f>
        <v>13854</v>
      </c>
      <c r="DP44" s="204">
        <f>SUM(RD[[#This Row],[O2R15]:[O2R26]])</f>
        <v>627970</v>
      </c>
      <c r="DQ44" s="164">
        <v>39160.199999999997</v>
      </c>
      <c r="DR44" s="168">
        <v>207.2</v>
      </c>
      <c r="DS44" s="164">
        <v>33810</v>
      </c>
      <c r="DT44" s="164">
        <v>219.6</v>
      </c>
      <c r="DU44" s="168">
        <v>39187.4</v>
      </c>
      <c r="DV44" s="168">
        <v>393.8</v>
      </c>
      <c r="DW44" s="164">
        <v>7097.3</v>
      </c>
      <c r="DX44" s="168">
        <v>31.4</v>
      </c>
      <c r="DY44" s="168"/>
      <c r="DZ44" s="168"/>
      <c r="EA44" s="140">
        <v>92.3</v>
      </c>
      <c r="EB44" s="241">
        <v>122570506</v>
      </c>
      <c r="EC44" s="240">
        <v>909515.26399999997</v>
      </c>
      <c r="ED44" s="241">
        <v>1090</v>
      </c>
      <c r="EE44" s="241">
        <v>116882</v>
      </c>
      <c r="EF44" s="164">
        <v>169996.2</v>
      </c>
      <c r="EG44" s="164">
        <v>1788.5</v>
      </c>
      <c r="EH44" s="146">
        <f>IF((RD[[#This Row],[33 kV_F3_Ex
Incomer1]]-DQ43)*1000&lt;0,0,(RD[[#This Row],[33 kV_F3_Ex
Incomer1]]-DQ43)*1000)</f>
        <v>143199.99999999709</v>
      </c>
      <c r="EI44" s="146">
        <f>IF((RD[[#This Row],[34 kV_F3_Im
Incomer1]]-DR43)*1000&lt;0,0,(RD[[#This Row],[34 kV_F3_Im
Incomer1]]-DR43)*1000)</f>
        <v>199.99999999998863</v>
      </c>
      <c r="EJ44" s="146">
        <f>IF((RD[[#This Row],[33 kV_F4_Ex
Incomer2]]-DS43)*1000&lt;0,0,(RD[[#This Row],[33 kV_F4_Ex
Incomer2]]-DS43)*1000)</f>
        <v>136099.99999999854</v>
      </c>
      <c r="EK44" s="146">
        <f>IF((RD[[#This Row],[34 kV_F4_Im
Incomer2]]-DT43)*1000&lt;0,0,(RD[[#This Row],[34 kV_F4_Im
Incomer2]]-DT43)*1000)</f>
        <v>400.00000000000568</v>
      </c>
      <c r="EL44" s="146">
        <f>IF((RD[[#This Row],[33 kV_F5_Ex
Incomer3]]-DU43)*1000&lt;0,0,(RD[[#This Row],[33 kV_F5_Ex
Incomer3]]-DU43)*1000)</f>
        <v>173599.99999999854</v>
      </c>
      <c r="EM44" s="146">
        <f>IF((RD[[#This Row],[34 kV_F5_Im
Incomer3]]-DV43)*1000&lt;0,0,(RD[[#This Row],[34 kV_F5_Im
Incomer3]]-DV43)*1000)</f>
        <v>100.00000000002274</v>
      </c>
      <c r="EN44" s="146">
        <f>IF((RD[[#This Row],[33 kV_F6_Ex
Incomer4]]-DW43)*1000&lt;0,0,(RD[[#This Row],[33 kV_F6_Ex
Incomer4]]-DW43)*1000)</f>
        <v>165100.00000000035</v>
      </c>
      <c r="EO44" s="146">
        <f>IF((RD[[#This Row],[33 kV_F6_Im
Incomer4]]-DX43)*1000&lt;0,0,(RD[[#This Row],[33 kV_F6_Im
Incomer4]]-DX43)*1000)</f>
        <v>99.999999999997868</v>
      </c>
      <c r="EP44" s="146">
        <f>IF((RD[[#This Row],[33 kV_F7_Ex
Incomer5]]-DY43)*1000&lt;0,0,(RD[[#This Row],[33 kV_F7_Ex
Incomer5]]-DY43)*1000)</f>
        <v>0</v>
      </c>
      <c r="EQ44" s="146">
        <f>IF((RD[[#This Row],[33 kV_F7_Im
Incomer5]]-DZ43)*1000&lt;0,0,(RD[[#This Row],[33 kV_F7_Im
Incomer5]]-DZ43)*1000)</f>
        <v>0</v>
      </c>
      <c r="ER44" s="146">
        <f>IF((RD[[#This Row],[33 kV_Aux Trafo]]-EA43)*1000&lt;0,0,(RD[[#This Row],[33 kV_Aux Trafo]]-EA43)*1000)</f>
        <v>259.99999999999091</v>
      </c>
      <c r="ES44" s="158">
        <f>IF((RD[[#This Row],[33kV_OG1_Ex_]]-EB43)*1&lt;0,0,(RD[[#This Row],[33kV_OG1_Ex_]]-EB43)*1)</f>
        <v>618554</v>
      </c>
      <c r="ET44" s="146">
        <f>IF((RD[[#This Row],[33kV_OG1_Im]]-EC43)*1&lt;0,0,(RD[[#This Row],[33kV_OG1_Im]]-EC43)*1)</f>
        <v>961.08799999998882</v>
      </c>
      <c r="EU44" s="146">
        <f>IF((RD[[#This Row],[132kV_TX1_EX]]-ED43)*720&lt;=0,"",(RD[[#This Row],[132kV_TX1_EX]]-ED43)*720)</f>
        <v>720</v>
      </c>
      <c r="EV44" s="146">
        <f>IF((RD[[#This Row],[132 kV_Tx1_Im]]-EE43)*720&lt;=0,0,(RD[[#This Row],[132 kV_Tx1_Im]]-EE43)*720)</f>
        <v>443520</v>
      </c>
      <c r="EW44" s="146">
        <f>IF((RD[[#This Row],[132kV_L1_Ex]]-EF43)*720&lt;=0,0,(RD[[#This Row],[132kV_L1_Ex]]-EF43)*720)</f>
        <v>616392.00000000419</v>
      </c>
      <c r="EX44" s="146">
        <f>IF((RD[[#This Row],[132kV_L1_Im]]-EG43)*720&lt;=0,0,(RD[[#This Row],[132kV_L1_Im]]-EG43)*720)</f>
        <v>1655.9999999999673</v>
      </c>
      <c r="EY44" s="242">
        <f>IFERROR(RD[[#This Row],[33kV_OG1_Ex (MWh)]]+RD[[#This Row],[33kV_OG1_Im (MWh)]],"")</f>
        <v>619515.08799999999</v>
      </c>
      <c r="EZ44" s="148">
        <f>RD[[#This Row],[33kV_OG1_Ex (MWh)]]-RD[[#This Row],[33kV_OG1_Im (MWh)]]</f>
        <v>617592.91200000001</v>
      </c>
      <c r="FA44" s="148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43">
        <f>IFERROR((RD[[#This Row],[Sunset Time (POA&lt;20 W/m2)]]-RD[[#This Row],[Sunrise Time (POA&gt;20 W/m2)]])*24,0)</f>
        <v>12.416666666666668</v>
      </c>
      <c r="FD44" s="244">
        <v>106</v>
      </c>
      <c r="FE44" t="s">
        <v>265</v>
      </c>
      <c r="FG44" s="144" t="str">
        <f>IFERROR(RD[[#This Row],[E_AC (WPR)]]/RD[[#This Row],[E_DC (WPR)]],"")</f>
        <v/>
      </c>
    </row>
    <row r="45" spans="1:163">
      <c r="A45" s="133">
        <f t="shared" si="157"/>
        <v>45785</v>
      </c>
      <c r="B45" s="138">
        <f>YEAR(RD[[#This Row],[Date]])+IF(MONTH(RD[[#This Row],[Date]])&gt;=4,1,0)</f>
        <v>2026</v>
      </c>
      <c r="C45" s="138">
        <f>YEAR(RD[[#This Row],[Date]])</f>
        <v>2025</v>
      </c>
      <c r="D45" s="139">
        <f t="shared" si="158"/>
        <v>45778</v>
      </c>
      <c r="E45" s="138">
        <f>DAY(EOMONTH(RD[[#This Row],[Date]],0))</f>
        <v>31</v>
      </c>
      <c r="F45" s="152">
        <v>0.27916666666666667</v>
      </c>
      <c r="G45" s="162">
        <v>0.76736111111111116</v>
      </c>
      <c r="H45" s="124">
        <v>4199.8999999999996</v>
      </c>
      <c r="I45" s="124">
        <v>4166.8999999999996</v>
      </c>
      <c r="J45" s="124">
        <v>3878.4</v>
      </c>
      <c r="K45" s="124">
        <v>3887.4</v>
      </c>
      <c r="L45" s="124">
        <v>4024</v>
      </c>
      <c r="M45" s="124">
        <v>4180</v>
      </c>
      <c r="N45" s="124">
        <v>3980.4</v>
      </c>
      <c r="O45" s="124">
        <v>4500.5</v>
      </c>
      <c r="P45" s="124">
        <v>4073</v>
      </c>
      <c r="Q45" s="124">
        <v>3984.4</v>
      </c>
      <c r="R45" s="124">
        <v>4161.2</v>
      </c>
      <c r="S45" s="124">
        <v>4157.6000000000004</v>
      </c>
      <c r="T45" s="124">
        <v>4305.8</v>
      </c>
      <c r="U45" s="124">
        <v>4188.8999999999996</v>
      </c>
      <c r="V45" s="124">
        <v>4290.2</v>
      </c>
      <c r="W45" s="124">
        <v>4096.1000000000004</v>
      </c>
      <c r="X45" s="203">
        <v>5806.2</v>
      </c>
      <c r="Y45" s="203">
        <v>6561.3</v>
      </c>
      <c r="Z45" s="203">
        <v>5625.3</v>
      </c>
      <c r="AA45" s="203">
        <v>5882.7</v>
      </c>
      <c r="AB45" s="203">
        <v>6411.4</v>
      </c>
      <c r="AC45" s="203">
        <v>3910</v>
      </c>
      <c r="AD45" s="203">
        <v>5826.2</v>
      </c>
      <c r="AE45" s="203">
        <v>5911.9</v>
      </c>
      <c r="AF45" s="203">
        <v>5757.6</v>
      </c>
      <c r="AG45" s="203">
        <v>5663</v>
      </c>
      <c r="AH45" s="203">
        <v>5759.5</v>
      </c>
      <c r="AI45" s="203">
        <v>5804</v>
      </c>
      <c r="AJ45" s="142">
        <v>4643.8999999999996</v>
      </c>
      <c r="AK45" s="142">
        <v>4766.1000000000004</v>
      </c>
      <c r="AL45" s="142">
        <v>4609.1000000000004</v>
      </c>
      <c r="AM45" s="142">
        <v>4668</v>
      </c>
      <c r="AN45" s="142">
        <v>4633.5</v>
      </c>
      <c r="AO45" s="142">
        <v>4794</v>
      </c>
      <c r="AP45" s="142">
        <v>4709.2</v>
      </c>
      <c r="AQ45" s="142">
        <v>4669.8999999999996</v>
      </c>
      <c r="AR45" s="142">
        <v>3717.1</v>
      </c>
      <c r="AS45" s="142">
        <v>3753.5</v>
      </c>
      <c r="AT45" s="142">
        <v>3767</v>
      </c>
      <c r="AU45" s="142">
        <v>3733.6</v>
      </c>
      <c r="AV45" s="142">
        <v>3835.7</v>
      </c>
      <c r="AW45" s="142">
        <v>3699.1</v>
      </c>
      <c r="AX45" s="142">
        <v>11700</v>
      </c>
      <c r="AY45" s="142">
        <v>13054</v>
      </c>
      <c r="AZ45" s="142">
        <v>9537</v>
      </c>
      <c r="BA45" s="142">
        <v>11354</v>
      </c>
      <c r="BB45" s="142">
        <v>10428</v>
      </c>
      <c r="BC45" s="142">
        <v>8416</v>
      </c>
      <c r="BD45" s="142">
        <v>8246.7999999999993</v>
      </c>
      <c r="BE45" s="142">
        <v>11728.8</v>
      </c>
      <c r="BF45" s="142">
        <v>12168.3</v>
      </c>
      <c r="BG45" s="142">
        <v>12083.1</v>
      </c>
      <c r="BH45" s="142">
        <v>7292</v>
      </c>
      <c r="BI45" s="142">
        <v>4482.1000000000004</v>
      </c>
      <c r="BJ45" s="142">
        <v>7887</v>
      </c>
      <c r="BK45" s="142">
        <v>5586</v>
      </c>
      <c r="BL45" s="142">
        <v>7561</v>
      </c>
      <c r="BM45" s="142">
        <v>7036</v>
      </c>
      <c r="BN45" s="142">
        <v>7563</v>
      </c>
      <c r="BO45" s="142">
        <v>7968</v>
      </c>
      <c r="BP45" s="142">
        <v>7245</v>
      </c>
      <c r="BQ45" s="142">
        <v>4771</v>
      </c>
      <c r="BR45" s="142">
        <v>2742</v>
      </c>
      <c r="BS45" s="142">
        <v>1990</v>
      </c>
      <c r="BT45" s="142">
        <v>2631</v>
      </c>
      <c r="BU45" s="142">
        <v>964.1</v>
      </c>
      <c r="BV45" s="142"/>
      <c r="BW45" s="142"/>
      <c r="BX45" s="142"/>
      <c r="BY45" s="142"/>
      <c r="BZ45" s="142">
        <v>1318</v>
      </c>
      <c r="CA45" s="142">
        <v>1127</v>
      </c>
      <c r="CB45" s="142">
        <v>4697</v>
      </c>
      <c r="CC45" s="142">
        <v>8529</v>
      </c>
      <c r="CD45" s="59">
        <v>2.8943908666666673</v>
      </c>
      <c r="CE45" s="59">
        <v>2.7064875500000007</v>
      </c>
      <c r="CF45" s="206">
        <v>2.8900878666666698</v>
      </c>
      <c r="CG45" s="206">
        <v>0.3956199333333329</v>
      </c>
      <c r="CH45" s="206">
        <v>0.37743831666666677</v>
      </c>
      <c r="CI45" s="206">
        <v>2.7064875500000007</v>
      </c>
      <c r="CJ45" s="59">
        <v>0.55234044999999965</v>
      </c>
      <c r="CK45" s="59">
        <v>2.6991934333333329</v>
      </c>
      <c r="CL45" s="206">
        <v>27.222673350041759</v>
      </c>
      <c r="CM45" s="206">
        <v>27.146055045871606</v>
      </c>
      <c r="CN45" s="206">
        <v>37.965178780284049</v>
      </c>
      <c r="CO45" s="206">
        <v>35.352849874895803</v>
      </c>
      <c r="CP45" s="206">
        <v>53.543842940685067</v>
      </c>
      <c r="CQ45" s="206">
        <v>55.598523769808203</v>
      </c>
      <c r="CR45" s="59">
        <v>0</v>
      </c>
      <c r="CS45" s="59">
        <v>0</v>
      </c>
      <c r="CT45" s="206">
        <v>0.76298997493734388</v>
      </c>
      <c r="CU45" s="206">
        <v>0.77621184320266945</v>
      </c>
      <c r="CV45" s="206">
        <v>1.827</v>
      </c>
      <c r="CW45" s="258">
        <v>2.0489999999999999</v>
      </c>
      <c r="CX45" s="204">
        <f>IFERROR(AVERAGEIF(RD[[#This Row],[IS1POA1 (KWh/m2)]:[IS7POA2 (KWh/m2)]],"&lt;&gt;0",RD[[#This Row],[IS1POA1 (KWh/m2)]:[IS7POA2 (KWh/m2)]]),"")</f>
        <v>2.800439208333334</v>
      </c>
      <c r="CY45" s="204">
        <f>IFERROR(AVERAGEIF(RD[[#This Row],[IS1GHI1 (KWh/m2)]:[IS7GHI2 (KWh/m2)]],"&lt;&gt;0",RD[[#This Row],[IS1GHI1 (KWh/m2)]:[IS7GHI2 (KWh/m2)]]),"")</f>
        <v>1.6428539000000013</v>
      </c>
      <c r="CZ45" s="204">
        <f>IFERROR(AVERAGEIF(RD[[#This Row],[IS1POA_BS1 (KWh/m2)]:[IS7POA_BS2 (KWh/m2)]],"&lt;&gt;0",RD[[#This Row],[IS1POA_BS1 (KWh/m2)]:[IS7POA_BS2 (KWh/m2)]]),"")</f>
        <v>1.5419629333333338</v>
      </c>
      <c r="DA45" s="204">
        <f>IFERROR(AVERAGEIF(RD[[#This Row],[IS1GHI_BS1 (KWh/m2)]:[IS1GHI_BS1 (KWh/m2)2]],"&lt;&gt;0",RD[[#This Row],[IS1GHI_BS1 (KWh/m2)]:[IS1GHI_BS1 (KWh/m2)2]]),"")</f>
        <v>1.6257669416666662</v>
      </c>
      <c r="DB45" s="204">
        <f>IFERROR(AVERAGEIF(RD[[#This Row],[IS1AT1 (°C)]:[IS7AT2 (°C)]],"&lt;&gt;0",RD[[#This Row],[IS1AT1 (°C)]:[IS7AT2 (°C)]]),"")</f>
        <v>27.184364197956683</v>
      </c>
      <c r="DC45" s="204">
        <f>IFERROR(AVERAGEIF(RD[[#This Row],[IS1MT1 (°C)]:[IS7MT2 (°C)]],"&lt;&gt;0",RD[[#This Row],[IS1MT1 (°C)]:[IS7MT2 (°C)]]),"")</f>
        <v>36.659014327589929</v>
      </c>
      <c r="DD45" s="204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204">
        <f>IFERROR(AVERAGEIF(RD[[#This Row],[WS_Solar1_Avg (m/s)]:[IS7_WS_Solar1_Avg (m/s)]],"&lt;&gt;0",RD[[#This Row],[WS_Solar1_Avg (m/s)]:[IS7_WS_Solar1_Avg (m/s)]]),"")</f>
        <v>0.76960090907000667</v>
      </c>
      <c r="DG45" s="204">
        <f>IFERROR(AVERAGEIF(RD[[#This Row],[WS_Solar1_Max (m/s)]:[IS7_WS_Solar1_Max (m/s)]],"&lt;&gt;0",RD[[#This Row],[WS_Solar1_Max (m/s)]:[IS7_WS_Solar1_Max (m/s)]]),"")</f>
        <v>1.9379999999999999</v>
      </c>
      <c r="DH45" s="204">
        <f>SUM(RD[[#This Row],[IS1Inv1M1]:[IS4Inv4M2]])</f>
        <v>134993.79999999999</v>
      </c>
      <c r="DI45" s="205">
        <f>SUM(RD[[#This Row],[IS7Inv1M1]]+RD[[#This Row],[IS7Inv2M1]])</f>
        <v>7470.6</v>
      </c>
      <c r="DJ45" s="204">
        <f>SUM(RD[[#This Row],[IS5Inv1M1]:[IS5Inv2M2]])</f>
        <v>18687.099999999999</v>
      </c>
      <c r="DK45" s="204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86">
        <f>SUM(RD[[#This Row],[IS12Inv1M1]:[IS12Inv1M4]])</f>
        <v>27547</v>
      </c>
      <c r="DO45" s="286">
        <f>SUM(RD[[#This Row],[IS13Inv1M1]:[IS13Inv2M2]])</f>
        <v>8327.1</v>
      </c>
      <c r="DP45" s="204">
        <f>SUM(RD[[#This Row],[O2R15]:[O2R26]])</f>
        <v>395098.69999999995</v>
      </c>
      <c r="DQ45" s="164">
        <v>39228.9</v>
      </c>
      <c r="DR45" s="168">
        <v>207.6</v>
      </c>
      <c r="DS45" s="164">
        <v>33876.400000000001</v>
      </c>
      <c r="DT45" s="164">
        <v>220</v>
      </c>
      <c r="DU45" s="168">
        <v>39268.1</v>
      </c>
      <c r="DV45" s="168">
        <v>394.5</v>
      </c>
      <c r="DW45" s="164">
        <v>7179.6</v>
      </c>
      <c r="DX45" s="168">
        <v>32</v>
      </c>
      <c r="DY45" s="168"/>
      <c r="DZ45" s="168"/>
      <c r="EA45" s="140">
        <v>92.54</v>
      </c>
      <c r="EB45" s="241">
        <v>122867957</v>
      </c>
      <c r="EC45" s="240">
        <v>911764.73600000003</v>
      </c>
      <c r="ED45" s="241">
        <v>1093</v>
      </c>
      <c r="EE45" s="241">
        <v>117178</v>
      </c>
      <c r="EF45" s="164">
        <v>170407.9</v>
      </c>
      <c r="EG45" s="164">
        <v>1792.4</v>
      </c>
      <c r="EH45" s="146">
        <f>IF((RD[[#This Row],[33 kV_F3_Ex
Incomer1]]-DQ44)*1000&lt;0,0,(RD[[#This Row],[33 kV_F3_Ex
Incomer1]]-DQ44)*1000)</f>
        <v>68700.000000004366</v>
      </c>
      <c r="EI45" s="146">
        <f>IF((RD[[#This Row],[34 kV_F3_Im
Incomer1]]-DR44)*1000&lt;0,0,(RD[[#This Row],[34 kV_F3_Im
Incomer1]]-DR44)*1000)</f>
        <v>400.00000000000568</v>
      </c>
      <c r="EJ45" s="146">
        <f>IF((RD[[#This Row],[33 kV_F4_Ex
Incomer2]]-DS44)*1000&lt;0,0,(RD[[#This Row],[33 kV_F4_Ex
Incomer2]]-DS44)*1000)</f>
        <v>66400.000000001455</v>
      </c>
      <c r="EK45" s="146">
        <f>IF((RD[[#This Row],[34 kV_F4_Im
Incomer2]]-DT44)*1000&lt;0,0,(RD[[#This Row],[34 kV_F4_Im
Incomer2]]-DT44)*1000)</f>
        <v>400.00000000000568</v>
      </c>
      <c r="EL45" s="146">
        <f>IF((RD[[#This Row],[33 kV_F5_Ex
Incomer3]]-DU44)*1000&lt;0,0,(RD[[#This Row],[33 kV_F5_Ex
Incomer3]]-DU44)*1000)</f>
        <v>80699.99999999709</v>
      </c>
      <c r="EM45" s="146">
        <f>IF((RD[[#This Row],[34 kV_F5_Im
Incomer3]]-DV44)*1000&lt;0,0,(RD[[#This Row],[34 kV_F5_Im
Incomer3]]-DV44)*1000)</f>
        <v>699.99999999998863</v>
      </c>
      <c r="EN45" s="146">
        <f>IF((RD[[#This Row],[33 kV_F6_Ex
Incomer4]]-DW44)*1000&lt;0,0,(RD[[#This Row],[33 kV_F6_Ex
Incomer4]]-DW44)*1000)</f>
        <v>82300.000000000175</v>
      </c>
      <c r="EO45" s="146">
        <f>IF((RD[[#This Row],[33 kV_F6_Im
Incomer4]]-DX44)*1000&lt;0,0,(RD[[#This Row],[33 kV_F6_Im
Incomer4]]-DX44)*1000)</f>
        <v>600.00000000000136</v>
      </c>
      <c r="EP45" s="146">
        <f>IF((RD[[#This Row],[33 kV_F7_Ex
Incomer5]]-DY44)*1000&lt;0,0,(RD[[#This Row],[33 kV_F7_Ex
Incomer5]]-DY44)*1000)</f>
        <v>0</v>
      </c>
      <c r="EQ45" s="146">
        <f>IF((RD[[#This Row],[33 kV_F7_Im
Incomer5]]-DZ44)*1000&lt;0,0,(RD[[#This Row],[33 kV_F7_Im
Incomer5]]-DZ44)*1000)</f>
        <v>0</v>
      </c>
      <c r="ER45" s="146">
        <f>IF((RD[[#This Row],[33 kV_Aux Trafo]]-EA44)*1000&lt;0,0,(RD[[#This Row],[33 kV_Aux Trafo]]-EA44)*1000)</f>
        <v>240.00000000000909</v>
      </c>
      <c r="ES45" s="158">
        <f>IF((RD[[#This Row],[33kV_OG1_Ex_]]-EB44)*1&lt;0,0,(RD[[#This Row],[33kV_OG1_Ex_]]-EB44)*1)</f>
        <v>297451</v>
      </c>
      <c r="ET45" s="146">
        <f>IF((RD[[#This Row],[33kV_OG1_Im]]-EC44)*1&lt;0,0,(RD[[#This Row],[33kV_OG1_Im]]-EC44)*1)</f>
        <v>2249.4720000000671</v>
      </c>
      <c r="EU45" s="146">
        <f>IF((RD[[#This Row],[132kV_TX1_EX]]-ED44)*720&lt;=0,"",(RD[[#This Row],[132kV_TX1_EX]]-ED44)*720)</f>
        <v>2160</v>
      </c>
      <c r="EV45" s="146">
        <f>IF((RD[[#This Row],[132 kV_Tx1_Im]]-EE44)*720&lt;=0,0,(RD[[#This Row],[132 kV_Tx1_Im]]-EE44)*720)</f>
        <v>213120</v>
      </c>
      <c r="EW45" s="146">
        <f>IF((RD[[#This Row],[132kV_L1_Ex]]-EF44)*720&lt;=0,0,(RD[[#This Row],[132kV_L1_Ex]]-EF44)*720)</f>
        <v>296423.99999998743</v>
      </c>
      <c r="EX45" s="146">
        <f>IF((RD[[#This Row],[132kV_L1_Im]]-EG44)*720&lt;=0,0,(RD[[#This Row],[132kV_L1_Im]]-EG44)*720)</f>
        <v>2808.0000000000655</v>
      </c>
      <c r="EY45" s="242">
        <f>IFERROR(RD[[#This Row],[33kV_OG1_Ex (MWh)]]+RD[[#This Row],[33kV_OG1_Im (MWh)]],"")</f>
        <v>299700.47200000007</v>
      </c>
      <c r="EZ45" s="148">
        <f>RD[[#This Row],[33kV_OG1_Ex (MWh)]]-RD[[#This Row],[33kV_OG1_Im (MWh)]]</f>
        <v>295201.52799999993</v>
      </c>
      <c r="FA45" s="148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43">
        <f>IFERROR((RD[[#This Row],[Sunset Time (POA&lt;20 W/m2)]]-RD[[#This Row],[Sunrise Time (POA&gt;20 W/m2)]])*24,0)</f>
        <v>11.716666666666669</v>
      </c>
      <c r="FD45" s="244">
        <v>111</v>
      </c>
      <c r="FE45" t="s">
        <v>279</v>
      </c>
      <c r="FG45" s="144" t="str">
        <f>IFERROR(RD[[#This Row],[E_AC (WPR)]]/RD[[#This Row],[E_DC (WPR)]],"")</f>
        <v/>
      </c>
    </row>
    <row r="46" spans="1:163">
      <c r="A46" s="133">
        <f t="shared" si="157"/>
        <v>45786</v>
      </c>
      <c r="B46" s="138">
        <f>YEAR(RD[[#This Row],[Date]])+IF(MONTH(RD[[#This Row],[Date]])&gt;=4,1,0)</f>
        <v>2026</v>
      </c>
      <c r="C46" s="138">
        <f>YEAR(RD[[#This Row],[Date]])</f>
        <v>2025</v>
      </c>
      <c r="D46" s="139">
        <f t="shared" si="158"/>
        <v>45778</v>
      </c>
      <c r="E46" s="138">
        <f>DAY(EOMONTH(RD[[#This Row],[Date]],0))</f>
        <v>31</v>
      </c>
      <c r="F46" s="152">
        <v>0.25694444444444442</v>
      </c>
      <c r="G46" s="162">
        <v>0.77083333333333337</v>
      </c>
      <c r="H46" s="124">
        <v>7936.5</v>
      </c>
      <c r="I46" s="124">
        <v>7902.1</v>
      </c>
      <c r="J46" s="124">
        <v>7513.3</v>
      </c>
      <c r="K46" s="124">
        <v>7523.4</v>
      </c>
      <c r="L46" s="124">
        <v>7712.1</v>
      </c>
      <c r="M46" s="124">
        <v>7942.9</v>
      </c>
      <c r="N46" s="124">
        <v>7690.3</v>
      </c>
      <c r="O46" s="124">
        <v>8358.2999999999993</v>
      </c>
      <c r="P46" s="124">
        <v>7771.4</v>
      </c>
      <c r="Q46" s="124">
        <v>7680.4</v>
      </c>
      <c r="R46" s="124">
        <v>8021</v>
      </c>
      <c r="S46" s="124">
        <v>7996.7</v>
      </c>
      <c r="T46" s="124">
        <v>8221.7999999999993</v>
      </c>
      <c r="U46" s="124">
        <v>8114.8</v>
      </c>
      <c r="V46" s="124">
        <v>8158.6</v>
      </c>
      <c r="W46" s="124">
        <v>7863.1</v>
      </c>
      <c r="X46" s="203">
        <v>11176.9</v>
      </c>
      <c r="Y46" s="203">
        <v>11969.5</v>
      </c>
      <c r="Z46" s="203">
        <v>10812.3</v>
      </c>
      <c r="AA46" s="203">
        <v>11177.2</v>
      </c>
      <c r="AB46" s="203">
        <v>11700.4</v>
      </c>
      <c r="AC46" s="203">
        <v>7362.7</v>
      </c>
      <c r="AD46" s="203">
        <v>10993</v>
      </c>
      <c r="AE46" s="203">
        <v>11382.3</v>
      </c>
      <c r="AF46" s="203">
        <v>10975.5</v>
      </c>
      <c r="AG46" s="203">
        <v>10934</v>
      </c>
      <c r="AH46" s="203">
        <v>11012.4</v>
      </c>
      <c r="AI46" s="203">
        <v>11276.1</v>
      </c>
      <c r="AJ46" s="142">
        <v>9147.7000000000007</v>
      </c>
      <c r="AK46" s="142">
        <v>9353.9</v>
      </c>
      <c r="AL46" s="142">
        <v>9164.6</v>
      </c>
      <c r="AM46" s="142">
        <v>9341.7000000000007</v>
      </c>
      <c r="AN46" s="142">
        <v>9220.2999999999993</v>
      </c>
      <c r="AO46" s="142">
        <v>9570.7000000000007</v>
      </c>
      <c r="AP46" s="142">
        <v>9355.7000000000007</v>
      </c>
      <c r="AQ46" s="142">
        <v>9302.9</v>
      </c>
      <c r="AR46" s="142">
        <v>7467.2</v>
      </c>
      <c r="AS46" s="142">
        <v>7573.6</v>
      </c>
      <c r="AT46" s="142">
        <v>7557.6</v>
      </c>
      <c r="AU46" s="142">
        <v>7535.4</v>
      </c>
      <c r="AV46" s="142">
        <v>7708</v>
      </c>
      <c r="AW46" s="142">
        <v>7477.8</v>
      </c>
      <c r="AX46" s="142">
        <v>10618</v>
      </c>
      <c r="AY46" s="142">
        <v>11660</v>
      </c>
      <c r="AZ46" s="142">
        <v>8812</v>
      </c>
      <c r="BA46" s="142">
        <v>10634</v>
      </c>
      <c r="BB46" s="142">
        <v>10621</v>
      </c>
      <c r="BC46" s="142">
        <v>8996</v>
      </c>
      <c r="BD46" s="142">
        <v>7428</v>
      </c>
      <c r="BE46" s="142">
        <v>10148</v>
      </c>
      <c r="BF46" s="142">
        <v>10791</v>
      </c>
      <c r="BG46" s="142">
        <v>10780</v>
      </c>
      <c r="BH46" s="142">
        <v>6444</v>
      </c>
      <c r="BI46" s="142">
        <v>4120</v>
      </c>
      <c r="BJ46" s="142">
        <v>7345</v>
      </c>
      <c r="BK46" s="142">
        <v>5290</v>
      </c>
      <c r="BL46" s="142">
        <v>6980</v>
      </c>
      <c r="BM46" s="142">
        <v>6836</v>
      </c>
      <c r="BN46" s="142">
        <v>7108</v>
      </c>
      <c r="BO46" s="142">
        <v>6890</v>
      </c>
      <c r="BP46" s="142">
        <v>7332</v>
      </c>
      <c r="BQ46" s="142">
        <v>6656</v>
      </c>
      <c r="BR46" s="142">
        <v>6871</v>
      </c>
      <c r="BS46" s="142">
        <v>3052</v>
      </c>
      <c r="BT46" s="142">
        <v>2731</v>
      </c>
      <c r="BU46" s="142">
        <v>1587</v>
      </c>
      <c r="BV46" s="142"/>
      <c r="BW46" s="142"/>
      <c r="BX46" s="142"/>
      <c r="BY46" s="142"/>
      <c r="BZ46" s="142">
        <v>1173</v>
      </c>
      <c r="CA46" s="142">
        <v>984</v>
      </c>
      <c r="CB46" s="142">
        <v>4206</v>
      </c>
      <c r="CC46" s="142">
        <v>7468</v>
      </c>
      <c r="CD46" s="59">
        <v>6.6069165166666721</v>
      </c>
      <c r="CE46" s="59">
        <v>6.1783353333333384</v>
      </c>
      <c r="CF46" s="206">
        <v>6.7839831999999971</v>
      </c>
      <c r="CG46" s="206">
        <v>6.2100607166666721</v>
      </c>
      <c r="CH46" s="206">
        <v>0.89711423333333407</v>
      </c>
      <c r="CI46" s="206">
        <v>0.92602863333333318</v>
      </c>
      <c r="CJ46" s="59">
        <v>1.3424037833333324</v>
      </c>
      <c r="CK46" s="59">
        <v>6.2100607166666721</v>
      </c>
      <c r="CL46" s="206">
        <v>30.201518367346988</v>
      </c>
      <c r="CM46" s="206">
        <v>30.277938741721844</v>
      </c>
      <c r="CN46" s="206">
        <v>45.574770612244855</v>
      </c>
      <c r="CO46" s="206">
        <v>42.863171357615883</v>
      </c>
      <c r="CP46" s="206">
        <v>52.364457142857169</v>
      </c>
      <c r="CQ46" s="206">
        <v>53.28491721854288</v>
      </c>
      <c r="CR46" s="59">
        <v>0</v>
      </c>
      <c r="CS46" s="59">
        <v>0</v>
      </c>
      <c r="CT46" s="206">
        <v>0.86715428571428621</v>
      </c>
      <c r="CU46" s="206">
        <v>0.93809850993377419</v>
      </c>
      <c r="CV46" s="206">
        <v>2.625</v>
      </c>
      <c r="CW46" s="258">
        <v>2.706</v>
      </c>
      <c r="CX46" s="204">
        <f>IFERROR(AVERAGEIF(RD[[#This Row],[IS1POA1 (KWh/m2)]:[IS7POA2 (KWh/m2)]],"&lt;&gt;0",RD[[#This Row],[IS1POA1 (KWh/m2)]:[IS7POA2 (KWh/m2)]]),"")</f>
        <v>6.3926259250000053</v>
      </c>
      <c r="CY46" s="204">
        <f>IFERROR(AVERAGEIF(RD[[#This Row],[IS1GHI1 (KWh/m2)]:[IS7GHI2 (KWh/m2)]],"&lt;&gt;0",RD[[#This Row],[IS1GHI1 (KWh/m2)]:[IS7GHI2 (KWh/m2)]]),"")</f>
        <v>6.4970219583333346</v>
      </c>
      <c r="CZ46" s="204">
        <f>IFERROR(AVERAGEIF(RD[[#This Row],[IS1POA_BS1 (KWh/m2)]:[IS7POA_BS2 (KWh/m2)]],"&lt;&gt;0",RD[[#This Row],[IS1POA_BS1 (KWh/m2)]:[IS7POA_BS2 (KWh/m2)]]),"")</f>
        <v>0.91157143333333357</v>
      </c>
      <c r="DA46" s="204">
        <f>IFERROR(AVERAGEIF(RD[[#This Row],[IS1GHI_BS1 (KWh/m2)]:[IS1GHI_BS1 (KWh/m2)2]],"&lt;&gt;0",RD[[#This Row],[IS1GHI_BS1 (KWh/m2)]:[IS1GHI_BS1 (KWh/m2)2]]),"")</f>
        <v>3.7762322500000023</v>
      </c>
      <c r="DB46" s="204">
        <f>IFERROR(AVERAGEIF(RD[[#This Row],[IS1AT1 (°C)]:[IS7AT2 (°C)]],"&lt;&gt;0",RD[[#This Row],[IS1AT1 (°C)]:[IS7AT2 (°C)]]),"")</f>
        <v>30.239728554534416</v>
      </c>
      <c r="DC46" s="204">
        <f>IFERROR(AVERAGEIF(RD[[#This Row],[IS1MT1 (°C)]:[IS7MT2 (°C)]],"&lt;&gt;0",RD[[#This Row],[IS1MT1 (°C)]:[IS7MT2 (°C)]]),"")</f>
        <v>44.218970984930365</v>
      </c>
      <c r="DD46" s="204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204">
        <f>IFERROR(AVERAGEIF(RD[[#This Row],[WS_Solar1_Avg (m/s)]:[IS7_WS_Solar1_Avg (m/s)]],"&lt;&gt;0",RD[[#This Row],[WS_Solar1_Avg (m/s)]:[IS7_WS_Solar1_Avg (m/s)]]),"")</f>
        <v>0.9026263978240302</v>
      </c>
      <c r="DG46" s="204">
        <f>IFERROR(AVERAGEIF(RD[[#This Row],[WS_Solar1_Max (m/s)]:[IS7_WS_Solar1_Max (m/s)]],"&lt;&gt;0",RD[[#This Row],[WS_Solar1_Max (m/s)]:[IS7_WS_Solar1_Max (m/s)]]),"")</f>
        <v>2.6654999999999998</v>
      </c>
      <c r="DH46" s="204">
        <f>SUM(RD[[#This Row],[IS1Inv1M1]:[IS4Inv4M2]])</f>
        <v>257179</v>
      </c>
      <c r="DI46" s="205">
        <f>SUM(RD[[#This Row],[IS7Inv1M1]]+RD[[#This Row],[IS7Inv2M1]])</f>
        <v>15040.8</v>
      </c>
      <c r="DJ46" s="204">
        <f>SUM(RD[[#This Row],[IS5Inv1M1]:[IS5Inv2M2]])</f>
        <v>37007.899999999994</v>
      </c>
      <c r="DK46" s="204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86">
        <f>SUM(RD[[#This Row],[IS12Inv1M1]:[IS12Inv1M4]])</f>
        <v>27986</v>
      </c>
      <c r="DO46" s="286">
        <f>SUM(RD[[#This Row],[IS13Inv1M1]:[IS13Inv2M2]])</f>
        <v>14241</v>
      </c>
      <c r="DP46" s="204">
        <f>SUM(RD[[#This Row],[O2R15]:[O2R26]])</f>
        <v>570517.09999999986</v>
      </c>
      <c r="DQ46" s="164">
        <v>39358.699999999997</v>
      </c>
      <c r="DR46" s="168">
        <v>208</v>
      </c>
      <c r="DS46" s="164">
        <v>33992.300000000003</v>
      </c>
      <c r="DT46" s="164">
        <v>220.3</v>
      </c>
      <c r="DU46" s="168">
        <v>39427.300000000003</v>
      </c>
      <c r="DV46" s="168">
        <v>395.1</v>
      </c>
      <c r="DW46" s="164">
        <v>7328.5</v>
      </c>
      <c r="DX46" s="168">
        <v>32.299999999999997</v>
      </c>
      <c r="DY46" s="168"/>
      <c r="DZ46" s="168"/>
      <c r="EA46" s="140">
        <v>92.81</v>
      </c>
      <c r="EB46" s="241">
        <v>123429380</v>
      </c>
      <c r="EC46" s="240">
        <v>913647.61600000004</v>
      </c>
      <c r="ED46" s="241">
        <v>1096</v>
      </c>
      <c r="EE46" s="241">
        <v>117737</v>
      </c>
      <c r="EF46" s="164">
        <v>171185</v>
      </c>
      <c r="EG46" s="164">
        <v>1795.8</v>
      </c>
      <c r="EH46" s="146">
        <f>IF((RD[[#This Row],[33 kV_F3_Ex
Incomer1]]-DQ45)*1000&lt;0,0,(RD[[#This Row],[33 kV_F3_Ex
Incomer1]]-DQ45)*1000)</f>
        <v>129799.99999999563</v>
      </c>
      <c r="EI46" s="146">
        <f>IF((RD[[#This Row],[34 kV_F3_Im
Incomer1]]-DR45)*1000&lt;0,0,(RD[[#This Row],[34 kV_F3_Im
Incomer1]]-DR45)*1000)</f>
        <v>400.00000000000568</v>
      </c>
      <c r="EJ46" s="146">
        <f>IF((RD[[#This Row],[33 kV_F4_Ex
Incomer2]]-DS45)*1000&lt;0,0,(RD[[#This Row],[33 kV_F4_Ex
Incomer2]]-DS45)*1000)</f>
        <v>115900.00000000146</v>
      </c>
      <c r="EK46" s="146">
        <f>IF((RD[[#This Row],[34 kV_F4_Im
Incomer2]]-DT45)*1000&lt;0,0,(RD[[#This Row],[34 kV_F4_Im
Incomer2]]-DT45)*1000)</f>
        <v>300.00000000001137</v>
      </c>
      <c r="EL46" s="146">
        <f>IF((RD[[#This Row],[33 kV_F5_Ex
Incomer3]]-DU45)*1000&lt;0,0,(RD[[#This Row],[33 kV_F5_Ex
Incomer3]]-DU45)*1000)</f>
        <v>159200.00000000437</v>
      </c>
      <c r="EM46" s="146">
        <f>IF((RD[[#This Row],[34 kV_F5_Im
Incomer3]]-DV45)*1000&lt;0,0,(RD[[#This Row],[34 kV_F5_Im
Incomer3]]-DV45)*1000)</f>
        <v>600.00000000002274</v>
      </c>
      <c r="EN46" s="146">
        <f>IF((RD[[#This Row],[33 kV_F6_Ex
Incomer4]]-DW45)*1000&lt;0,0,(RD[[#This Row],[33 kV_F6_Ex
Incomer4]]-DW45)*1000)</f>
        <v>148899.99999999965</v>
      </c>
      <c r="EO46" s="146">
        <f>IF((RD[[#This Row],[33 kV_F6_Im
Incomer4]]-DX45)*1000&lt;0,0,(RD[[#This Row],[33 kV_F6_Im
Incomer4]]-DX45)*1000)</f>
        <v>299.99999999999716</v>
      </c>
      <c r="EP46" s="146">
        <f>IF((RD[[#This Row],[33 kV_F7_Ex
Incomer5]]-DY45)*1000&lt;0,0,(RD[[#This Row],[33 kV_F7_Ex
Incomer5]]-DY45)*1000)</f>
        <v>0</v>
      </c>
      <c r="EQ46" s="146">
        <f>IF((RD[[#This Row],[33 kV_F7_Im
Incomer5]]-DZ45)*1000&lt;0,0,(RD[[#This Row],[33 kV_F7_Im
Incomer5]]-DZ45)*1000)</f>
        <v>0</v>
      </c>
      <c r="ER46" s="146">
        <f>IF((RD[[#This Row],[33 kV_Aux Trafo]]-EA45)*1000&lt;0,0,(RD[[#This Row],[33 kV_Aux Trafo]]-EA45)*1000)</f>
        <v>269.99999999999602</v>
      </c>
      <c r="ES46" s="158">
        <f>IF((RD[[#This Row],[33kV_OG1_Ex_]]-EB45)*1&lt;0,0,(RD[[#This Row],[33kV_OG1_Ex_]]-EB45)*1)</f>
        <v>561423</v>
      </c>
      <c r="ET46" s="146">
        <f>IF((RD[[#This Row],[33kV_OG1_Im]]-EC45)*1&lt;0,0,(RD[[#This Row],[33kV_OG1_Im]]-EC45)*1)</f>
        <v>1882.8800000000047</v>
      </c>
      <c r="EU46" s="146">
        <f>IF((RD[[#This Row],[132kV_TX1_EX]]-ED45)*720&lt;=0,"",(RD[[#This Row],[132kV_TX1_EX]]-ED45)*720)</f>
        <v>2160</v>
      </c>
      <c r="EV46" s="146">
        <f>IF((RD[[#This Row],[132 kV_Tx1_Im]]-EE45)*720&lt;=0,0,(RD[[#This Row],[132 kV_Tx1_Im]]-EE45)*720)</f>
        <v>402480</v>
      </c>
      <c r="EW46" s="146">
        <f>IF((RD[[#This Row],[132kV_L1_Ex]]-EF45)*720&lt;=0,0,(RD[[#This Row],[132kV_L1_Ex]]-EF45)*720)</f>
        <v>559512.00000000419</v>
      </c>
      <c r="EX46" s="146">
        <f>IF((RD[[#This Row],[132kV_L1_Im]]-EG45)*720&lt;=0,0,(RD[[#This Row],[132kV_L1_Im]]-EG45)*720)</f>
        <v>2447.9999999999018</v>
      </c>
      <c r="EY46" s="242">
        <f>IFERROR(RD[[#This Row],[33kV_OG1_Ex (MWh)]]+RD[[#This Row],[33kV_OG1_Im (MWh)]],"")</f>
        <v>563305.88</v>
      </c>
      <c r="EZ46" s="148">
        <f>RD[[#This Row],[33kV_OG1_Ex (MWh)]]-RD[[#This Row],[33kV_OG1_Im (MWh)]]</f>
        <v>559540.12</v>
      </c>
      <c r="FA46" s="148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43">
        <f>IFERROR((RD[[#This Row],[Sunset Time (POA&lt;20 W/m2)]]-RD[[#This Row],[Sunrise Time (POA&gt;20 W/m2)]])*24,0)</f>
        <v>12.333333333333336</v>
      </c>
      <c r="FD46" s="244">
        <v>111</v>
      </c>
      <c r="FE46" t="s">
        <v>280</v>
      </c>
      <c r="FG46" s="144" t="str">
        <f>IFERROR(RD[[#This Row],[E_AC (WPR)]]/RD[[#This Row],[E_DC (WPR)]],"")</f>
        <v/>
      </c>
    </row>
    <row r="47" spans="1:163">
      <c r="A47" s="133">
        <f t="shared" si="157"/>
        <v>45787</v>
      </c>
      <c r="B47" s="138">
        <f>YEAR(RD[[#This Row],[Date]])+IF(MONTH(RD[[#This Row],[Date]])&gt;=4,1,0)</f>
        <v>2026</v>
      </c>
      <c r="C47" s="138">
        <f>YEAR(RD[[#This Row],[Date]])</f>
        <v>2025</v>
      </c>
      <c r="D47" s="139">
        <f t="shared" si="158"/>
        <v>45778</v>
      </c>
      <c r="E47" s="138">
        <f>DAY(EOMONTH(RD[[#This Row],[Date]],0))</f>
        <v>31</v>
      </c>
      <c r="F47" s="152">
        <v>0.25624999999999998</v>
      </c>
      <c r="G47" s="162">
        <v>0.76944444444444449</v>
      </c>
      <c r="H47" s="124">
        <v>8530.9</v>
      </c>
      <c r="I47" s="124">
        <v>8513.9</v>
      </c>
      <c r="J47" s="124">
        <v>8073.1</v>
      </c>
      <c r="K47" s="124">
        <v>8182.9</v>
      </c>
      <c r="L47" s="124">
        <v>8417.2999999999993</v>
      </c>
      <c r="M47" s="124">
        <v>8601.6</v>
      </c>
      <c r="N47" s="124">
        <v>8288.6</v>
      </c>
      <c r="O47" s="124">
        <v>8940.7000000000007</v>
      </c>
      <c r="P47" s="124">
        <v>8350.6</v>
      </c>
      <c r="Q47" s="124">
        <v>8288.1</v>
      </c>
      <c r="R47" s="124">
        <v>8599.4</v>
      </c>
      <c r="S47" s="124">
        <v>8559.7999999999993</v>
      </c>
      <c r="T47" s="124">
        <v>8843</v>
      </c>
      <c r="U47" s="124">
        <v>8664.7999999999993</v>
      </c>
      <c r="V47" s="124">
        <v>8739.5</v>
      </c>
      <c r="W47" s="124">
        <v>8446.6</v>
      </c>
      <c r="X47" s="203">
        <v>12089.4</v>
      </c>
      <c r="Y47" s="203">
        <v>13088.5</v>
      </c>
      <c r="Z47" s="203">
        <v>11595.3</v>
      </c>
      <c r="AA47" s="203">
        <v>12094.9</v>
      </c>
      <c r="AB47" s="203">
        <v>13202.2</v>
      </c>
      <c r="AC47" s="203">
        <v>8147.5</v>
      </c>
      <c r="AD47" s="203">
        <v>12052.9</v>
      </c>
      <c r="AE47" s="203">
        <v>12258.3</v>
      </c>
      <c r="AF47" s="203">
        <v>12017.3</v>
      </c>
      <c r="AG47" s="203">
        <v>12012.4</v>
      </c>
      <c r="AH47" s="203">
        <v>11934.1</v>
      </c>
      <c r="AI47" s="203">
        <v>12059</v>
      </c>
      <c r="AJ47" s="142">
        <v>9879.2000000000007</v>
      </c>
      <c r="AK47" s="142">
        <v>10131.4</v>
      </c>
      <c r="AL47" s="142">
        <v>9845.2999999999993</v>
      </c>
      <c r="AM47" s="142">
        <v>9967.2999999999993</v>
      </c>
      <c r="AN47" s="142">
        <v>9961</v>
      </c>
      <c r="AO47" s="142">
        <v>10289.200000000001</v>
      </c>
      <c r="AP47" s="142">
        <v>10118.799999999999</v>
      </c>
      <c r="AQ47" s="142">
        <v>10014.5</v>
      </c>
      <c r="AR47" s="142">
        <v>8133</v>
      </c>
      <c r="AS47" s="142">
        <v>8232.7999999999993</v>
      </c>
      <c r="AT47" s="142">
        <v>8177</v>
      </c>
      <c r="AU47" s="142">
        <v>8147.7</v>
      </c>
      <c r="AV47" s="142">
        <v>8379.9</v>
      </c>
      <c r="AW47" s="142">
        <v>8124</v>
      </c>
      <c r="AX47" s="142">
        <v>11616.3</v>
      </c>
      <c r="AY47" s="142">
        <v>12781.2</v>
      </c>
      <c r="AZ47" s="142">
        <v>9421.5</v>
      </c>
      <c r="BA47" s="142">
        <v>11426.9</v>
      </c>
      <c r="BB47" s="142">
        <v>11582.9</v>
      </c>
      <c r="BC47" s="142">
        <v>9710</v>
      </c>
      <c r="BD47" s="142">
        <v>8096.4</v>
      </c>
      <c r="BE47" s="142">
        <v>10923</v>
      </c>
      <c r="BF47" s="142">
        <v>11530</v>
      </c>
      <c r="BG47" s="142">
        <v>11510</v>
      </c>
      <c r="BH47" s="142">
        <v>6969.7</v>
      </c>
      <c r="BI47" s="142">
        <v>4440.3</v>
      </c>
      <c r="BJ47" s="142">
        <v>8026.1</v>
      </c>
      <c r="BK47" s="142">
        <v>5758.1</v>
      </c>
      <c r="BL47" s="142">
        <v>7706.6</v>
      </c>
      <c r="BM47" s="142">
        <v>7475.6</v>
      </c>
      <c r="BN47" s="142">
        <v>7923.2</v>
      </c>
      <c r="BO47" s="142">
        <v>7568.9</v>
      </c>
      <c r="BP47" s="142">
        <v>8571.1</v>
      </c>
      <c r="BQ47" s="142">
        <v>7674.8</v>
      </c>
      <c r="BR47" s="142">
        <v>6871.2</v>
      </c>
      <c r="BS47" s="142">
        <v>3051.5</v>
      </c>
      <c r="BT47" s="142">
        <v>3049.2</v>
      </c>
      <c r="BU47" s="142">
        <v>1740.2</v>
      </c>
      <c r="BV47" s="142"/>
      <c r="BW47" s="142"/>
      <c r="BX47" s="142"/>
      <c r="BY47" s="142"/>
      <c r="BZ47" s="142">
        <v>1251.5999999999999</v>
      </c>
      <c r="CA47" s="142">
        <v>1052.4000000000001</v>
      </c>
      <c r="CB47" s="142">
        <v>4499</v>
      </c>
      <c r="CC47" s="142">
        <v>8192.2999999999993</v>
      </c>
      <c r="CD47" s="59">
        <v>6.6940024499999957</v>
      </c>
      <c r="CE47" s="59">
        <v>6.5345817999999971</v>
      </c>
      <c r="CF47" s="206">
        <v>6.8186932166666665</v>
      </c>
      <c r="CG47" s="206">
        <v>6.4830149333333322</v>
      </c>
      <c r="CH47" s="206">
        <v>0.89043181666666726</v>
      </c>
      <c r="CI47" s="206">
        <v>0.98447174999999953</v>
      </c>
      <c r="CJ47" s="59">
        <v>1.3779289499999965</v>
      </c>
      <c r="CK47" s="59">
        <v>1.1162860833333323</v>
      </c>
      <c r="CL47" s="206">
        <v>31.204563176895242</v>
      </c>
      <c r="CM47" s="206">
        <v>31.419807359307409</v>
      </c>
      <c r="CN47" s="206">
        <v>45.431043321299647</v>
      </c>
      <c r="CO47" s="206">
        <v>43.241523088023129</v>
      </c>
      <c r="CP47" s="206">
        <v>50.129703971119177</v>
      </c>
      <c r="CQ47" s="206">
        <v>50.893953823953851</v>
      </c>
      <c r="CR47" s="59">
        <v>0</v>
      </c>
      <c r="CS47" s="59">
        <v>0</v>
      </c>
      <c r="CT47" s="206">
        <v>1.1677494584837542</v>
      </c>
      <c r="CU47" s="206">
        <v>1.2757113997113996</v>
      </c>
      <c r="CV47" s="206">
        <v>3.4049999999999998</v>
      </c>
      <c r="CW47" s="258">
        <v>3.7440000000000002</v>
      </c>
      <c r="CX47" s="204">
        <f>IFERROR(AVERAGEIF(RD[[#This Row],[IS1POA1 (KWh/m2)]:[IS7POA2 (KWh/m2)]],"&lt;&gt;0",RD[[#This Row],[IS1POA1 (KWh/m2)]:[IS7POA2 (KWh/m2)]]),"")</f>
        <v>6.6142921249999969</v>
      </c>
      <c r="CY47" s="204">
        <f>IFERROR(AVERAGEIF(RD[[#This Row],[IS1GHI1 (KWh/m2)]:[IS7GHI2 (KWh/m2)]],"&lt;&gt;0",RD[[#This Row],[IS1GHI1 (KWh/m2)]:[IS7GHI2 (KWh/m2)]]),"")</f>
        <v>6.6508540749999998</v>
      </c>
      <c r="CZ47" s="204">
        <f>IFERROR(AVERAGEIF(RD[[#This Row],[IS1POA_BS1 (KWh/m2)]:[IS7POA_BS2 (KWh/m2)]],"&lt;&gt;0",RD[[#This Row],[IS1POA_BS1 (KWh/m2)]:[IS7POA_BS2 (KWh/m2)]]),"")</f>
        <v>0.93745178333333334</v>
      </c>
      <c r="DA47" s="204">
        <f>IFERROR(AVERAGEIF(RD[[#This Row],[IS1GHI_BS1 (KWh/m2)]:[IS1GHI_BS1 (KWh/m2)2]],"&lt;&gt;0",RD[[#This Row],[IS1GHI_BS1 (KWh/m2)]:[IS1GHI_BS1 (KWh/m2)2]]),"")</f>
        <v>1.2471075166666643</v>
      </c>
      <c r="DB47" s="204">
        <f>IFERROR(AVERAGEIF(RD[[#This Row],[IS1AT1 (°C)]:[IS7AT2 (°C)]],"&lt;&gt;0",RD[[#This Row],[IS1AT1 (°C)]:[IS7AT2 (°C)]]),"")</f>
        <v>31.312185268101324</v>
      </c>
      <c r="DC47" s="204">
        <f>IFERROR(AVERAGEIF(RD[[#This Row],[IS1MT1 (°C)]:[IS7MT2 (°C)]],"&lt;&gt;0",RD[[#This Row],[IS1MT1 (°C)]:[IS7MT2 (°C)]]),"")</f>
        <v>44.336283204661385</v>
      </c>
      <c r="DD47" s="204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204">
        <f>IFERROR(AVERAGEIF(RD[[#This Row],[WS_Solar1_Avg (m/s)]:[IS7_WS_Solar1_Avg (m/s)]],"&lt;&gt;0",RD[[#This Row],[WS_Solar1_Avg (m/s)]:[IS7_WS_Solar1_Avg (m/s)]]),"")</f>
        <v>1.221730429097577</v>
      </c>
      <c r="DG47" s="204">
        <f>IFERROR(AVERAGEIF(RD[[#This Row],[WS_Solar1_Max (m/s)]:[IS7_WS_Solar1_Max (m/s)]],"&lt;&gt;0",RD[[#This Row],[WS_Solar1_Max (m/s)]:[IS7_WS_Solar1_Max (m/s)]]),"")</f>
        <v>3.5745</v>
      </c>
      <c r="DH47" s="204">
        <f>SUM(RD[[#This Row],[IS1Inv1M1]:[IS4Inv4M2]])</f>
        <v>278592.59999999998</v>
      </c>
      <c r="DI47" s="205">
        <f>SUM(RD[[#This Row],[IS7Inv1M1]]+RD[[#This Row],[IS7Inv2M1]])</f>
        <v>16365.8</v>
      </c>
      <c r="DJ47" s="204">
        <f>SUM(RD[[#This Row],[IS5Inv1M1]:[IS5Inv2M2]])</f>
        <v>39823.199999999997</v>
      </c>
      <c r="DK47" s="204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86">
        <f>SUM(RD[[#This Row],[IS12Inv1M1]:[IS12Inv1M4]])</f>
        <v>31737.999999999996</v>
      </c>
      <c r="DO47" s="286">
        <f>SUM(RD[[#This Row],[IS13Inv1M1]:[IS13Inv2M2]])</f>
        <v>14712.100000000002</v>
      </c>
      <c r="DP47" s="204">
        <f>SUM(RD[[#This Row],[O2R15]:[O2R26]])</f>
        <v>618413.69999999995</v>
      </c>
      <c r="DQ47" s="164">
        <v>39500.199999999997</v>
      </c>
      <c r="DR47" s="168">
        <v>208.4</v>
      </c>
      <c r="DS47" s="164">
        <v>34119.9</v>
      </c>
      <c r="DT47" s="164">
        <v>220.6</v>
      </c>
      <c r="DU47" s="168">
        <v>39599.4</v>
      </c>
      <c r="DV47" s="168">
        <v>395.7</v>
      </c>
      <c r="DW47" s="164">
        <v>7493</v>
      </c>
      <c r="DX47" s="168">
        <v>33.1</v>
      </c>
      <c r="DY47" s="168"/>
      <c r="DZ47" s="168"/>
      <c r="EA47" s="140">
        <v>93.08</v>
      </c>
      <c r="EB47" s="241">
        <v>124039970</v>
      </c>
      <c r="EC47" s="240">
        <v>915893.18400000001</v>
      </c>
      <c r="ED47" s="241">
        <v>1098</v>
      </c>
      <c r="EE47" s="241">
        <v>118346</v>
      </c>
      <c r="EF47" s="164">
        <v>172029.9</v>
      </c>
      <c r="EG47" s="164">
        <v>1799.6</v>
      </c>
      <c r="EH47" s="146">
        <f>IF((RD[[#This Row],[33 kV_F3_Ex
Incomer1]]-DQ46)*1000&lt;0,0,(RD[[#This Row],[33 kV_F3_Ex
Incomer1]]-DQ46)*1000)</f>
        <v>141500</v>
      </c>
      <c r="EI47" s="146">
        <f>IF((RD[[#This Row],[34 kV_F3_Im
Incomer1]]-DR46)*1000&lt;0,0,(RD[[#This Row],[34 kV_F3_Im
Incomer1]]-DR46)*1000)</f>
        <v>400.00000000000568</v>
      </c>
      <c r="EJ47" s="146">
        <f>IF((RD[[#This Row],[33 kV_F4_Ex
Incomer2]]-DS46)*1000&lt;0,0,(RD[[#This Row],[33 kV_F4_Ex
Incomer2]]-DS46)*1000)</f>
        <v>127599.99999999854</v>
      </c>
      <c r="EK47" s="146">
        <f>IF((RD[[#This Row],[34 kV_F4_Im
Incomer2]]-DT46)*1000&lt;0,0,(RD[[#This Row],[34 kV_F4_Im
Incomer2]]-DT46)*1000)</f>
        <v>299.99999999998295</v>
      </c>
      <c r="EL47" s="146">
        <f>IF((RD[[#This Row],[33 kV_F5_Ex
Incomer3]]-DU46)*1000&lt;0,0,(RD[[#This Row],[33 kV_F5_Ex
Incomer3]]-DU46)*1000)</f>
        <v>172099.99999999854</v>
      </c>
      <c r="EM47" s="146">
        <f>IF((RD[[#This Row],[34 kV_F5_Im
Incomer3]]-DV46)*1000&lt;0,0,(RD[[#This Row],[34 kV_F5_Im
Incomer3]]-DV46)*1000)</f>
        <v>599.99999999996589</v>
      </c>
      <c r="EN47" s="146">
        <f>IF((RD[[#This Row],[33 kV_F6_Ex
Incomer4]]-DW46)*1000&lt;0,0,(RD[[#This Row],[33 kV_F6_Ex
Incomer4]]-DW46)*1000)</f>
        <v>164500</v>
      </c>
      <c r="EO47" s="146">
        <f>IF((RD[[#This Row],[33 kV_F6_Im
Incomer4]]-DX46)*1000&lt;0,0,(RD[[#This Row],[33 kV_F6_Im
Incomer4]]-DX46)*1000)</f>
        <v>800.00000000000432</v>
      </c>
      <c r="EP47" s="146">
        <f>IF((RD[[#This Row],[33 kV_F7_Ex
Incomer5]]-DY46)*1000&lt;0,0,(RD[[#This Row],[33 kV_F7_Ex
Incomer5]]-DY46)*1000)</f>
        <v>0</v>
      </c>
      <c r="EQ47" s="146">
        <f>IF((RD[[#This Row],[33 kV_F7_Im
Incomer5]]-DZ46)*1000&lt;0,0,(RD[[#This Row],[33 kV_F7_Im
Incomer5]]-DZ46)*1000)</f>
        <v>0</v>
      </c>
      <c r="ER47" s="146">
        <f>IF((RD[[#This Row],[33 kV_Aux Trafo]]-EA46)*1000&lt;0,0,(RD[[#This Row],[33 kV_Aux Trafo]]-EA46)*1000)</f>
        <v>269.99999999999602</v>
      </c>
      <c r="ES47" s="158">
        <f>IF((RD[[#This Row],[33kV_OG1_Ex_]]-EB46)*1&lt;0,0,(RD[[#This Row],[33kV_OG1_Ex_]]-EB46)*1)</f>
        <v>610590</v>
      </c>
      <c r="ET47" s="146">
        <f>IF((RD[[#This Row],[33kV_OG1_Im]]-EC46)*1&lt;0,0,(RD[[#This Row],[33kV_OG1_Im]]-EC46)*1)</f>
        <v>2245.5679999999702</v>
      </c>
      <c r="EU47" s="146">
        <f>IF((RD[[#This Row],[132kV_TX1_EX]]-ED46)*720&lt;=0,"",(RD[[#This Row],[132kV_TX1_EX]]-ED46)*720)</f>
        <v>1440</v>
      </c>
      <c r="EV47" s="146">
        <f>IF((RD[[#This Row],[132 kV_Tx1_Im]]-EE46)*720&lt;=0,0,(RD[[#This Row],[132 kV_Tx1_Im]]-EE46)*720)</f>
        <v>438480</v>
      </c>
      <c r="EW47" s="146">
        <f>IF((RD[[#This Row],[132kV_L1_Ex]]-EF46)*720&lt;=0,0,(RD[[#This Row],[132kV_L1_Ex]]-EF46)*720)</f>
        <v>608327.99999999581</v>
      </c>
      <c r="EX47" s="146">
        <f>IF((RD[[#This Row],[132kV_L1_Im]]-EG46)*720&lt;=0,0,(RD[[#This Row],[132kV_L1_Im]]-EG46)*720)</f>
        <v>2735.9999999999673</v>
      </c>
      <c r="EY47" s="242">
        <f>IFERROR(RD[[#This Row],[33kV_OG1_Ex (MWh)]]+RD[[#This Row],[33kV_OG1_Im (MWh)]],"")</f>
        <v>612835.56799999997</v>
      </c>
      <c r="EZ47" s="148">
        <f>RD[[#This Row],[33kV_OG1_Ex (MWh)]]-RD[[#This Row],[33kV_OG1_Im (MWh)]]</f>
        <v>608344.43200000003</v>
      </c>
      <c r="FA47" s="148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43">
        <v>12.4</v>
      </c>
      <c r="FD47" s="244">
        <v>111</v>
      </c>
      <c r="FE47" t="s">
        <v>279</v>
      </c>
      <c r="FG47" s="144" t="str">
        <f>IFERROR(RD[[#This Row],[E_AC (WPR)]]/RD[[#This Row],[E_DC (WPR)]],"")</f>
        <v/>
      </c>
    </row>
    <row r="48" spans="1:163">
      <c r="A48" s="133">
        <f t="shared" si="157"/>
        <v>45788</v>
      </c>
      <c r="B48" s="138">
        <f>YEAR(RD[[#This Row],[Date]])+IF(MONTH(RD[[#This Row],[Date]])&gt;=4,1,0)</f>
        <v>2026</v>
      </c>
      <c r="C48" s="138">
        <f>YEAR(RD[[#This Row],[Date]])</f>
        <v>2025</v>
      </c>
      <c r="D48" s="139">
        <f t="shared" si="158"/>
        <v>45778</v>
      </c>
      <c r="E48" s="138">
        <f>DAY(EOMONTH(RD[[#This Row],[Date]],0))</f>
        <v>31</v>
      </c>
      <c r="F48" s="152">
        <v>0.25763888888888886</v>
      </c>
      <c r="G48" s="162">
        <v>0.7583333333333333</v>
      </c>
      <c r="H48" s="124">
        <v>6311.3</v>
      </c>
      <c r="I48" s="124">
        <v>6224.5</v>
      </c>
      <c r="J48" s="124">
        <v>5851.8</v>
      </c>
      <c r="K48" s="124">
        <v>5901.8</v>
      </c>
      <c r="L48" s="124">
        <v>6163.3</v>
      </c>
      <c r="M48" s="124">
        <v>6454</v>
      </c>
      <c r="N48" s="124">
        <v>6079.9</v>
      </c>
      <c r="O48" s="124">
        <v>6861.2</v>
      </c>
      <c r="P48" s="124">
        <v>5936.2</v>
      </c>
      <c r="Q48" s="124">
        <v>5960.2</v>
      </c>
      <c r="R48" s="124">
        <v>6215.4</v>
      </c>
      <c r="S48" s="124">
        <v>6173.3</v>
      </c>
      <c r="T48" s="124">
        <v>6325.4</v>
      </c>
      <c r="U48" s="124">
        <v>6240.6</v>
      </c>
      <c r="V48" s="124">
        <v>6286</v>
      </c>
      <c r="W48" s="124">
        <v>5994.6</v>
      </c>
      <c r="X48" s="203">
        <v>8467.9</v>
      </c>
      <c r="Y48" s="203">
        <v>9308.7000000000007</v>
      </c>
      <c r="Z48" s="203">
        <v>8176.1</v>
      </c>
      <c r="AA48" s="203">
        <v>8480.2000000000007</v>
      </c>
      <c r="AB48" s="203">
        <v>9686.1</v>
      </c>
      <c r="AC48" s="203">
        <v>5949.3</v>
      </c>
      <c r="AD48" s="203">
        <v>8892</v>
      </c>
      <c r="AE48" s="203">
        <v>9006.2000000000007</v>
      </c>
      <c r="AF48" s="203">
        <v>8757.6</v>
      </c>
      <c r="AG48" s="203">
        <v>8658</v>
      </c>
      <c r="AH48" s="203">
        <v>8699.2999999999993</v>
      </c>
      <c r="AI48" s="203">
        <v>8803.2000000000007</v>
      </c>
      <c r="AJ48" s="142">
        <v>7834.3</v>
      </c>
      <c r="AK48" s="142">
        <v>7908.9</v>
      </c>
      <c r="AL48" s="142">
        <v>7614.2</v>
      </c>
      <c r="AM48" s="142">
        <v>7714.1</v>
      </c>
      <c r="AN48" s="142">
        <v>7809.9</v>
      </c>
      <c r="AO48" s="142">
        <v>8027.6</v>
      </c>
      <c r="AP48" s="142">
        <v>8004.8</v>
      </c>
      <c r="AQ48" s="142">
        <v>7833.5</v>
      </c>
      <c r="AR48" s="142">
        <v>6317</v>
      </c>
      <c r="AS48" s="142">
        <v>6360.7</v>
      </c>
      <c r="AT48" s="142">
        <v>6311</v>
      </c>
      <c r="AU48" s="142">
        <v>6278.4</v>
      </c>
      <c r="AV48" s="142">
        <v>6433.3</v>
      </c>
      <c r="AW48" s="142">
        <v>6218.1</v>
      </c>
      <c r="AX48" s="142">
        <v>9263</v>
      </c>
      <c r="AY48" s="142">
        <v>10253</v>
      </c>
      <c r="AZ48" s="142">
        <v>7522</v>
      </c>
      <c r="BA48" s="142">
        <v>9031</v>
      </c>
      <c r="BB48" s="142">
        <v>9399</v>
      </c>
      <c r="BC48" s="142">
        <v>7899</v>
      </c>
      <c r="BD48" s="142">
        <v>6760</v>
      </c>
      <c r="BE48" s="142">
        <v>8923</v>
      </c>
      <c r="BF48" s="142">
        <v>9643</v>
      </c>
      <c r="BG48" s="142">
        <v>9742</v>
      </c>
      <c r="BH48" s="142">
        <v>5804</v>
      </c>
      <c r="BI48" s="142">
        <v>3563</v>
      </c>
      <c r="BJ48" s="142">
        <v>6330</v>
      </c>
      <c r="BK48" s="142">
        <v>4562</v>
      </c>
      <c r="BL48" s="142">
        <v>5938</v>
      </c>
      <c r="BM48" s="142">
        <v>5864</v>
      </c>
      <c r="BN48" s="142">
        <v>6412</v>
      </c>
      <c r="BO48" s="142">
        <v>5956</v>
      </c>
      <c r="BP48" s="142">
        <v>6757</v>
      </c>
      <c r="BQ48" s="142">
        <v>6054</v>
      </c>
      <c r="BR48" s="142">
        <v>7001</v>
      </c>
      <c r="BS48" s="142">
        <v>3538</v>
      </c>
      <c r="BT48" s="142">
        <v>2906</v>
      </c>
      <c r="BU48" s="142">
        <v>1357</v>
      </c>
      <c r="BV48" s="142"/>
      <c r="BW48" s="142"/>
      <c r="BX48" s="142"/>
      <c r="BY48" s="142"/>
      <c r="BZ48" s="142">
        <v>981</v>
      </c>
      <c r="CA48" s="142">
        <v>821</v>
      </c>
      <c r="CB48" s="142">
        <v>3573</v>
      </c>
      <c r="CC48" s="142">
        <v>6521</v>
      </c>
      <c r="CD48" s="59">
        <v>4.9530996333333315</v>
      </c>
      <c r="CE48" s="59">
        <v>5.0945720666666769</v>
      </c>
      <c r="CF48" s="206">
        <v>5.0113836166666665</v>
      </c>
      <c r="CG48" s="206">
        <v>5.0277726666666709</v>
      </c>
      <c r="CH48" s="206">
        <v>0.72585924999999962</v>
      </c>
      <c r="CI48" s="206">
        <v>0.72518864999999966</v>
      </c>
      <c r="CJ48" s="59">
        <v>1.0112918833333326</v>
      </c>
      <c r="CK48" s="59">
        <v>5.0277726666666709</v>
      </c>
      <c r="CL48" s="206">
        <v>30.355556471558241</v>
      </c>
      <c r="CM48" s="206">
        <v>30.703996710526297</v>
      </c>
      <c r="CN48" s="206">
        <v>43.100967023907671</v>
      </c>
      <c r="CO48" s="206">
        <v>41.624725328947441</v>
      </c>
      <c r="CP48" s="206">
        <v>53.924237427864774</v>
      </c>
      <c r="CQ48" s="206">
        <v>52.968659539473705</v>
      </c>
      <c r="CR48" s="59">
        <v>3.9571310799670224E-2</v>
      </c>
      <c r="CS48" s="59">
        <v>0</v>
      </c>
      <c r="CT48" s="206">
        <v>0.97938994229183807</v>
      </c>
      <c r="CU48" s="206">
        <v>0.99714967105263053</v>
      </c>
      <c r="CV48" s="206">
        <v>3.81</v>
      </c>
      <c r="CW48" s="258">
        <v>4.38</v>
      </c>
      <c r="CX48" s="204">
        <f>IFERROR(AVERAGEIF(RD[[#This Row],[IS1POA1 (KWh/m2)]:[IS7POA2 (KWh/m2)]],"&lt;&gt;0",RD[[#This Row],[IS1POA1 (KWh/m2)]:[IS7POA2 (KWh/m2)]]),"")</f>
        <v>5.0238358500000047</v>
      </c>
      <c r="CY48" s="204">
        <f>IFERROR(AVERAGEIF(RD[[#This Row],[IS1GHI1 (KWh/m2)]:[IS7GHI2 (KWh/m2)]],"&lt;&gt;0",RD[[#This Row],[IS1GHI1 (KWh/m2)]:[IS7GHI2 (KWh/m2)]]),"")</f>
        <v>5.0195781416666687</v>
      </c>
      <c r="CZ48" s="204">
        <f>IFERROR(AVERAGEIF(RD[[#This Row],[IS1POA_BS1 (KWh/m2)]:[IS7POA_BS2 (KWh/m2)]],"&lt;&gt;0",RD[[#This Row],[IS1POA_BS1 (KWh/m2)]:[IS7POA_BS2 (KWh/m2)]]),"")</f>
        <v>0.7255239499999997</v>
      </c>
      <c r="DA48" s="204">
        <f>IFERROR(AVERAGEIF(RD[[#This Row],[IS1GHI_BS1 (KWh/m2)]:[IS1GHI_BS1 (KWh/m2)2]],"&lt;&gt;0",RD[[#This Row],[IS1GHI_BS1 (KWh/m2)]:[IS1GHI_BS1 (KWh/m2)2]]),"")</f>
        <v>3.0195322750000018</v>
      </c>
      <c r="DB48" s="204">
        <f>IFERROR(AVERAGEIF(RD[[#This Row],[IS1AT1 (°C)]:[IS7AT2 (°C)]],"&lt;&gt;0",RD[[#This Row],[IS1AT1 (°C)]:[IS7AT2 (°C)]]),"")</f>
        <v>30.529776591042271</v>
      </c>
      <c r="DC48" s="204">
        <f>IFERROR(AVERAGEIF(RD[[#This Row],[IS1MT1 (°C)]:[IS7MT2 (°C)]],"&lt;&gt;0",RD[[#This Row],[IS1MT1 (°C)]:[IS7MT2 (°C)]]),"")</f>
        <v>42.362846176427553</v>
      </c>
      <c r="DD48" s="204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204">
        <f>IFERROR(AVERAGEIF(RD[[#This Row],[WS_Solar1_Avg (m/s)]:[IS7_WS_Solar1_Avg (m/s)]],"&lt;&gt;0",RD[[#This Row],[WS_Solar1_Avg (m/s)]:[IS7_WS_Solar1_Avg (m/s)]]),"")</f>
        <v>0.9882698066722343</v>
      </c>
      <c r="DG48" s="204">
        <f>IFERROR(AVERAGEIF(RD[[#This Row],[WS_Solar1_Max (m/s)]:[IS7_WS_Solar1_Max (m/s)]],"&lt;&gt;0",RD[[#This Row],[WS_Solar1_Max (m/s)]:[IS7_WS_Solar1_Max (m/s)]]),"")</f>
        <v>4.0949999999999998</v>
      </c>
      <c r="DH48" s="204">
        <f>SUM(RD[[#This Row],[IS1Inv1M1]:[IS4Inv4M2]])</f>
        <v>201864.1</v>
      </c>
      <c r="DI48" s="205">
        <f>SUM(RD[[#This Row],[IS7Inv1M1]]+RD[[#This Row],[IS7Inv2M1]])</f>
        <v>12677.7</v>
      </c>
      <c r="DJ48" s="204">
        <f>SUM(RD[[#This Row],[IS5Inv1M1]:[IS5Inv2M2]])</f>
        <v>31071.5</v>
      </c>
      <c r="DK48" s="204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86">
        <f>SUM(RD[[#This Row],[IS12Inv1M1]:[IS12Inv1M4]])</f>
        <v>25179</v>
      </c>
      <c r="DO48" s="286">
        <f>SUM(RD[[#This Row],[IS13Inv1M1]:[IS13Inv2M2]])</f>
        <v>14802</v>
      </c>
      <c r="DP48" s="204">
        <f>SUM(RD[[#This Row],[O2R15]:[O2R26]])</f>
        <v>474902.9</v>
      </c>
      <c r="DQ48" s="164">
        <v>39602.300000000003</v>
      </c>
      <c r="DR48" s="168">
        <v>208.8</v>
      </c>
      <c r="DS48" s="164">
        <v>34215.699999999997</v>
      </c>
      <c r="DT48" s="164">
        <v>221</v>
      </c>
      <c r="DU48" s="168">
        <v>39734.300000000003</v>
      </c>
      <c r="DV48" s="168">
        <v>396.4</v>
      </c>
      <c r="DW48" s="164">
        <v>7626.7</v>
      </c>
      <c r="DX48" s="168">
        <v>34.1</v>
      </c>
      <c r="DY48" s="168"/>
      <c r="DZ48" s="168"/>
      <c r="EA48" s="140">
        <v>93.36</v>
      </c>
      <c r="EB48" s="241">
        <v>124507570</v>
      </c>
      <c r="EC48" s="240">
        <v>918594.88</v>
      </c>
      <c r="ED48" s="241">
        <v>1102</v>
      </c>
      <c r="EE48" s="241">
        <v>118811</v>
      </c>
      <c r="EF48" s="164">
        <v>172676.9</v>
      </c>
      <c r="EG48" s="164">
        <v>1804.1</v>
      </c>
      <c r="EH48" s="146">
        <f>IF((RD[[#This Row],[33 kV_F3_Ex
Incomer1]]-DQ47)*1000&lt;0,0,(RD[[#This Row],[33 kV_F3_Ex
Incomer1]]-DQ47)*1000)</f>
        <v>102100.00000000582</v>
      </c>
      <c r="EI48" s="146">
        <f>IF((RD[[#This Row],[34 kV_F3_Im
Incomer1]]-DR47)*1000&lt;0,0,(RD[[#This Row],[34 kV_F3_Im
Incomer1]]-DR47)*1000)</f>
        <v>400.00000000000568</v>
      </c>
      <c r="EJ48" s="146">
        <f>IF((RD[[#This Row],[33 kV_F4_Ex
Incomer2]]-DS47)*1000&lt;0,0,(RD[[#This Row],[33 kV_F4_Ex
Incomer2]]-DS47)*1000)</f>
        <v>95799.999999995634</v>
      </c>
      <c r="EK48" s="146">
        <f>IF((RD[[#This Row],[34 kV_F4_Im
Incomer2]]-DT47)*1000&lt;0,0,(RD[[#This Row],[34 kV_F4_Im
Incomer2]]-DT47)*1000)</f>
        <v>400.00000000000568</v>
      </c>
      <c r="EL48" s="146">
        <f>IF((RD[[#This Row],[33 kV_F5_Ex
Incomer3]]-DU47)*1000&lt;0,0,(RD[[#This Row],[33 kV_F5_Ex
Incomer3]]-DU47)*1000)</f>
        <v>134900.00000000146</v>
      </c>
      <c r="EM48" s="146">
        <f>IF((RD[[#This Row],[34 kV_F5_Im
Incomer3]]-DV47)*1000&lt;0,0,(RD[[#This Row],[34 kV_F5_Im
Incomer3]]-DV47)*1000)</f>
        <v>699.99999999998863</v>
      </c>
      <c r="EN48" s="146">
        <f>IF((RD[[#This Row],[33 kV_F6_Ex
Incomer4]]-DW47)*1000&lt;0,0,(RD[[#This Row],[33 kV_F6_Ex
Incomer4]]-DW47)*1000)</f>
        <v>133699.99999999983</v>
      </c>
      <c r="EO48" s="146">
        <f>IF((RD[[#This Row],[33 kV_F6_Im
Incomer4]]-DX47)*1000&lt;0,0,(RD[[#This Row],[33 kV_F6_Im
Incomer4]]-DX47)*1000)</f>
        <v>1000</v>
      </c>
      <c r="EP48" s="146">
        <f>IF((RD[[#This Row],[33 kV_F7_Ex
Incomer5]]-DY47)*1000&lt;0,0,(RD[[#This Row],[33 kV_F7_Ex
Incomer5]]-DY47)*1000)</f>
        <v>0</v>
      </c>
      <c r="EQ48" s="146">
        <f>IF((RD[[#This Row],[33 kV_F7_Im
Incomer5]]-DZ47)*1000&lt;0,0,(RD[[#This Row],[33 kV_F7_Im
Incomer5]]-DZ47)*1000)</f>
        <v>0</v>
      </c>
      <c r="ER48" s="146">
        <f>IF((RD[[#This Row],[33 kV_Aux Trafo]]-EA47)*1000&lt;0,0,(RD[[#This Row],[33 kV_Aux Trafo]]-EA47)*1000)</f>
        <v>280.00000000000114</v>
      </c>
      <c r="ES48" s="158">
        <f>IF((RD[[#This Row],[33kV_OG1_Ex_]]-EB47)*1&lt;0,0,(RD[[#This Row],[33kV_OG1_Ex_]]-EB47)*1)</f>
        <v>467600</v>
      </c>
      <c r="ET48" s="146">
        <f>IF((RD[[#This Row],[33kV_OG1_Im]]-EC47)*1&lt;0,0,(RD[[#This Row],[33kV_OG1_Im]]-EC47)*1)</f>
        <v>2701.6959999999963</v>
      </c>
      <c r="EU48" s="146">
        <f>IF((RD[[#This Row],[132kV_TX1_EX]]-ED47)*720&lt;=0,"",(RD[[#This Row],[132kV_TX1_EX]]-ED47)*720)</f>
        <v>2880</v>
      </c>
      <c r="EV48" s="146">
        <f>IF((RD[[#This Row],[132 kV_Tx1_Im]]-EE47)*720&lt;=0,0,(RD[[#This Row],[132 kV_Tx1_Im]]-EE47)*720)</f>
        <v>334800</v>
      </c>
      <c r="EW48" s="146">
        <f>IF((RD[[#This Row],[132kV_L1_Ex]]-EF47)*720&lt;=0,0,(RD[[#This Row],[132kV_L1_Ex]]-EF47)*720)</f>
        <v>465840</v>
      </c>
      <c r="EX48" s="146">
        <f>IF((RD[[#This Row],[132kV_L1_Im]]-EG47)*720&lt;=0,0,(RD[[#This Row],[132kV_L1_Im]]-EG47)*720)</f>
        <v>3240</v>
      </c>
      <c r="EY48" s="242">
        <f>IFERROR(RD[[#This Row],[33kV_OG1_Ex (MWh)]]+RD[[#This Row],[33kV_OG1_Im (MWh)]],"")</f>
        <v>470301.696</v>
      </c>
      <c r="EZ48" s="148">
        <f>RD[[#This Row],[33kV_OG1_Ex (MWh)]]-RD[[#This Row],[33kV_OG1_Im (MWh)]]</f>
        <v>464898.304</v>
      </c>
      <c r="FA48" s="148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43">
        <v>12.4</v>
      </c>
      <c r="FD48" s="244">
        <v>111</v>
      </c>
      <c r="FE48" t="s">
        <v>281</v>
      </c>
      <c r="FG48" s="144" t="str">
        <f>IFERROR(RD[[#This Row],[E_AC (WPR)]]/RD[[#This Row],[E_DC (WPR)]],"")</f>
        <v/>
      </c>
    </row>
    <row r="49" spans="1:163">
      <c r="A49" s="133">
        <f t="shared" ref="A49:A52" si="159">A48+1</f>
        <v>45789</v>
      </c>
      <c r="B49" s="138">
        <f>YEAR(RD[[#This Row],[Date]])+IF(MONTH(RD[[#This Row],[Date]])&gt;=4,1,0)</f>
        <v>2026</v>
      </c>
      <c r="C49" s="138">
        <f>YEAR(RD[[#This Row],[Date]])</f>
        <v>2025</v>
      </c>
      <c r="D49" s="139">
        <f t="shared" ref="D49:D52" si="160">A49-DAY(A49)+1</f>
        <v>45778</v>
      </c>
      <c r="E49" s="138">
        <f>DAY(EOMONTH(RD[[#This Row],[Date]],0))</f>
        <v>31</v>
      </c>
      <c r="F49" s="152">
        <v>0.26250000000000001</v>
      </c>
      <c r="G49" s="162">
        <v>0.74722222222222223</v>
      </c>
      <c r="H49" s="124">
        <v>6592.3</v>
      </c>
      <c r="I49" s="124">
        <v>6570.9</v>
      </c>
      <c r="J49" s="124">
        <v>6189.4</v>
      </c>
      <c r="K49" s="124">
        <v>6189</v>
      </c>
      <c r="L49" s="124">
        <v>6393.3</v>
      </c>
      <c r="M49" s="124">
        <v>6629.7</v>
      </c>
      <c r="N49" s="124">
        <v>6335.8</v>
      </c>
      <c r="O49" s="124">
        <v>6963.2</v>
      </c>
      <c r="P49" s="124">
        <v>6314.5</v>
      </c>
      <c r="Q49" s="124">
        <v>6209</v>
      </c>
      <c r="R49" s="124">
        <v>6474.4</v>
      </c>
      <c r="S49" s="124">
        <v>6478.7</v>
      </c>
      <c r="T49" s="124">
        <v>6691.7</v>
      </c>
      <c r="U49" s="124">
        <v>6663.1</v>
      </c>
      <c r="V49" s="124">
        <v>6580.9</v>
      </c>
      <c r="W49" s="124">
        <v>6295.3</v>
      </c>
      <c r="X49" s="203">
        <v>9197.7999999999993</v>
      </c>
      <c r="Y49" s="203">
        <v>10111.1</v>
      </c>
      <c r="Z49" s="203">
        <v>8749.1</v>
      </c>
      <c r="AA49" s="203">
        <v>9227.1</v>
      </c>
      <c r="AB49" s="203">
        <v>9930.1</v>
      </c>
      <c r="AC49" s="203">
        <v>6147.4</v>
      </c>
      <c r="AD49" s="203">
        <v>9199.9</v>
      </c>
      <c r="AE49" s="203">
        <v>9440.1</v>
      </c>
      <c r="AF49" s="203">
        <v>9085.9</v>
      </c>
      <c r="AG49" s="203">
        <v>9078</v>
      </c>
      <c r="AH49" s="203">
        <v>9078.7000000000007</v>
      </c>
      <c r="AI49" s="203">
        <v>9224.4</v>
      </c>
      <c r="AJ49" s="142">
        <v>8055.3</v>
      </c>
      <c r="AK49" s="142">
        <v>8268.6</v>
      </c>
      <c r="AL49" s="142">
        <v>8078.3</v>
      </c>
      <c r="AM49" s="142">
        <v>8166.8</v>
      </c>
      <c r="AN49" s="142">
        <v>8098.8</v>
      </c>
      <c r="AO49" s="142">
        <v>8408.2000000000007</v>
      </c>
      <c r="AP49" s="142">
        <v>8242.7000000000007</v>
      </c>
      <c r="AQ49" s="142">
        <v>8155.3</v>
      </c>
      <c r="AR49" s="142">
        <v>1539.4</v>
      </c>
      <c r="AS49" s="142">
        <v>6642.9</v>
      </c>
      <c r="AT49" s="142">
        <v>6704.3</v>
      </c>
      <c r="AU49" s="142">
        <v>6667.5</v>
      </c>
      <c r="AV49" s="142">
        <v>6804.9</v>
      </c>
      <c r="AW49" s="142">
        <v>6570.8</v>
      </c>
      <c r="AX49" s="142">
        <v>9415.2999999999993</v>
      </c>
      <c r="AY49" s="142">
        <v>10380.6</v>
      </c>
      <c r="AZ49" s="142">
        <v>7715.5</v>
      </c>
      <c r="BA49" s="142">
        <v>9175</v>
      </c>
      <c r="BB49" s="142">
        <v>9147</v>
      </c>
      <c r="BC49" s="142">
        <v>7619</v>
      </c>
      <c r="BD49" s="142">
        <v>6472</v>
      </c>
      <c r="BE49" s="142">
        <v>8609</v>
      </c>
      <c r="BF49" s="142">
        <v>9389</v>
      </c>
      <c r="BG49" s="142">
        <v>9453</v>
      </c>
      <c r="BH49" s="142">
        <v>3402</v>
      </c>
      <c r="BI49" s="142">
        <v>3325</v>
      </c>
      <c r="BJ49" s="142">
        <v>6240</v>
      </c>
      <c r="BK49" s="142">
        <v>4562</v>
      </c>
      <c r="BL49" s="142">
        <v>5891</v>
      </c>
      <c r="BM49" s="142">
        <v>5976</v>
      </c>
      <c r="BN49" s="142">
        <v>6434</v>
      </c>
      <c r="BO49" s="142">
        <v>6062</v>
      </c>
      <c r="BP49" s="142">
        <v>6612</v>
      </c>
      <c r="BQ49" s="142">
        <v>6032</v>
      </c>
      <c r="BR49" s="142">
        <v>6795</v>
      </c>
      <c r="BS49" s="142">
        <v>3583</v>
      </c>
      <c r="BT49" s="142">
        <v>2837</v>
      </c>
      <c r="BU49" s="142">
        <v>1464</v>
      </c>
      <c r="BV49" s="142"/>
      <c r="BW49" s="142"/>
      <c r="BX49" s="142"/>
      <c r="BY49" s="142"/>
      <c r="BZ49" s="142">
        <v>977</v>
      </c>
      <c r="CA49" s="142">
        <v>821</v>
      </c>
      <c r="CB49" s="142">
        <v>3577</v>
      </c>
      <c r="CC49" s="142">
        <v>6374</v>
      </c>
      <c r="CD49" s="59">
        <v>5.0291793833333331</v>
      </c>
      <c r="CE49" s="59">
        <v>5.2711933333333318</v>
      </c>
      <c r="CF49" s="206">
        <v>5.0540594666666712</v>
      </c>
      <c r="CG49" s="206">
        <v>5.1416458500000086</v>
      </c>
      <c r="CH49" s="206">
        <v>0.70067843333333424</v>
      </c>
      <c r="CI49" s="206">
        <v>0.76439630000000136</v>
      </c>
      <c r="CJ49" s="59">
        <v>0.98661575000000012</v>
      </c>
      <c r="CK49" s="59">
        <v>0.8732916000000005</v>
      </c>
      <c r="CL49" s="206">
        <v>30.609363354037342</v>
      </c>
      <c r="CM49" s="206">
        <v>30.883146153846212</v>
      </c>
      <c r="CN49" s="206">
        <v>43.31430745341617</v>
      </c>
      <c r="CO49" s="206">
        <v>41.920611538461479</v>
      </c>
      <c r="CP49" s="206">
        <v>56.721218944099292</v>
      </c>
      <c r="CQ49" s="206">
        <v>56.668815384615378</v>
      </c>
      <c r="CR49" s="59">
        <v>8.6024844720496846E-3</v>
      </c>
      <c r="CS49" s="59">
        <v>0</v>
      </c>
      <c r="CT49" s="206">
        <v>1.1710527950310563</v>
      </c>
      <c r="CU49" s="206">
        <v>1.2461884615384613</v>
      </c>
      <c r="CV49" s="206">
        <v>3.7530000000000001</v>
      </c>
      <c r="CW49" s="258">
        <v>3.7829999999999999</v>
      </c>
      <c r="CX49" s="204">
        <f>IFERROR(AVERAGEIF(RD[[#This Row],[IS1POA1 (KWh/m2)]:[IS7POA2 (KWh/m2)]],"&lt;&gt;0",RD[[#This Row],[IS1POA1 (KWh/m2)]:[IS7POA2 (KWh/m2)]]),"")</f>
        <v>5.1501863583333325</v>
      </c>
      <c r="CY49" s="204">
        <f>IFERROR(AVERAGEIF(RD[[#This Row],[IS1GHI1 (KWh/m2)]:[IS7GHI2 (KWh/m2)]],"&lt;&gt;0",RD[[#This Row],[IS1GHI1 (KWh/m2)]:[IS7GHI2 (KWh/m2)]]),"")</f>
        <v>5.0978526583333394</v>
      </c>
      <c r="CZ49" s="204">
        <f>IFERROR(AVERAGEIF(RD[[#This Row],[IS1POA_BS1 (KWh/m2)]:[IS7POA_BS2 (KWh/m2)]],"&lt;&gt;0",RD[[#This Row],[IS1POA_BS1 (KWh/m2)]:[IS7POA_BS2 (KWh/m2)]]),"")</f>
        <v>0.7325373666666678</v>
      </c>
      <c r="DA49" s="204">
        <f>IFERROR(AVERAGEIF(RD[[#This Row],[IS1GHI_BS1 (KWh/m2)]:[IS1GHI_BS1 (KWh/m2)2]],"&lt;&gt;0",RD[[#This Row],[IS1GHI_BS1 (KWh/m2)]:[IS1GHI_BS1 (KWh/m2)2]]),"")</f>
        <v>0.92995367500000037</v>
      </c>
      <c r="DB49" s="204">
        <f>IFERROR(AVERAGEIF(RD[[#This Row],[IS1AT1 (°C)]:[IS7AT2 (°C)]],"&lt;&gt;0",RD[[#This Row],[IS1AT1 (°C)]:[IS7AT2 (°C)]]),"")</f>
        <v>30.746254753941777</v>
      </c>
      <c r="DC49" s="204">
        <f>IFERROR(AVERAGEIF(RD[[#This Row],[IS1MT1 (°C)]:[IS7MT2 (°C)]],"&lt;&gt;0",RD[[#This Row],[IS1MT1 (°C)]:[IS7MT2 (°C)]]),"")</f>
        <v>42.617459495938824</v>
      </c>
      <c r="DD49" s="204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204">
        <f>IFERROR(AVERAGEIF(RD[[#This Row],[WS_Solar1_Avg (m/s)]:[IS7_WS_Solar1_Avg (m/s)]],"&lt;&gt;0",RD[[#This Row],[WS_Solar1_Avg (m/s)]:[IS7_WS_Solar1_Avg (m/s)]]),"")</f>
        <v>1.2086206282847587</v>
      </c>
      <c r="DG49" s="204">
        <f>IFERROR(AVERAGEIF(RD[[#This Row],[WS_Solar1_Max (m/s)]:[IS7_WS_Solar1_Max (m/s)]],"&lt;&gt;0",RD[[#This Row],[WS_Solar1_Max (m/s)]:[IS7_WS_Solar1_Max (m/s)]]),"")</f>
        <v>3.7679999999999998</v>
      </c>
      <c r="DH49" s="204">
        <f>SUM(RD[[#This Row],[IS1Inv1M1]:[IS4Inv4M2]])</f>
        <v>212040.80000000002</v>
      </c>
      <c r="DI49" s="205">
        <f>SUM(RD[[#This Row],[IS7Inv1M1]]+RD[[#This Row],[IS7Inv2M1]])</f>
        <v>8182.2999999999993</v>
      </c>
      <c r="DJ49" s="204">
        <f>SUM(RD[[#This Row],[IS5Inv1M1]:[IS5Inv2M2]])</f>
        <v>32569</v>
      </c>
      <c r="DK49" s="204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86">
        <f>SUM(RD[[#This Row],[IS12Inv1M1]:[IS12Inv1M4]])</f>
        <v>25140</v>
      </c>
      <c r="DO49" s="286">
        <f>SUM(RD[[#This Row],[IS13Inv1M1]:[IS13Inv2M2]])</f>
        <v>14679</v>
      </c>
      <c r="DP49" s="204">
        <f>SUM(RD[[#This Row],[O2R15]:[O2R26]])</f>
        <v>480784</v>
      </c>
      <c r="DQ49" s="164">
        <v>39710</v>
      </c>
      <c r="DR49" s="168">
        <v>209.2</v>
      </c>
      <c r="DS49" s="164">
        <v>34316.1</v>
      </c>
      <c r="DT49" s="164">
        <v>221.4</v>
      </c>
      <c r="DU49" s="168">
        <v>39874.5</v>
      </c>
      <c r="DV49" s="168">
        <v>397.1</v>
      </c>
      <c r="DW49" s="164">
        <v>7755.8</v>
      </c>
      <c r="DX49" s="168">
        <v>35.1</v>
      </c>
      <c r="DY49" s="168"/>
      <c r="DZ49" s="168"/>
      <c r="EA49" s="140">
        <v>93.61</v>
      </c>
      <c r="EB49" s="241">
        <v>124986056</v>
      </c>
      <c r="EC49" s="240">
        <v>921149.63199999998</v>
      </c>
      <c r="ED49" s="241">
        <v>1105</v>
      </c>
      <c r="EE49" s="241">
        <v>119288</v>
      </c>
      <c r="EF49" s="164">
        <v>173339.1</v>
      </c>
      <c r="EG49" s="164">
        <v>1808.4</v>
      </c>
      <c r="EH49" s="146">
        <f>IF((RD[[#This Row],[33 kV_F3_Ex
Incomer1]]-DQ48)*1000&lt;0,0,(RD[[#This Row],[33 kV_F3_Ex
Incomer1]]-DQ48)*1000)</f>
        <v>107699.99999999709</v>
      </c>
      <c r="EI49" s="146">
        <f>IF((RD[[#This Row],[34 kV_F3_Im
Incomer1]]-DR48)*1000&lt;0,0,(RD[[#This Row],[34 kV_F3_Im
Incomer1]]-DR48)*1000)</f>
        <v>399.99999999997726</v>
      </c>
      <c r="EJ49" s="146">
        <f>IF((RD[[#This Row],[33 kV_F4_Ex
Incomer2]]-DS48)*1000&lt;0,0,(RD[[#This Row],[33 kV_F4_Ex
Incomer2]]-DS48)*1000)</f>
        <v>100400.00000000146</v>
      </c>
      <c r="EK49" s="146">
        <f>IF((RD[[#This Row],[34 kV_F4_Im
Incomer2]]-DT48)*1000&lt;0,0,(RD[[#This Row],[34 kV_F4_Im
Incomer2]]-DT48)*1000)</f>
        <v>400.00000000000568</v>
      </c>
      <c r="EL49" s="146">
        <f>IF((RD[[#This Row],[33 kV_F5_Ex
Incomer3]]-DU48)*1000&lt;0,0,(RD[[#This Row],[33 kV_F5_Ex
Incomer3]]-DU48)*1000)</f>
        <v>140199.99999999709</v>
      </c>
      <c r="EM49" s="146">
        <f>IF((RD[[#This Row],[34 kV_F5_Im
Incomer3]]-DV48)*1000&lt;0,0,(RD[[#This Row],[34 kV_F5_Im
Incomer3]]-DV48)*1000)</f>
        <v>700.00000000004547</v>
      </c>
      <c r="EN49" s="146">
        <f>IF((RD[[#This Row],[33 kV_F6_Ex
Incomer4]]-DW48)*1000&lt;0,0,(RD[[#This Row],[33 kV_F6_Ex
Incomer4]]-DW48)*1000)</f>
        <v>129100.00000000036</v>
      </c>
      <c r="EO49" s="146">
        <f>IF((RD[[#This Row],[33 kV_F6_Im
Incomer4]]-DX48)*1000&lt;0,0,(RD[[#This Row],[33 kV_F6_Im
Incomer4]]-DX48)*1000)</f>
        <v>1000</v>
      </c>
      <c r="EP49" s="146">
        <f>IF((RD[[#This Row],[33 kV_F7_Ex
Incomer5]]-DY48)*1000&lt;0,0,(RD[[#This Row],[33 kV_F7_Ex
Incomer5]]-DY48)*1000)</f>
        <v>0</v>
      </c>
      <c r="EQ49" s="146">
        <f>IF((RD[[#This Row],[33 kV_F7_Im
Incomer5]]-DZ48)*1000&lt;0,0,(RD[[#This Row],[33 kV_F7_Im
Incomer5]]-DZ48)*1000)</f>
        <v>0</v>
      </c>
      <c r="ER49" s="146">
        <f>IF((RD[[#This Row],[33 kV_Aux Trafo]]-EA48)*1000&lt;0,0,(RD[[#This Row],[33 kV_Aux Trafo]]-EA48)*1000)</f>
        <v>250</v>
      </c>
      <c r="ES49" s="158">
        <f>IF((RD[[#This Row],[33kV_OG1_Ex_]]-EB48)*1&lt;0,0,(RD[[#This Row],[33kV_OG1_Ex_]]-EB48)*1)</f>
        <v>478486</v>
      </c>
      <c r="ET49" s="146">
        <f>IF((RD[[#This Row],[33kV_OG1_Im]]-EC48)*1&lt;0,0,(RD[[#This Row],[33kV_OG1_Im]]-EC48)*1)</f>
        <v>2554.7519999999786</v>
      </c>
      <c r="EU49" s="146">
        <f>IF((RD[[#This Row],[132kV_TX1_EX]]-ED48)*720&lt;=0,"",(RD[[#This Row],[132kV_TX1_EX]]-ED48)*720)</f>
        <v>2160</v>
      </c>
      <c r="EV49" s="146">
        <f>IF((RD[[#This Row],[132 kV_Tx1_Im]]-EE48)*720&lt;=0,0,(RD[[#This Row],[132 kV_Tx1_Im]]-EE48)*720)</f>
        <v>343440</v>
      </c>
      <c r="EW49" s="146">
        <f>IF((RD[[#This Row],[132kV_L1_Ex]]-EF48)*720&lt;=0,0,(RD[[#This Row],[132kV_L1_Ex]]-EF48)*720)</f>
        <v>476784.00000000838</v>
      </c>
      <c r="EX49" s="146">
        <f>IF((RD[[#This Row],[132kV_L1_Im]]-EG48)*720&lt;=0,0,(RD[[#This Row],[132kV_L1_Im]]-EG48)*720)</f>
        <v>3096.000000000131</v>
      </c>
      <c r="EY49" s="242">
        <f>IFERROR(RD[[#This Row],[33kV_OG1_Ex (MWh)]]+RD[[#This Row],[33kV_OG1_Im (MWh)]],"")</f>
        <v>481040.75199999998</v>
      </c>
      <c r="EZ49" s="148">
        <f>RD[[#This Row],[33kV_OG1_Ex (MWh)]]-RD[[#This Row],[33kV_OG1_Im (MWh)]]</f>
        <v>475931.24800000002</v>
      </c>
      <c r="FA49" s="148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43">
        <v>12.4</v>
      </c>
      <c r="FD49" s="244">
        <v>111</v>
      </c>
      <c r="FE49" t="s">
        <v>281</v>
      </c>
      <c r="FG49" s="144" t="str">
        <f>IFERROR(RD[[#This Row],[E_AC (WPR)]]/RD[[#This Row],[E_DC (WPR)]],"")</f>
        <v/>
      </c>
    </row>
    <row r="50" spans="1:163">
      <c r="A50" s="133">
        <f t="shared" si="159"/>
        <v>45790</v>
      </c>
      <c r="B50" s="138">
        <f>YEAR(RD[[#This Row],[Date]])+IF(MONTH(RD[[#This Row],[Date]])&gt;=4,1,0)</f>
        <v>2026</v>
      </c>
      <c r="C50" s="138">
        <f>YEAR(RD[[#This Row],[Date]])</f>
        <v>2025</v>
      </c>
      <c r="D50" s="139">
        <f t="shared" si="160"/>
        <v>45778</v>
      </c>
      <c r="E50" s="138">
        <f>DAY(EOMONTH(RD[[#This Row],[Date]],0))</f>
        <v>31</v>
      </c>
      <c r="F50" s="152">
        <v>0.27708333333333335</v>
      </c>
      <c r="G50" s="162">
        <v>0.76944444444444449</v>
      </c>
      <c r="H50" s="124">
        <v>4633.6000000000004</v>
      </c>
      <c r="I50" s="124">
        <v>4482.6000000000004</v>
      </c>
      <c r="J50" s="124">
        <v>4244.8999999999996</v>
      </c>
      <c r="K50" s="124">
        <v>4323.7</v>
      </c>
      <c r="L50" s="124">
        <v>4449.7</v>
      </c>
      <c r="M50" s="124">
        <v>4624.2</v>
      </c>
      <c r="N50" s="124">
        <v>4417.8999999999996</v>
      </c>
      <c r="O50" s="124">
        <v>4962.7</v>
      </c>
      <c r="P50" s="124">
        <v>4493.6000000000004</v>
      </c>
      <c r="Q50" s="124">
        <v>4399.3999999999996</v>
      </c>
      <c r="R50" s="124">
        <v>4558.6000000000004</v>
      </c>
      <c r="S50" s="124">
        <v>4497</v>
      </c>
      <c r="T50" s="124">
        <v>4751.8999999999996</v>
      </c>
      <c r="U50" s="124">
        <v>4577.6000000000004</v>
      </c>
      <c r="V50" s="124">
        <v>4679.5</v>
      </c>
      <c r="W50" s="124">
        <v>4435.8999999999996</v>
      </c>
      <c r="X50" s="203">
        <v>6242.3</v>
      </c>
      <c r="Y50" s="203">
        <v>7042.3</v>
      </c>
      <c r="Z50" s="203">
        <v>6074.4</v>
      </c>
      <c r="AA50" s="203">
        <v>6380.9</v>
      </c>
      <c r="AB50" s="203">
        <v>6811.4</v>
      </c>
      <c r="AC50" s="203">
        <v>4130.8999999999996</v>
      </c>
      <c r="AD50" s="203">
        <v>6194.1</v>
      </c>
      <c r="AE50" s="203">
        <v>6350.7</v>
      </c>
      <c r="AF50" s="203">
        <v>6208.1</v>
      </c>
      <c r="AG50" s="203">
        <v>6184.7</v>
      </c>
      <c r="AH50" s="203">
        <v>6217.9</v>
      </c>
      <c r="AI50" s="203">
        <v>6265.1</v>
      </c>
      <c r="AJ50" s="142">
        <v>5286.5</v>
      </c>
      <c r="AK50" s="142">
        <v>5443.9</v>
      </c>
      <c r="AL50" s="142">
        <v>5350.4</v>
      </c>
      <c r="AM50" s="142">
        <v>5414.7</v>
      </c>
      <c r="AN50" s="142">
        <v>5359.9</v>
      </c>
      <c r="AO50" s="142">
        <v>5583.3</v>
      </c>
      <c r="AP50" s="142">
        <v>5449.6</v>
      </c>
      <c r="AQ50" s="142">
        <v>5433.9</v>
      </c>
      <c r="AR50" s="142">
        <v>1539.4</v>
      </c>
      <c r="AS50" s="142">
        <v>4428.8</v>
      </c>
      <c r="AT50" s="142">
        <v>4415.3</v>
      </c>
      <c r="AU50" s="142">
        <v>4370.3999999999996</v>
      </c>
      <c r="AV50" s="142">
        <v>4507.8</v>
      </c>
      <c r="AW50" s="142">
        <v>4446.3</v>
      </c>
      <c r="AX50" s="142">
        <v>6183.9</v>
      </c>
      <c r="AY50" s="142">
        <v>7057.9</v>
      </c>
      <c r="AZ50" s="142">
        <v>5169.2</v>
      </c>
      <c r="BA50" s="142">
        <v>6266</v>
      </c>
      <c r="BB50" s="142">
        <v>6098.8</v>
      </c>
      <c r="BC50" s="142">
        <v>5136</v>
      </c>
      <c r="BD50" s="142">
        <v>4333.8999999999996</v>
      </c>
      <c r="BE50" s="142">
        <v>5835.6</v>
      </c>
      <c r="BF50" s="142">
        <v>9050</v>
      </c>
      <c r="BG50" s="142">
        <v>9175</v>
      </c>
      <c r="BH50" s="142">
        <v>3623.3</v>
      </c>
      <c r="BI50" s="142">
        <v>1525.1</v>
      </c>
      <c r="BJ50" s="142">
        <v>4122.5</v>
      </c>
      <c r="BK50" s="142">
        <v>2393.1999999999998</v>
      </c>
      <c r="BL50" s="142">
        <v>3950.6</v>
      </c>
      <c r="BM50" s="142">
        <v>3975.2</v>
      </c>
      <c r="BN50" s="142">
        <v>4353.2</v>
      </c>
      <c r="BO50" s="142">
        <v>4117.3999999999996</v>
      </c>
      <c r="BP50" s="142">
        <v>4532.3</v>
      </c>
      <c r="BQ50" s="142">
        <v>4043</v>
      </c>
      <c r="BR50" s="142">
        <v>4670.3</v>
      </c>
      <c r="BS50" s="142">
        <v>2579.9</v>
      </c>
      <c r="BT50" s="142">
        <v>1915.9</v>
      </c>
      <c r="BU50" s="142">
        <v>976.3</v>
      </c>
      <c r="BV50" s="142"/>
      <c r="BW50" s="142"/>
      <c r="BX50" s="142"/>
      <c r="BY50" s="142"/>
      <c r="BZ50" s="142">
        <v>627.29999999999995</v>
      </c>
      <c r="CA50" s="142">
        <v>521.5</v>
      </c>
      <c r="CB50" s="142">
        <v>2508.4</v>
      </c>
      <c r="CC50" s="142">
        <v>4341.8999999999996</v>
      </c>
      <c r="CD50" s="59">
        <v>3.2975159666666678</v>
      </c>
      <c r="CE50" s="59">
        <v>3.3833456666666679</v>
      </c>
      <c r="CF50" s="206">
        <v>3.4430666666666658</v>
      </c>
      <c r="CG50" s="206">
        <v>3.4629116666666602</v>
      </c>
      <c r="CH50" s="206">
        <v>0.39894789999999991</v>
      </c>
      <c r="CI50" s="206">
        <v>0.53684808333333356</v>
      </c>
      <c r="CJ50" s="59">
        <v>0.63484161666666683</v>
      </c>
      <c r="CK50" s="59">
        <v>0.56911154999999991</v>
      </c>
      <c r="CL50" s="206">
        <v>30.263802704852782</v>
      </c>
      <c r="CM50" s="206">
        <v>30.510841269841301</v>
      </c>
      <c r="CN50" s="206">
        <v>41.158244232299218</v>
      </c>
      <c r="CO50" s="206">
        <v>39.443309523809468</v>
      </c>
      <c r="CP50" s="206">
        <v>58.046793953858327</v>
      </c>
      <c r="CQ50" s="206">
        <v>58.342634920634829</v>
      </c>
      <c r="CR50" s="59">
        <v>0</v>
      </c>
      <c r="CS50" s="59">
        <v>0</v>
      </c>
      <c r="CT50" s="206">
        <v>1.1238162291169473</v>
      </c>
      <c r="CU50" s="206">
        <v>1.2337761904761899</v>
      </c>
      <c r="CV50" s="206">
        <v>1.2337761904761899</v>
      </c>
      <c r="CW50" s="258">
        <v>2.7450000000000001</v>
      </c>
      <c r="CX50" s="204">
        <f>IFERROR(AVERAGEIF(RD[[#This Row],[IS1POA1 (KWh/m2)]:[IS7POA2 (KWh/m2)]],"&lt;&gt;0",RD[[#This Row],[IS1POA1 (KWh/m2)]:[IS7POA2 (KWh/m2)]]),"")</f>
        <v>3.3404308166666681</v>
      </c>
      <c r="CY50" s="204">
        <f>IFERROR(AVERAGEIF(RD[[#This Row],[IS1GHI1 (KWh/m2)]:[IS7GHI2 (KWh/m2)]],"&lt;&gt;0",RD[[#This Row],[IS1GHI1 (KWh/m2)]:[IS7GHI2 (KWh/m2)]]),"")</f>
        <v>3.4529891666666632</v>
      </c>
      <c r="CZ50" s="204">
        <f>IFERROR(AVERAGEIF(RD[[#This Row],[IS1POA_BS1 (KWh/m2)]:[IS7POA_BS2 (KWh/m2)]],"&lt;&gt;0",RD[[#This Row],[IS1POA_BS1 (KWh/m2)]:[IS7POA_BS2 (KWh/m2)]]),"")</f>
        <v>0.46789799166666673</v>
      </c>
      <c r="DA50" s="204">
        <f>IFERROR(AVERAGEIF(RD[[#This Row],[IS1GHI_BS1 (KWh/m2)]:[IS1GHI_BS1 (KWh/m2)2]],"&lt;&gt;0",RD[[#This Row],[IS1GHI_BS1 (KWh/m2)]:[IS1GHI_BS1 (KWh/m2)2]]),"")</f>
        <v>0.60197658333333337</v>
      </c>
      <c r="DB50" s="204">
        <f>IFERROR(AVERAGEIF(RD[[#This Row],[IS1AT1 (°C)]:[IS7AT2 (°C)]],"&lt;&gt;0",RD[[#This Row],[IS1AT1 (°C)]:[IS7AT2 (°C)]]),"")</f>
        <v>30.387321987347043</v>
      </c>
      <c r="DC50" s="204">
        <f>IFERROR(AVERAGEIF(RD[[#This Row],[IS1MT1 (°C)]:[IS7MT2 (°C)]],"&lt;&gt;0",RD[[#This Row],[IS1MT1 (°C)]:[IS7MT2 (°C)]]),"")</f>
        <v>40.300776878054343</v>
      </c>
      <c r="DD50" s="204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204">
        <f>IFERROR(AVERAGEIF(RD[[#This Row],[WS_Solar1_Avg (m/s)]:[IS7_WS_Solar1_Avg (m/s)]],"&lt;&gt;0",RD[[#This Row],[WS_Solar1_Avg (m/s)]:[IS7_WS_Solar1_Avg (m/s)]]),"")</f>
        <v>1.1787962097965687</v>
      </c>
      <c r="DG50" s="204">
        <f>IFERROR(AVERAGEIF(RD[[#This Row],[WS_Solar1_Max (m/s)]:[IS7_WS_Solar1_Max (m/s)]],"&lt;&gt;0",RD[[#This Row],[WS_Solar1_Max (m/s)]:[IS7_WS_Solar1_Max (m/s)]]),"")</f>
        <v>1.9893880952380951</v>
      </c>
      <c r="DH50" s="204">
        <f>SUM(RD[[#This Row],[IS1Inv1M1]:[IS4Inv4M2]])</f>
        <v>146635.59999999998</v>
      </c>
      <c r="DI50" s="205">
        <f>SUM(RD[[#This Row],[IS7Inv1M1]]+RD[[#This Row],[IS7Inv2M1]])</f>
        <v>5968.2000000000007</v>
      </c>
      <c r="DJ50" s="204">
        <f>SUM(RD[[#This Row],[IS5Inv1M1]:[IS5Inv2M2]])</f>
        <v>21495.5</v>
      </c>
      <c r="DK50" s="204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86">
        <f>SUM(RD[[#This Row],[IS12Inv1M1]:[IS12Inv1M4]])</f>
        <v>17045.899999999998</v>
      </c>
      <c r="DO50" s="286">
        <f>SUM(RD[[#This Row],[IS13Inv1M1]:[IS13Inv2M2]])</f>
        <v>10142.4</v>
      </c>
      <c r="DP50" s="204">
        <f>SUM(RD[[#This Row],[O2R15]:[O2R26]])</f>
        <v>332749.40000000002</v>
      </c>
      <c r="DQ50" s="164">
        <v>39783.699999999997</v>
      </c>
      <c r="DR50" s="168">
        <v>209.7</v>
      </c>
      <c r="DS50" s="164">
        <v>34387.599999999999</v>
      </c>
      <c r="DT50" s="164">
        <v>221.8</v>
      </c>
      <c r="DU50" s="168">
        <v>39968.300000000003</v>
      </c>
      <c r="DV50" s="168">
        <v>397.9</v>
      </c>
      <c r="DW50" s="164">
        <v>7843.8</v>
      </c>
      <c r="DX50" s="168">
        <v>36.1</v>
      </c>
      <c r="DY50" s="168"/>
      <c r="DZ50" s="168"/>
      <c r="EA50" s="140">
        <v>93.88</v>
      </c>
      <c r="EB50" s="241">
        <v>125313302</v>
      </c>
      <c r="EC50" s="240">
        <v>923961.34400000004</v>
      </c>
      <c r="ED50" s="241">
        <v>1108</v>
      </c>
      <c r="EE50" s="241">
        <v>119614</v>
      </c>
      <c r="EF50" s="164">
        <v>173792.1</v>
      </c>
      <c r="EG50" s="164">
        <v>1813.2</v>
      </c>
      <c r="EH50" s="146">
        <f>IF((RD[[#This Row],[33 kV_F3_Ex
Incomer1]]-DQ49)*1000&lt;0,0,(RD[[#This Row],[33 kV_F3_Ex
Incomer1]]-DQ49)*1000)</f>
        <v>73699.99999999709</v>
      </c>
      <c r="EI50" s="146">
        <f>IF((RD[[#This Row],[34 kV_F3_Im
Incomer1]]-DR49)*1000&lt;0,0,(RD[[#This Row],[34 kV_F3_Im
Incomer1]]-DR49)*1000)</f>
        <v>500</v>
      </c>
      <c r="EJ50" s="146">
        <f>IF((RD[[#This Row],[33 kV_F4_Ex
Incomer2]]-DS49)*1000&lt;0,0,(RD[[#This Row],[33 kV_F4_Ex
Incomer2]]-DS49)*1000)</f>
        <v>71500</v>
      </c>
      <c r="EK50" s="146">
        <f>IF((RD[[#This Row],[34 kV_F4_Im
Incomer2]]-DT49)*1000&lt;0,0,(RD[[#This Row],[34 kV_F4_Im
Incomer2]]-DT49)*1000)</f>
        <v>400.00000000000568</v>
      </c>
      <c r="EL50" s="146">
        <f>IF((RD[[#This Row],[33 kV_F5_Ex
Incomer3]]-DU49)*1000&lt;0,0,(RD[[#This Row],[33 kV_F5_Ex
Incomer3]]-DU49)*1000)</f>
        <v>93800.00000000291</v>
      </c>
      <c r="EM50" s="146">
        <f>IF((RD[[#This Row],[34 kV_F5_Im
Incomer3]]-DV49)*1000&lt;0,0,(RD[[#This Row],[34 kV_F5_Im
Incomer3]]-DV49)*1000)</f>
        <v>799.99999999995453</v>
      </c>
      <c r="EN50" s="146">
        <f>IF((RD[[#This Row],[33 kV_F6_Ex
Incomer4]]-DW49)*1000&lt;0,0,(RD[[#This Row],[33 kV_F6_Ex
Incomer4]]-DW49)*1000)</f>
        <v>88000</v>
      </c>
      <c r="EO50" s="146">
        <f>IF((RD[[#This Row],[33 kV_F6_Im
Incomer4]]-DX49)*1000&lt;0,0,(RD[[#This Row],[33 kV_F6_Im
Incomer4]]-DX49)*1000)</f>
        <v>1000</v>
      </c>
      <c r="EP50" s="146">
        <f>IF((RD[[#This Row],[33 kV_F7_Ex
Incomer5]]-DY49)*1000&lt;0,0,(RD[[#This Row],[33 kV_F7_Ex
Incomer5]]-DY49)*1000)</f>
        <v>0</v>
      </c>
      <c r="EQ50" s="146">
        <f>IF((RD[[#This Row],[33 kV_F7_Im
Incomer5]]-DZ49)*1000&lt;0,0,(RD[[#This Row],[33 kV_F7_Im
Incomer5]]-DZ49)*1000)</f>
        <v>0</v>
      </c>
      <c r="ER50" s="146">
        <f>IF((RD[[#This Row],[33 kV_Aux Trafo]]-EA49)*1000&lt;0,0,(RD[[#This Row],[33 kV_Aux Trafo]]-EA49)*1000)</f>
        <v>269.99999999999602</v>
      </c>
      <c r="ES50" s="158">
        <f>IF((RD[[#This Row],[33kV_OG1_Ex_]]-EB49)*1&lt;0,0,(RD[[#This Row],[33kV_OG1_Ex_]]-EB49)*1)</f>
        <v>327246</v>
      </c>
      <c r="ET50" s="146">
        <f>IF((RD[[#This Row],[33kV_OG1_Im]]-EC49)*1&lt;0,0,(RD[[#This Row],[33kV_OG1_Im]]-EC49)*1)</f>
        <v>2811.7120000000577</v>
      </c>
      <c r="EU50" s="146">
        <f>IF((RD[[#This Row],[132kV_TX1_EX]]-ED49)*720&lt;=0,"",(RD[[#This Row],[132kV_TX1_EX]]-ED49)*720)</f>
        <v>2160</v>
      </c>
      <c r="EV50" s="146">
        <f>IF((RD[[#This Row],[132 kV_Tx1_Im]]-EE49)*720&lt;=0,0,(RD[[#This Row],[132 kV_Tx1_Im]]-EE49)*720)</f>
        <v>234720</v>
      </c>
      <c r="EW50" s="146">
        <f>IF((RD[[#This Row],[132kV_L1_Ex]]-EF49)*720&lt;=0,0,(RD[[#This Row],[132kV_L1_Ex]]-EF49)*720)</f>
        <v>326160</v>
      </c>
      <c r="EX50" s="146">
        <f>IF((RD[[#This Row],[132kV_L1_Im]]-EG49)*720&lt;=0,0,(RD[[#This Row],[132kV_L1_Im]]-EG49)*720)</f>
        <v>3455.9999999999673</v>
      </c>
      <c r="EY50" s="242">
        <f>IFERROR(RD[[#This Row],[33kV_OG1_Ex (MWh)]]+RD[[#This Row],[33kV_OG1_Im (MWh)]],"")</f>
        <v>330057.71200000006</v>
      </c>
      <c r="EZ50" s="148">
        <f>RD[[#This Row],[33kV_OG1_Ex (MWh)]]-RD[[#This Row],[33kV_OG1_Im (MWh)]]</f>
        <v>324434.28799999994</v>
      </c>
      <c r="FA50" s="148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43">
        <v>12.4</v>
      </c>
      <c r="FD50" s="244">
        <v>111</v>
      </c>
      <c r="FE50" t="s">
        <v>282</v>
      </c>
      <c r="FG50" s="144" t="str">
        <f>IFERROR(RD[[#This Row],[E_AC (WPR)]]/RD[[#This Row],[E_DC (WPR)]],"")</f>
        <v/>
      </c>
    </row>
    <row r="51" spans="1:163">
      <c r="A51" s="133">
        <f t="shared" si="159"/>
        <v>45791</v>
      </c>
      <c r="B51" s="138">
        <f>YEAR(RD[[#This Row],[Date]])+IF(MONTH(RD[[#This Row],[Date]])&gt;=4,1,0)</f>
        <v>2026</v>
      </c>
      <c r="C51" s="138">
        <f>YEAR(RD[[#This Row],[Date]])</f>
        <v>2025</v>
      </c>
      <c r="D51" s="139">
        <f t="shared" si="160"/>
        <v>45778</v>
      </c>
      <c r="E51" s="138">
        <f>DAY(EOMONTH(RD[[#This Row],[Date]],0))</f>
        <v>31</v>
      </c>
      <c r="F51" s="152">
        <v>0.26180555555555557</v>
      </c>
      <c r="G51" s="162">
        <v>0.7680555555555556</v>
      </c>
      <c r="H51" s="124">
        <v>6118.3</v>
      </c>
      <c r="I51" s="124">
        <v>5926.4</v>
      </c>
      <c r="J51" s="124">
        <v>5629.2</v>
      </c>
      <c r="K51" s="124">
        <v>5730.8</v>
      </c>
      <c r="L51" s="124">
        <v>5877.4</v>
      </c>
      <c r="M51" s="124">
        <v>6080</v>
      </c>
      <c r="N51" s="124">
        <v>5836</v>
      </c>
      <c r="O51" s="124">
        <v>6531.7</v>
      </c>
      <c r="P51" s="124">
        <v>5979.8</v>
      </c>
      <c r="Q51" s="124">
        <v>5818.3</v>
      </c>
      <c r="R51" s="124">
        <v>6041.1</v>
      </c>
      <c r="S51" s="124">
        <v>5997.9</v>
      </c>
      <c r="T51" s="124">
        <v>6327.5</v>
      </c>
      <c r="U51" s="124">
        <v>6089.1</v>
      </c>
      <c r="V51" s="124">
        <v>6230.8</v>
      </c>
      <c r="W51" s="124">
        <v>5957.2</v>
      </c>
      <c r="X51" s="203">
        <v>7754</v>
      </c>
      <c r="Y51" s="203">
        <v>8775</v>
      </c>
      <c r="Z51" s="203">
        <v>7603.5</v>
      </c>
      <c r="AA51" s="203">
        <v>8006.6</v>
      </c>
      <c r="AB51" s="203">
        <v>8510.5</v>
      </c>
      <c r="AC51" s="203">
        <v>5179.1000000000004</v>
      </c>
      <c r="AD51" s="203">
        <v>7756.6</v>
      </c>
      <c r="AE51" s="203">
        <v>7943.1</v>
      </c>
      <c r="AF51" s="203">
        <v>7749</v>
      </c>
      <c r="AG51" s="203">
        <v>7685.8</v>
      </c>
      <c r="AH51" s="203">
        <v>7767.4</v>
      </c>
      <c r="AI51" s="203">
        <v>7790.3</v>
      </c>
      <c r="AJ51" s="142">
        <v>6841.9</v>
      </c>
      <c r="AK51" s="142">
        <v>7054.3</v>
      </c>
      <c r="AL51" s="142">
        <v>6852.5</v>
      </c>
      <c r="AM51" s="142">
        <v>6915.3</v>
      </c>
      <c r="AN51" s="142">
        <v>6897.4</v>
      </c>
      <c r="AO51" s="142">
        <v>7129.7</v>
      </c>
      <c r="AP51" s="142">
        <v>6978.9</v>
      </c>
      <c r="AQ51" s="142">
        <v>6918.1</v>
      </c>
      <c r="AR51" s="142">
        <v>5578.6</v>
      </c>
      <c r="AS51" s="142">
        <v>5624.3</v>
      </c>
      <c r="AT51" s="142">
        <v>5679.6</v>
      </c>
      <c r="AU51" s="142">
        <v>5619.4</v>
      </c>
      <c r="AV51" s="142">
        <v>5756.4</v>
      </c>
      <c r="AW51" s="142">
        <v>5652.1</v>
      </c>
      <c r="AX51" s="142">
        <v>7884.7</v>
      </c>
      <c r="AY51" s="142">
        <v>8922.7999999999993</v>
      </c>
      <c r="AZ51" s="142">
        <v>6459.9</v>
      </c>
      <c r="BA51" s="142">
        <v>7838.3</v>
      </c>
      <c r="BB51" s="142">
        <v>8246.2999999999993</v>
      </c>
      <c r="BC51" s="142">
        <v>6904.9</v>
      </c>
      <c r="BD51" s="142">
        <v>5781</v>
      </c>
      <c r="BE51" s="142">
        <v>7794.7</v>
      </c>
      <c r="BF51" s="142">
        <v>1123</v>
      </c>
      <c r="BG51" s="142">
        <v>1113.5</v>
      </c>
      <c r="BH51" s="142">
        <v>5294</v>
      </c>
      <c r="BI51" s="142">
        <v>3559.1</v>
      </c>
      <c r="BJ51" s="142">
        <v>5465.7</v>
      </c>
      <c r="BK51" s="142">
        <v>3095.7</v>
      </c>
      <c r="BL51" s="142">
        <v>5203.1000000000004</v>
      </c>
      <c r="BM51" s="142">
        <v>5272.3</v>
      </c>
      <c r="BN51" s="142">
        <v>5838.8</v>
      </c>
      <c r="BO51" s="142">
        <v>5455.9</v>
      </c>
      <c r="BP51" s="142">
        <v>6128.6</v>
      </c>
      <c r="BQ51" s="142">
        <v>5579</v>
      </c>
      <c r="BR51" s="142">
        <v>6108.4</v>
      </c>
      <c r="BS51" s="142">
        <v>3863.6</v>
      </c>
      <c r="BT51" s="142">
        <v>2500.1</v>
      </c>
      <c r="BU51" s="142">
        <v>1406.9</v>
      </c>
      <c r="BV51" s="142"/>
      <c r="BW51" s="142"/>
      <c r="BX51" s="142"/>
      <c r="BY51" s="142"/>
      <c r="BZ51" s="142">
        <v>862.3</v>
      </c>
      <c r="CA51" s="142">
        <v>721.3</v>
      </c>
      <c r="CB51" s="142">
        <v>3313.7</v>
      </c>
      <c r="CC51" s="142">
        <v>5698.7</v>
      </c>
      <c r="CD51" s="59">
        <v>4.4298657499999976</v>
      </c>
      <c r="CE51" s="59">
        <v>4.2536578499999953</v>
      </c>
      <c r="CF51" s="206">
        <v>4.7243235333333313</v>
      </c>
      <c r="CG51" s="206">
        <v>4.3613279333333352</v>
      </c>
      <c r="CH51" s="206">
        <v>0.49736919999999962</v>
      </c>
      <c r="CI51" s="206">
        <v>0.68891694999999942</v>
      </c>
      <c r="CJ51" s="59">
        <v>0.8705549166666664</v>
      </c>
      <c r="CK51" s="59">
        <v>0.72542579999999934</v>
      </c>
      <c r="CL51" s="206">
        <v>31.283929712459944</v>
      </c>
      <c r="CM51" s="206">
        <v>31.479534136546217</v>
      </c>
      <c r="CN51" s="206">
        <v>43.882380990415392</v>
      </c>
      <c r="CO51" s="206">
        <v>41.629840963855379</v>
      </c>
      <c r="CP51" s="206">
        <v>54.087939297124549</v>
      </c>
      <c r="CQ51" s="206">
        <v>54.335194377509872</v>
      </c>
      <c r="CR51" s="59">
        <v>0</v>
      </c>
      <c r="CS51" s="59">
        <v>0</v>
      </c>
      <c r="CT51" s="206">
        <v>1.2172212460063909</v>
      </c>
      <c r="CU51" s="206">
        <v>1.3202690763052227</v>
      </c>
      <c r="CV51" s="206">
        <v>2.1509999999999998</v>
      </c>
      <c r="CW51" s="258">
        <v>2.7749999999999999</v>
      </c>
      <c r="CX51" s="204">
        <f>IFERROR(AVERAGEIF(RD[[#This Row],[IS1POA1 (KWh/m2)]:[IS7POA2 (KWh/m2)]],"&lt;&gt;0",RD[[#This Row],[IS1POA1 (KWh/m2)]:[IS7POA2 (KWh/m2)]]),"")</f>
        <v>4.3417617999999969</v>
      </c>
      <c r="CY51" s="204">
        <f>IFERROR(AVERAGEIF(RD[[#This Row],[IS1GHI1 (KWh/m2)]:[IS7GHI2 (KWh/m2)]],"&lt;&gt;0",RD[[#This Row],[IS1GHI1 (KWh/m2)]:[IS7GHI2 (KWh/m2)]]),"")</f>
        <v>4.5428257333333333</v>
      </c>
      <c r="CZ51" s="204">
        <f>IFERROR(AVERAGEIF(RD[[#This Row],[IS1POA_BS1 (KWh/m2)]:[IS7POA_BS2 (KWh/m2)]],"&lt;&gt;0",RD[[#This Row],[IS1POA_BS1 (KWh/m2)]:[IS7POA_BS2 (KWh/m2)]]),"")</f>
        <v>0.59314307499999952</v>
      </c>
      <c r="DA51" s="204">
        <f>IFERROR(AVERAGEIF(RD[[#This Row],[IS1GHI_BS1 (KWh/m2)]:[IS1GHI_BS1 (KWh/m2)2]],"&lt;&gt;0",RD[[#This Row],[IS1GHI_BS1 (KWh/m2)]:[IS1GHI_BS1 (KWh/m2)2]]),"")</f>
        <v>0.79799035833333287</v>
      </c>
      <c r="DB51" s="204">
        <f>IFERROR(AVERAGEIF(RD[[#This Row],[IS1AT1 (°C)]:[IS7AT2 (°C)]],"&lt;&gt;0",RD[[#This Row],[IS1AT1 (°C)]:[IS7AT2 (°C)]]),"")</f>
        <v>31.381731924503079</v>
      </c>
      <c r="DC51" s="204">
        <f>IFERROR(AVERAGEIF(RD[[#This Row],[IS1MT1 (°C)]:[IS7MT2 (°C)]],"&lt;&gt;0",RD[[#This Row],[IS1MT1 (°C)]:[IS7MT2 (°C)]]),"")</f>
        <v>42.756110977135386</v>
      </c>
      <c r="DD51" s="204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204">
        <f>IFERROR(AVERAGEIF(RD[[#This Row],[WS_Solar1_Avg (m/s)]:[IS7_WS_Solar1_Avg (m/s)]],"&lt;&gt;0",RD[[#This Row],[WS_Solar1_Avg (m/s)]:[IS7_WS_Solar1_Avg (m/s)]]),"")</f>
        <v>1.2687451611558069</v>
      </c>
      <c r="DG51" s="204">
        <f>IFERROR(AVERAGEIF(RD[[#This Row],[WS_Solar1_Max (m/s)]:[IS7_WS_Solar1_Max (m/s)]],"&lt;&gt;0",RD[[#This Row],[WS_Solar1_Max (m/s)]:[IS7_WS_Solar1_Max (m/s)]]),"")</f>
        <v>2.4630000000000001</v>
      </c>
      <c r="DH51" s="204">
        <f>SUM(RD[[#This Row],[IS1Inv1M1]:[IS4Inv4M2]])</f>
        <v>188692.4</v>
      </c>
      <c r="DI51" s="205">
        <f>SUM(RD[[#This Row],[IS7Inv1M1]]+RD[[#This Row],[IS7Inv2M1]])</f>
        <v>11202.900000000001</v>
      </c>
      <c r="DJ51" s="204">
        <f>SUM(RD[[#This Row],[IS5Inv1M1]:[IS5Inv2M2]])</f>
        <v>27664</v>
      </c>
      <c r="DK51" s="204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86">
        <f>SUM(RD[[#This Row],[IS12Inv1M1]:[IS12Inv1M4]])</f>
        <v>23002.300000000003</v>
      </c>
      <c r="DO51" s="286">
        <f>SUM(RD[[#This Row],[IS13Inv1M1]:[IS13Inv2M2]])</f>
        <v>13879</v>
      </c>
      <c r="DP51" s="204">
        <f>SUM(RD[[#This Row],[O2R15]:[O2R26]])</f>
        <v>415627.19999999995</v>
      </c>
      <c r="DQ51" s="164">
        <v>39875.800000000003</v>
      </c>
      <c r="DR51" s="168">
        <v>210</v>
      </c>
      <c r="DS51" s="164">
        <v>34481</v>
      </c>
      <c r="DT51" s="164">
        <v>222.1</v>
      </c>
      <c r="DU51" s="168">
        <v>40087.800000000003</v>
      </c>
      <c r="DV51" s="168">
        <v>398.5</v>
      </c>
      <c r="DW51" s="164">
        <v>7963</v>
      </c>
      <c r="DX51" s="168">
        <v>36.799999999999997</v>
      </c>
      <c r="DY51" s="168"/>
      <c r="DZ51" s="168"/>
      <c r="EA51" s="140">
        <v>94.11</v>
      </c>
      <c r="EB51" s="241">
        <v>125738500</v>
      </c>
      <c r="EC51" s="240">
        <v>926045.37600000005</v>
      </c>
      <c r="ED51" s="241">
        <v>1111</v>
      </c>
      <c r="EE51" s="241">
        <v>120037</v>
      </c>
      <c r="EF51" s="164">
        <v>174380.79999999999</v>
      </c>
      <c r="EG51" s="164">
        <v>1816.7</v>
      </c>
      <c r="EH51" s="146">
        <f>IF((RD[[#This Row],[33 kV_F3_Ex
Incomer1]]-DQ50)*1000&lt;0,0,(RD[[#This Row],[33 kV_F3_Ex
Incomer1]]-DQ50)*1000)</f>
        <v>92100.000000005821</v>
      </c>
      <c r="EI51" s="146">
        <f>IF((RD[[#This Row],[34 kV_F3_Im
Incomer1]]-DR50)*1000&lt;0,0,(RD[[#This Row],[34 kV_F3_Im
Incomer1]]-DR50)*1000)</f>
        <v>300.00000000001137</v>
      </c>
      <c r="EJ51" s="146">
        <f>IF((RD[[#This Row],[33 kV_F4_Ex
Incomer2]]-DS50)*1000&lt;0,0,(RD[[#This Row],[33 kV_F4_Ex
Incomer2]]-DS50)*1000)</f>
        <v>93400.000000001455</v>
      </c>
      <c r="EK51" s="146">
        <f>IF((RD[[#This Row],[34 kV_F4_Im
Incomer2]]-DT50)*1000&lt;0,0,(RD[[#This Row],[34 kV_F4_Im
Incomer2]]-DT50)*1000)</f>
        <v>299.99999999998295</v>
      </c>
      <c r="EL51" s="146">
        <f>IF((RD[[#This Row],[33 kV_F5_Ex
Incomer3]]-DU50)*1000&lt;0,0,(RD[[#This Row],[33 kV_F5_Ex
Incomer3]]-DU50)*1000)</f>
        <v>119500</v>
      </c>
      <c r="EM51" s="146">
        <f>IF((RD[[#This Row],[34 kV_F5_Im
Incomer3]]-DV50)*1000&lt;0,0,(RD[[#This Row],[34 kV_F5_Im
Incomer3]]-DV50)*1000)</f>
        <v>600.00000000002274</v>
      </c>
      <c r="EN51" s="146">
        <f>IF((RD[[#This Row],[33 kV_F6_Ex
Incomer4]]-DW50)*1000&lt;0,0,(RD[[#This Row],[33 kV_F6_Ex
Incomer4]]-DW50)*1000)</f>
        <v>119199.99999999983</v>
      </c>
      <c r="EO51" s="146">
        <f>IF((RD[[#This Row],[33 kV_F6_Im
Incomer4]]-DX50)*1000&lt;0,0,(RD[[#This Row],[33 kV_F6_Im
Incomer4]]-DX50)*1000)</f>
        <v>699.99999999999568</v>
      </c>
      <c r="EP51" s="146">
        <f>IF((RD[[#This Row],[33 kV_F7_Ex
Incomer5]]-DY50)*1000&lt;0,0,(RD[[#This Row],[33 kV_F7_Ex
Incomer5]]-DY50)*1000)</f>
        <v>0</v>
      </c>
      <c r="EQ51" s="146">
        <f>IF((RD[[#This Row],[33 kV_F7_Im
Incomer5]]-DZ50)*1000&lt;0,0,(RD[[#This Row],[33 kV_F7_Im
Incomer5]]-DZ50)*1000)</f>
        <v>0</v>
      </c>
      <c r="ER51" s="146">
        <f>IF((RD[[#This Row],[33 kV_Aux Trafo]]-EA50)*1000&lt;0,0,(RD[[#This Row],[33 kV_Aux Trafo]]-EA50)*1000)</f>
        <v>230.00000000000398</v>
      </c>
      <c r="ES51" s="158">
        <f>IF((RD[[#This Row],[33kV_OG1_Ex_]]-EB50)*1&lt;0,0,(RD[[#This Row],[33kV_OG1_Ex_]]-EB50)*1)</f>
        <v>425198</v>
      </c>
      <c r="ET51" s="146">
        <f>IF((RD[[#This Row],[33kV_OG1_Im]]-EC50)*1&lt;0,0,(RD[[#This Row],[33kV_OG1_Im]]-EC50)*1)</f>
        <v>2084.0320000000065</v>
      </c>
      <c r="EU51" s="146">
        <f>IF((RD[[#This Row],[132kV_TX1_EX]]-ED50)*720&lt;=0,"",(RD[[#This Row],[132kV_TX1_EX]]-ED50)*720)</f>
        <v>2160</v>
      </c>
      <c r="EV51" s="146">
        <f>IF((RD[[#This Row],[132 kV_Tx1_Im]]-EE50)*720&lt;=0,0,(RD[[#This Row],[132 kV_Tx1_Im]]-EE50)*720)</f>
        <v>304560</v>
      </c>
      <c r="EW51" s="146">
        <f>IF((RD[[#This Row],[132kV_L1_Ex]]-EF50)*720&lt;=0,0,(RD[[#This Row],[132kV_L1_Ex]]-EF50)*720)</f>
        <v>423863.99999998743</v>
      </c>
      <c r="EX51" s="146">
        <f>IF((RD[[#This Row],[132kV_L1_Im]]-EG50)*720&lt;=0,0,(RD[[#This Row],[132kV_L1_Im]]-EG50)*720)</f>
        <v>2520</v>
      </c>
      <c r="EY51" s="242">
        <f>IFERROR(RD[[#This Row],[33kV_OG1_Ex (MWh)]]+RD[[#This Row],[33kV_OG1_Im (MWh)]],"")</f>
        <v>427282.03200000001</v>
      </c>
      <c r="EZ51" s="148">
        <f>RD[[#This Row],[33kV_OG1_Ex (MWh)]]-RD[[#This Row],[33kV_OG1_Im (MWh)]]</f>
        <v>423113.96799999999</v>
      </c>
      <c r="FA51" s="148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43">
        <v>12.4</v>
      </c>
      <c r="FD51" s="244">
        <v>114</v>
      </c>
      <c r="FE51" t="s">
        <v>282</v>
      </c>
      <c r="FG51" s="144" t="str">
        <f>IFERROR(RD[[#This Row],[E_AC (WPR)]]/RD[[#This Row],[E_DC (WPR)]],"")</f>
        <v/>
      </c>
    </row>
    <row r="52" spans="1:163">
      <c r="A52" s="133">
        <f t="shared" si="159"/>
        <v>45792</v>
      </c>
      <c r="B52" s="138">
        <f>YEAR(RD[[#This Row],[Date]])+IF(MONTH(RD[[#This Row],[Date]])&gt;=4,1,0)</f>
        <v>2026</v>
      </c>
      <c r="C52" s="138">
        <f>YEAR(RD[[#This Row],[Date]])</f>
        <v>2025</v>
      </c>
      <c r="D52" s="139">
        <f t="shared" si="160"/>
        <v>45778</v>
      </c>
      <c r="E52" s="138">
        <f>DAY(EOMONTH(RD[[#This Row],[Date]],0))</f>
        <v>31</v>
      </c>
      <c r="F52" s="152">
        <v>0.26319444444444445</v>
      </c>
      <c r="G52" s="162">
        <v>0.73958333333333337</v>
      </c>
      <c r="H52" s="124">
        <v>5690.5</v>
      </c>
      <c r="I52" s="124">
        <v>5501.3</v>
      </c>
      <c r="J52" s="124">
        <v>5303.7</v>
      </c>
      <c r="K52" s="124">
        <v>5476.1</v>
      </c>
      <c r="L52" s="124">
        <v>5577.9</v>
      </c>
      <c r="M52" s="124">
        <v>5750.8</v>
      </c>
      <c r="N52" s="124">
        <v>5576.5</v>
      </c>
      <c r="O52" s="124">
        <v>6036.1</v>
      </c>
      <c r="P52" s="124">
        <v>5669.8</v>
      </c>
      <c r="Q52" s="124">
        <v>5608.9</v>
      </c>
      <c r="R52" s="124">
        <v>5777.7</v>
      </c>
      <c r="S52" s="124">
        <v>5722.4</v>
      </c>
      <c r="T52" s="124">
        <v>5945.7</v>
      </c>
      <c r="U52" s="124">
        <v>5829.5</v>
      </c>
      <c r="V52" s="124">
        <v>5882.8</v>
      </c>
      <c r="W52" s="124">
        <v>5598</v>
      </c>
      <c r="X52" s="203">
        <v>7477.5</v>
      </c>
      <c r="Y52" s="203">
        <v>8234.2000000000007</v>
      </c>
      <c r="Z52" s="203">
        <v>7188.5</v>
      </c>
      <c r="AA52" s="203">
        <v>7477</v>
      </c>
      <c r="AB52" s="203">
        <v>8754.2000000000007</v>
      </c>
      <c r="AC52" s="203">
        <v>5347.3</v>
      </c>
      <c r="AD52" s="203">
        <v>7969.3</v>
      </c>
      <c r="AE52" s="203">
        <v>8129.5</v>
      </c>
      <c r="AF52" s="203">
        <v>7975.8</v>
      </c>
      <c r="AG52" s="203">
        <v>7926.6</v>
      </c>
      <c r="AH52" s="203">
        <v>7978.3</v>
      </c>
      <c r="AI52" s="203">
        <v>7991.9</v>
      </c>
      <c r="AJ52" s="142">
        <v>5975.9</v>
      </c>
      <c r="AK52" s="142">
        <v>6232.8</v>
      </c>
      <c r="AL52" s="142">
        <v>6222.8</v>
      </c>
      <c r="AM52" s="142">
        <v>6319</v>
      </c>
      <c r="AN52" s="142">
        <v>6091.2</v>
      </c>
      <c r="AO52" s="142">
        <v>6341.2</v>
      </c>
      <c r="AP52" s="142">
        <v>6158.8</v>
      </c>
      <c r="AQ52" s="142">
        <v>6140.8</v>
      </c>
      <c r="AR52" s="142">
        <v>5031.3</v>
      </c>
      <c r="AS52" s="142">
        <v>5082.8999999999996</v>
      </c>
      <c r="AT52" s="142">
        <v>5128.8999999999996</v>
      </c>
      <c r="AU52" s="142">
        <v>5116.8999999999996</v>
      </c>
      <c r="AV52" s="142">
        <v>5223.3</v>
      </c>
      <c r="AW52" s="142">
        <v>5101.8999999999996</v>
      </c>
      <c r="AX52" s="142">
        <v>6967.1</v>
      </c>
      <c r="AY52" s="142">
        <v>7744.7</v>
      </c>
      <c r="AZ52" s="142">
        <v>5672.7</v>
      </c>
      <c r="BA52" s="142">
        <v>6921.2</v>
      </c>
      <c r="BB52" s="142">
        <v>7529.6</v>
      </c>
      <c r="BC52" s="142">
        <v>6305.2</v>
      </c>
      <c r="BD52" s="142">
        <v>5350.5</v>
      </c>
      <c r="BE52" s="142">
        <v>7181.3</v>
      </c>
      <c r="BF52" s="142">
        <v>1071.5</v>
      </c>
      <c r="BG52" s="142">
        <v>1182.5</v>
      </c>
      <c r="BH52" s="142">
        <v>4988.8999999999996</v>
      </c>
      <c r="BI52" s="142">
        <v>3575.4</v>
      </c>
      <c r="BJ52" s="142">
        <v>5236.3999999999996</v>
      </c>
      <c r="BK52" s="142">
        <v>3004</v>
      </c>
      <c r="BL52" s="142">
        <v>5073.6000000000004</v>
      </c>
      <c r="BM52" s="142">
        <v>5090.6000000000004</v>
      </c>
      <c r="BN52" s="142">
        <v>4484</v>
      </c>
      <c r="BO52" s="142">
        <v>4232.6000000000004</v>
      </c>
      <c r="BP52" s="142">
        <v>4729.3999999999996</v>
      </c>
      <c r="BQ52" s="142">
        <v>4272.8</v>
      </c>
      <c r="BR52" s="142">
        <v>5816.3</v>
      </c>
      <c r="BS52" s="142">
        <v>4101.6000000000004</v>
      </c>
      <c r="BT52" s="142">
        <v>2385.4</v>
      </c>
      <c r="BU52" s="142">
        <v>1467</v>
      </c>
      <c r="BV52" s="142"/>
      <c r="BW52" s="142"/>
      <c r="BX52" s="142"/>
      <c r="BY52" s="142"/>
      <c r="BZ52" s="142">
        <v>855.8</v>
      </c>
      <c r="CA52" s="142">
        <v>721.1</v>
      </c>
      <c r="CB52" s="142">
        <v>3231.2</v>
      </c>
      <c r="CC52" s="142">
        <v>5491.1</v>
      </c>
      <c r="CD52" s="59">
        <v>4.3346419166666674</v>
      </c>
      <c r="CE52" s="59">
        <v>3.9174768499999981</v>
      </c>
      <c r="CF52" s="206">
        <v>4.4218124833333361</v>
      </c>
      <c r="CG52" s="206">
        <v>4.0064483499999968</v>
      </c>
      <c r="CH52" s="206">
        <v>0.50340774999999993</v>
      </c>
      <c r="CI52" s="206">
        <v>0.63521394999999958</v>
      </c>
      <c r="CJ52" s="59">
        <v>0.84212328333333319</v>
      </c>
      <c r="CK52" s="59">
        <v>0.66795186666666539</v>
      </c>
      <c r="CL52" s="206">
        <v>29.868613707165149</v>
      </c>
      <c r="CM52" s="206">
        <v>30.073478295185495</v>
      </c>
      <c r="CN52" s="206">
        <v>41.911445482865993</v>
      </c>
      <c r="CO52" s="206">
        <v>39.514062352012537</v>
      </c>
      <c r="CP52" s="206">
        <v>61.77861370716515</v>
      </c>
      <c r="CQ52" s="206">
        <v>61.953060773480715</v>
      </c>
      <c r="CR52" s="59">
        <v>3.7383177570093497E-2</v>
      </c>
      <c r="CS52" s="59">
        <v>0</v>
      </c>
      <c r="CT52" s="206">
        <v>1.3289182242990671</v>
      </c>
      <c r="CU52" s="206">
        <v>1.355965272296765</v>
      </c>
      <c r="CV52" s="206">
        <v>5.6459999999999999</v>
      </c>
      <c r="CW52" s="258">
        <v>5.8259999999999996</v>
      </c>
      <c r="CX52" s="204">
        <f>IFERROR(AVERAGEIF(RD[[#This Row],[IS1POA1 (KWh/m2)]:[IS7POA2 (KWh/m2)]],"&lt;&gt;0",RD[[#This Row],[IS1POA1 (KWh/m2)]:[IS7POA2 (KWh/m2)]]),"")</f>
        <v>4.1260593833333328</v>
      </c>
      <c r="CY52" s="204">
        <f>IFERROR(AVERAGEIF(RD[[#This Row],[IS1GHI1 (KWh/m2)]:[IS7GHI2 (KWh/m2)]],"&lt;&gt;0",RD[[#This Row],[IS1GHI1 (KWh/m2)]:[IS7GHI2 (KWh/m2)]]),"")</f>
        <v>4.2141304166666664</v>
      </c>
      <c r="CZ52" s="204">
        <f>IFERROR(AVERAGEIF(RD[[#This Row],[IS1POA_BS1 (KWh/m2)]:[IS7POA_BS2 (KWh/m2)]],"&lt;&gt;0",RD[[#This Row],[IS1POA_BS1 (KWh/m2)]:[IS7POA_BS2 (KWh/m2)]]),"")</f>
        <v>0.5693108499999997</v>
      </c>
      <c r="DA52" s="204">
        <f>IFERROR(AVERAGEIF(RD[[#This Row],[IS1GHI_BS1 (KWh/m2)]:[IS1GHI_BS1 (KWh/m2)2]],"&lt;&gt;0",RD[[#This Row],[IS1GHI_BS1 (KWh/m2)]:[IS1GHI_BS1 (KWh/m2)2]]),"")</f>
        <v>0.75503757499999935</v>
      </c>
      <c r="DB52" s="204">
        <f>IFERROR(AVERAGEIF(RD[[#This Row],[IS1AT1 (°C)]:[IS7AT2 (°C)]],"&lt;&gt;0",RD[[#This Row],[IS1AT1 (°C)]:[IS7AT2 (°C)]]),"")</f>
        <v>29.971046001175324</v>
      </c>
      <c r="DC52" s="204">
        <f>IFERROR(AVERAGEIF(RD[[#This Row],[IS1MT1 (°C)]:[IS7MT2 (°C)]],"&lt;&gt;0",RD[[#This Row],[IS1MT1 (°C)]:[IS7MT2 (°C)]]),"")</f>
        <v>40.712753917439265</v>
      </c>
      <c r="DD52" s="204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204">
        <f>IFERROR(AVERAGEIF(RD[[#This Row],[WS_Solar1_Avg (m/s)]:[IS7_WS_Solar1_Avg (m/s)]],"&lt;&gt;0",RD[[#This Row],[WS_Solar1_Avg (m/s)]:[IS7_WS_Solar1_Avg (m/s)]]),"")</f>
        <v>1.3424417482979161</v>
      </c>
      <c r="DG52" s="204">
        <f>IFERROR(AVERAGEIF(RD[[#This Row],[WS_Solar1_Max (m/s)]:[IS7_WS_Solar1_Max (m/s)]],"&lt;&gt;0",RD[[#This Row],[WS_Solar1_Max (m/s)]:[IS7_WS_Solar1_Max (m/s)]]),"")</f>
        <v>5.7359999999999998</v>
      </c>
      <c r="DH52" s="204">
        <f>SUM(RD[[#This Row],[IS1Inv1M1]:[IS4Inv4M2]])</f>
        <v>183397.79999999996</v>
      </c>
      <c r="DI52" s="205">
        <f>SUM(RD[[#This Row],[IS7Inv1M1]]+RD[[#This Row],[IS7Inv2M1]])</f>
        <v>10114.200000000001</v>
      </c>
      <c r="DJ52" s="204">
        <f>SUM(RD[[#This Row],[IS5Inv1M1]:[IS5Inv2M2]])</f>
        <v>24750.5</v>
      </c>
      <c r="DK52" s="204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86">
        <f>SUM(RD[[#This Row],[IS12Inv1M1]:[IS12Inv1M4]])</f>
        <v>17718.8</v>
      </c>
      <c r="DO52" s="286">
        <f>SUM(RD[[#This Row],[IS13Inv1M1]:[IS13Inv2M2]])</f>
        <v>13770.300000000001</v>
      </c>
      <c r="DP52" s="204">
        <f>SUM(RD[[#This Row],[O2R15]:[O2R26]])</f>
        <v>388248.99999999994</v>
      </c>
      <c r="DQ52" s="164">
        <v>39967.599999999999</v>
      </c>
      <c r="DR52" s="168">
        <v>210.4</v>
      </c>
      <c r="DS52" s="164">
        <v>34569.300000000003</v>
      </c>
      <c r="DT52" s="164">
        <v>222.5</v>
      </c>
      <c r="DU52" s="168">
        <v>40194</v>
      </c>
      <c r="DV52" s="168">
        <v>399.2</v>
      </c>
      <c r="DW52" s="164">
        <v>8071.9</v>
      </c>
      <c r="DX52" s="168">
        <v>37.6</v>
      </c>
      <c r="DY52" s="168"/>
      <c r="DZ52" s="168"/>
      <c r="EA52" s="140">
        <v>94.36</v>
      </c>
      <c r="EB52" s="241">
        <v>126134534</v>
      </c>
      <c r="EC52" s="240">
        <v>928454.65599999996</v>
      </c>
      <c r="ED52" s="241">
        <v>1114</v>
      </c>
      <c r="EE52" s="241">
        <v>120432</v>
      </c>
      <c r="EF52" s="164">
        <v>174928.9</v>
      </c>
      <c r="EG52" s="164">
        <v>1820.9</v>
      </c>
      <c r="EH52" s="146">
        <f>IF((RD[[#This Row],[33 kV_F3_Ex
Incomer1]]-DQ51)*1000&lt;0,0,(RD[[#This Row],[33 kV_F3_Ex
Incomer1]]-DQ51)*1000)</f>
        <v>91799.999999995634</v>
      </c>
      <c r="EI52" s="146">
        <f>IF((RD[[#This Row],[34 kV_F3_Im
Incomer1]]-DR51)*1000&lt;0,0,(RD[[#This Row],[34 kV_F3_Im
Incomer1]]-DR51)*1000)</f>
        <v>400.00000000000568</v>
      </c>
      <c r="EJ52" s="146">
        <f>IF((RD[[#This Row],[33 kV_F4_Ex
Incomer2]]-DS51)*1000&lt;0,0,(RD[[#This Row],[33 kV_F4_Ex
Incomer2]]-DS51)*1000)</f>
        <v>88300.00000000291</v>
      </c>
      <c r="EK52" s="146">
        <f>IF((RD[[#This Row],[34 kV_F4_Im
Incomer2]]-DT51)*1000&lt;0,0,(RD[[#This Row],[34 kV_F4_Im
Incomer2]]-DT51)*1000)</f>
        <v>400.00000000000568</v>
      </c>
      <c r="EL52" s="146">
        <f>IF((RD[[#This Row],[33 kV_F5_Ex
Incomer3]]-DU51)*1000&lt;0,0,(RD[[#This Row],[33 kV_F5_Ex
Incomer3]]-DU51)*1000)</f>
        <v>106199.99999999709</v>
      </c>
      <c r="EM52" s="146">
        <f>IF((RD[[#This Row],[34 kV_F5_Im
Incomer3]]-DV51)*1000&lt;0,0,(RD[[#This Row],[34 kV_F5_Im
Incomer3]]-DV51)*1000)</f>
        <v>699.99999999998863</v>
      </c>
      <c r="EN52" s="146">
        <f>IF((RD[[#This Row],[33 kV_F6_Ex
Incomer4]]-DW51)*1000&lt;0,0,(RD[[#This Row],[33 kV_F6_Ex
Incomer4]]-DW51)*1000)</f>
        <v>108899.99999999964</v>
      </c>
      <c r="EO52" s="146">
        <f>IF((RD[[#This Row],[33 kV_F6_Im
Incomer4]]-DX51)*1000&lt;0,0,(RD[[#This Row],[33 kV_F6_Im
Incomer4]]-DX51)*1000)</f>
        <v>800.00000000000432</v>
      </c>
      <c r="EP52" s="146">
        <f>IF((RD[[#This Row],[33 kV_F7_Ex
Incomer5]]-DY51)*1000&lt;0,0,(RD[[#This Row],[33 kV_F7_Ex
Incomer5]]-DY51)*1000)</f>
        <v>0</v>
      </c>
      <c r="EQ52" s="146">
        <f>IF((RD[[#This Row],[33 kV_F7_Im
Incomer5]]-DZ51)*1000&lt;0,0,(RD[[#This Row],[33 kV_F7_Im
Incomer5]]-DZ51)*1000)</f>
        <v>0</v>
      </c>
      <c r="ER52" s="146">
        <f>IF((RD[[#This Row],[33 kV_Aux Trafo]]-EA51)*1000&lt;0,0,(RD[[#This Row],[33 kV_Aux Trafo]]-EA51)*1000)</f>
        <v>250</v>
      </c>
      <c r="ES52" s="158">
        <f>IF((RD[[#This Row],[33kV_OG1_Ex_]]-EB51)*1&lt;0,0,(RD[[#This Row],[33kV_OG1_Ex_]]-EB51)*1)</f>
        <v>396034</v>
      </c>
      <c r="ET52" s="146">
        <f>IF((RD[[#This Row],[33kV_OG1_Im]]-EC51)*1&lt;0,0,(RD[[#This Row],[33kV_OG1_Im]]-EC51)*1)</f>
        <v>2409.2799999999115</v>
      </c>
      <c r="EU52" s="146">
        <f>IF((RD[[#This Row],[132kV_TX1_EX]]-ED51)*720&lt;=0,"",(RD[[#This Row],[132kV_TX1_EX]]-ED51)*720)</f>
        <v>2160</v>
      </c>
      <c r="EV52" s="146">
        <f>IF((RD[[#This Row],[132 kV_Tx1_Im]]-EE51)*720&lt;=0,0,(RD[[#This Row],[132 kV_Tx1_Im]]-EE51)*720)</f>
        <v>284400</v>
      </c>
      <c r="EW52" s="146">
        <f>IF((RD[[#This Row],[132kV_L1_Ex]]-EF51)*720&lt;=0,0,(RD[[#This Row],[132kV_L1_Ex]]-EF51)*720)</f>
        <v>394632.00000000419</v>
      </c>
      <c r="EX52" s="146">
        <f>IF((RD[[#This Row],[132kV_L1_Im]]-EG51)*720&lt;=0,0,(RD[[#This Row],[132kV_L1_Im]]-EG51)*720)</f>
        <v>3024.0000000000327</v>
      </c>
      <c r="EY52" s="242">
        <f>IFERROR(RD[[#This Row],[33kV_OG1_Ex (MWh)]]+RD[[#This Row],[33kV_OG1_Im (MWh)]],"")</f>
        <v>398443.27999999991</v>
      </c>
      <c r="EZ52" s="148">
        <f>RD[[#This Row],[33kV_OG1_Ex (MWh)]]-RD[[#This Row],[33kV_OG1_Im (MWh)]]</f>
        <v>393624.72000000009</v>
      </c>
      <c r="FA52" s="148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43">
        <v>12.9</v>
      </c>
      <c r="FD52" s="244">
        <v>114</v>
      </c>
      <c r="FE52" t="s">
        <v>281</v>
      </c>
      <c r="FG52" s="144" t="str">
        <f>IFERROR(RD[[#This Row],[E_AC (WPR)]]/RD[[#This Row],[E_DC (WPR)]],"")</f>
        <v/>
      </c>
    </row>
    <row r="53" spans="1:163">
      <c r="A53" s="133">
        <f>A52+1</f>
        <v>45793</v>
      </c>
      <c r="B53" s="138">
        <f>YEAR(RD[[#This Row],[Date]])+IF(MONTH(RD[[#This Row],[Date]])&gt;=4,1,0)</f>
        <v>2026</v>
      </c>
      <c r="C53" s="138">
        <f>YEAR(RD[[#This Row],[Date]])</f>
        <v>2025</v>
      </c>
      <c r="D53" s="139">
        <f>A53-DAY(A53)+1</f>
        <v>45778</v>
      </c>
      <c r="E53" s="138">
        <f>DAY(EOMONTH(RD[[#This Row],[Date]],0))</f>
        <v>31</v>
      </c>
      <c r="F53" s="152">
        <v>0.25277777777777777</v>
      </c>
      <c r="G53" s="162">
        <v>0.75902777777777775</v>
      </c>
      <c r="H53" s="124">
        <v>6251</v>
      </c>
      <c r="I53" s="124">
        <v>6252.5</v>
      </c>
      <c r="J53" s="124">
        <v>5977.1</v>
      </c>
      <c r="K53" s="124">
        <v>5994.5</v>
      </c>
      <c r="L53" s="124">
        <v>6144.9</v>
      </c>
      <c r="M53" s="124">
        <v>6275.4</v>
      </c>
      <c r="N53" s="124">
        <v>6105.5</v>
      </c>
      <c r="O53" s="124">
        <v>6549</v>
      </c>
      <c r="P53" s="124">
        <v>6177.7</v>
      </c>
      <c r="Q53" s="124">
        <v>6107.2</v>
      </c>
      <c r="R53" s="124">
        <v>6334.2</v>
      </c>
      <c r="S53" s="124">
        <v>6341.3</v>
      </c>
      <c r="T53" s="124">
        <v>6512.8</v>
      </c>
      <c r="U53" s="124">
        <v>6424.7</v>
      </c>
      <c r="V53" s="124">
        <v>6430</v>
      </c>
      <c r="W53" s="124">
        <v>6215.1</v>
      </c>
      <c r="X53" s="203">
        <v>8831.1</v>
      </c>
      <c r="Y53" s="203">
        <v>9574.5</v>
      </c>
      <c r="Z53" s="203">
        <v>8567</v>
      </c>
      <c r="AA53" s="203">
        <v>8853.6</v>
      </c>
      <c r="AB53" s="203">
        <v>9845.9</v>
      </c>
      <c r="AC53" s="203">
        <v>6149.9</v>
      </c>
      <c r="AD53" s="203">
        <v>9116.7999999999993</v>
      </c>
      <c r="AE53" s="203">
        <v>9285.2999999999993</v>
      </c>
      <c r="AF53" s="203">
        <v>9009.1</v>
      </c>
      <c r="AG53" s="203">
        <v>8947</v>
      </c>
      <c r="AH53" s="203">
        <v>8959.7000000000007</v>
      </c>
      <c r="AI53" s="203">
        <v>9018.9</v>
      </c>
      <c r="AJ53" s="203">
        <v>7382.9</v>
      </c>
      <c r="AK53" s="203">
        <v>7568.3</v>
      </c>
      <c r="AL53" s="203">
        <v>6222.8</v>
      </c>
      <c r="AM53" s="203">
        <v>6319</v>
      </c>
      <c r="AN53" s="203">
        <v>7385.9</v>
      </c>
      <c r="AO53" s="203">
        <v>7628.4</v>
      </c>
      <c r="AP53" s="203">
        <v>7494.3</v>
      </c>
      <c r="AQ53" s="203">
        <v>7404</v>
      </c>
      <c r="AR53" s="203">
        <v>6000.5</v>
      </c>
      <c r="AS53" s="203">
        <v>6042.7</v>
      </c>
      <c r="AT53" s="203">
        <v>6055.8</v>
      </c>
      <c r="AU53" s="203">
        <v>6032.8</v>
      </c>
      <c r="AV53" s="203">
        <v>6153</v>
      </c>
      <c r="AW53" s="203">
        <v>6076.4</v>
      </c>
      <c r="AX53" s="203">
        <v>8532.7000000000007</v>
      </c>
      <c r="AY53" s="203">
        <v>9361.2000000000007</v>
      </c>
      <c r="AZ53" s="203">
        <v>6905.3</v>
      </c>
      <c r="BA53" s="203">
        <v>8352.1</v>
      </c>
      <c r="BB53" s="203">
        <v>8689</v>
      </c>
      <c r="BC53" s="203">
        <v>7224</v>
      </c>
      <c r="BD53" s="203">
        <v>6129</v>
      </c>
      <c r="BE53" s="203">
        <v>8192</v>
      </c>
      <c r="BF53" s="203">
        <v>8813</v>
      </c>
      <c r="BG53" s="203">
        <v>8933</v>
      </c>
      <c r="BH53" s="203">
        <v>5549</v>
      </c>
      <c r="BI53" s="203">
        <v>3008</v>
      </c>
      <c r="BJ53" s="203">
        <v>6002</v>
      </c>
      <c r="BK53" s="203">
        <v>3379</v>
      </c>
      <c r="BL53" s="203">
        <v>5657</v>
      </c>
      <c r="BM53" s="203">
        <v>5751</v>
      </c>
      <c r="BN53" s="203">
        <v>6240</v>
      </c>
      <c r="BO53" s="203">
        <v>5901</v>
      </c>
      <c r="BP53" s="203">
        <v>6511</v>
      </c>
      <c r="BQ53" s="203">
        <v>6049</v>
      </c>
      <c r="BR53" s="203">
        <v>6587</v>
      </c>
      <c r="BS53" s="203">
        <v>5210</v>
      </c>
      <c r="BT53" s="203">
        <v>2639</v>
      </c>
      <c r="BU53" s="203">
        <v>1686</v>
      </c>
      <c r="BV53" s="203"/>
      <c r="BW53" s="203"/>
      <c r="BX53" s="203"/>
      <c r="BY53" s="203"/>
      <c r="BZ53" s="203">
        <v>950</v>
      </c>
      <c r="CA53" s="203">
        <v>805</v>
      </c>
      <c r="CB53" s="203">
        <v>3585</v>
      </c>
      <c r="CC53" s="203">
        <v>6245</v>
      </c>
      <c r="CD53" s="261">
        <v>4.7751695166666721</v>
      </c>
      <c r="CE53" s="261">
        <v>4.7071561499999994</v>
      </c>
      <c r="CF53" s="261">
        <v>4.8163242999999945</v>
      </c>
      <c r="CG53" s="261">
        <v>4.7833447499999897</v>
      </c>
      <c r="CH53" s="261">
        <v>0.59292093333333251</v>
      </c>
      <c r="CI53" s="261">
        <v>0.68631950000000019</v>
      </c>
      <c r="CJ53" s="261">
        <v>0.66859999999899999</v>
      </c>
      <c r="CK53" s="261">
        <v>0.77624051666666627</v>
      </c>
      <c r="CL53" s="261">
        <v>29.393847222222202</v>
      </c>
      <c r="CM53" s="261">
        <v>30.097181528662478</v>
      </c>
      <c r="CN53" s="261">
        <v>40.985718055555509</v>
      </c>
      <c r="CO53" s="261">
        <v>40.379086783439433</v>
      </c>
      <c r="CP53" s="261">
        <v>67.488125000000053</v>
      </c>
      <c r="CQ53" s="261">
        <v>64.900469745222992</v>
      </c>
      <c r="CR53" s="261">
        <v>0</v>
      </c>
      <c r="CS53" s="261">
        <v>0</v>
      </c>
      <c r="CT53" s="261">
        <v>1.1453041666666661</v>
      </c>
      <c r="CU53" s="261">
        <v>1.2828479299363043</v>
      </c>
      <c r="CV53" s="261">
        <v>4.4550000000000001</v>
      </c>
      <c r="CW53" s="261">
        <v>4.9080000000000004</v>
      </c>
      <c r="CX53" s="204">
        <f>IFERROR(AVERAGEIF(RD[[#This Row],[IS1POA1 (KWh/m2)]:[IS7POA2 (KWh/m2)]],"&lt;&gt;0",RD[[#This Row],[IS1POA1 (KWh/m2)]:[IS7POA2 (KWh/m2)]]),"")</f>
        <v>4.7411628333333358</v>
      </c>
      <c r="CY53" s="204">
        <f>IFERROR(AVERAGEIF(RD[[#This Row],[IS1GHI1 (KWh/m2)]:[IS7GHI2 (KWh/m2)]],"&lt;&gt;0",RD[[#This Row],[IS1GHI1 (KWh/m2)]:[IS7GHI2 (KWh/m2)]]),"")</f>
        <v>4.7998345249999925</v>
      </c>
      <c r="CZ53" s="204">
        <f>IFERROR(AVERAGEIF(RD[[#This Row],[IS1POA_BS1 (KWh/m2)]:[IS7POA_BS2 (KWh/m2)]],"&lt;&gt;0",RD[[#This Row],[IS1POA_BS1 (KWh/m2)]:[IS7POA_BS2 (KWh/m2)]]),"")</f>
        <v>0.63962021666666635</v>
      </c>
      <c r="DA53" s="204">
        <f>IFERROR(AVERAGEIF(RD[[#This Row],[IS1GHI_BS1 (KWh/m2)]:[IS1GHI_BS1 (KWh/m2)2]],"&lt;&gt;0",RD[[#This Row],[IS1GHI_BS1 (KWh/m2)]:[IS1GHI_BS1 (KWh/m2)2]]),"")</f>
        <v>0.72242025833283319</v>
      </c>
      <c r="DB53" s="204">
        <f>IFERROR(AVERAGEIF(RD[[#This Row],[IS1AT1 (°C)]:[IS7AT2 (°C)]],"&lt;&gt;0",RD[[#This Row],[IS1AT1 (°C)]:[IS7AT2 (°C)]]),"")</f>
        <v>29.74551437544234</v>
      </c>
      <c r="DC53" s="204">
        <f>IFERROR(AVERAGEIF(RD[[#This Row],[IS1MT1 (°C)]:[IS7MT2 (°C)]],"&lt;&gt;0",RD[[#This Row],[IS1MT1 (°C)]:[IS7MT2 (°C)]]),"")</f>
        <v>40.682402419497471</v>
      </c>
      <c r="DD53" s="204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204">
        <f>IFERROR(AVERAGEIF(RD[[#This Row],[WS_Solar1_Avg (m/s)]:[IS7_WS_Solar1_Avg (m/s)]],"&lt;&gt;0",RD[[#This Row],[WS_Solar1_Avg (m/s)]:[IS7_WS_Solar1_Avg (m/s)]]),"")</f>
        <v>1.2140760483014852</v>
      </c>
      <c r="DG53" s="204">
        <f>IFERROR(AVERAGEIF(RD[[#This Row],[WS_Solar1_Max (m/s)]:[IS7_WS_Solar1_Max (m/s)]],"&lt;&gt;0",RD[[#This Row],[WS_Solar1_Max (m/s)]:[IS7_WS_Solar1_Max (m/s)]]),"")</f>
        <v>4.6814999999999998</v>
      </c>
      <c r="DH53" s="204">
        <f>SUM(RD[[#This Row],[IS1Inv1M1]:[IS4Inv4M2]])</f>
        <v>206251.69999999998</v>
      </c>
      <c r="DI53" s="205">
        <f>SUM(RD[[#This Row],[IS7Inv1M1]]+RD[[#This Row],[IS7Inv2M1]])</f>
        <v>12043.2</v>
      </c>
      <c r="DJ53" s="204">
        <f>SUM(RD[[#This Row],[IS5Inv1M1]:[IS5Inv2M2]])</f>
        <v>27493</v>
      </c>
      <c r="DK53" s="204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86">
        <f>SUM(RD[[#This Row],[IS12Inv1M1]:[IS12Inv1M4]])</f>
        <v>24701</v>
      </c>
      <c r="DO53" s="286">
        <f>SUM(RD[[#This Row],[IS13Inv1M1]:[IS13Inv2M2]])</f>
        <v>16122</v>
      </c>
      <c r="DP53" s="204">
        <f>SUM(RD[[#This Row],[O2R15]:[O2R26]])</f>
        <v>462903.8</v>
      </c>
      <c r="DQ53" s="164">
        <v>40072.9</v>
      </c>
      <c r="DR53" s="168">
        <v>210.8</v>
      </c>
      <c r="DS53" s="164">
        <v>34666.400000000001</v>
      </c>
      <c r="DT53" s="164">
        <v>222.8</v>
      </c>
      <c r="DU53" s="168">
        <v>40321.599999999999</v>
      </c>
      <c r="DV53" s="168">
        <v>399.8</v>
      </c>
      <c r="DW53" s="164">
        <v>8199.5</v>
      </c>
      <c r="DX53" s="168">
        <v>38.6</v>
      </c>
      <c r="DY53" s="168"/>
      <c r="DZ53" s="168"/>
      <c r="EA53" s="140">
        <v>94.6</v>
      </c>
      <c r="EB53" s="241">
        <v>126593277</v>
      </c>
      <c r="EC53" s="240">
        <v>930819.26399999997</v>
      </c>
      <c r="ED53" s="241">
        <v>1117</v>
      </c>
      <c r="EE53" s="241">
        <v>120888</v>
      </c>
      <c r="EF53" s="164">
        <v>175563.7</v>
      </c>
      <c r="EG53" s="164">
        <v>1824.7</v>
      </c>
      <c r="EH53" s="146">
        <f>IF((RD[[#This Row],[33 kV_F3_Ex
Incomer1]]-DQ52)*1000&lt;0,0,(RD[[#This Row],[33 kV_F3_Ex
Incomer1]]-DQ52)*1000)</f>
        <v>105300.00000000291</v>
      </c>
      <c r="EI53" s="146">
        <f>IF((RD[[#This Row],[34 kV_F3_Im
Incomer1]]-DR52)*1000&lt;0,0,(RD[[#This Row],[34 kV_F3_Im
Incomer1]]-DR52)*1000)</f>
        <v>400.00000000000568</v>
      </c>
      <c r="EJ53" s="146">
        <f>IF((RD[[#This Row],[33 kV_F4_Ex
Incomer2]]-DS52)*1000&lt;0,0,(RD[[#This Row],[33 kV_F4_Ex
Incomer2]]-DS52)*1000)</f>
        <v>97099.999999998545</v>
      </c>
      <c r="EK53" s="146">
        <f>IF((RD[[#This Row],[34 kV_F4_Im
Incomer2]]-DT52)*1000&lt;0,0,(RD[[#This Row],[34 kV_F4_Im
Incomer2]]-DT52)*1000)</f>
        <v>300.00000000001137</v>
      </c>
      <c r="EL53" s="146">
        <f>IF((RD[[#This Row],[33 kV_F5_Ex
Incomer3]]-DU52)*1000&lt;0,0,(RD[[#This Row],[33 kV_F5_Ex
Incomer3]]-DU52)*1000)</f>
        <v>127599.99999999854</v>
      </c>
      <c r="EM53" s="146">
        <f>IF((RD[[#This Row],[34 kV_F5_Im
Incomer3]]-DV52)*1000&lt;0,0,(RD[[#This Row],[34 kV_F5_Im
Incomer3]]-DV52)*1000)</f>
        <v>600.00000000002274</v>
      </c>
      <c r="EN53" s="146">
        <f>IF((RD[[#This Row],[33 kV_F6_Ex
Incomer4]]-DW52)*1000&lt;0,0,(RD[[#This Row],[33 kV_F6_Ex
Incomer4]]-DW52)*1000)</f>
        <v>127600.00000000036</v>
      </c>
      <c r="EO53" s="146">
        <f>IF((RD[[#This Row],[33 kV_F6_Im
Incomer4]]-DX52)*1000&lt;0,0,(RD[[#This Row],[33 kV_F6_Im
Incomer4]]-DX52)*1000)</f>
        <v>1000</v>
      </c>
      <c r="EP53" s="146">
        <f>IF((RD[[#This Row],[33 kV_F7_Ex
Incomer5]]-DY52)*1000&lt;0,0,(RD[[#This Row],[33 kV_F7_Ex
Incomer5]]-DY52)*1000)</f>
        <v>0</v>
      </c>
      <c r="EQ53" s="146">
        <f>IF((RD[[#This Row],[33 kV_F7_Im
Incomer5]]-DZ52)*1000&lt;0,0,(RD[[#This Row],[33 kV_F7_Im
Incomer5]]-DZ52)*1000)</f>
        <v>0</v>
      </c>
      <c r="ER53" s="146">
        <f>IF((RD[[#This Row],[33 kV_Aux Trafo]]-EA52)*1000&lt;0,0,(RD[[#This Row],[33 kV_Aux Trafo]]-EA52)*1000)</f>
        <v>239.99999999999488</v>
      </c>
      <c r="ES53" s="158">
        <f>IF((RD[[#This Row],[33kV_OG1_Ex_]]-EB52)*1&lt;0,0,(RD[[#This Row],[33kV_OG1_Ex_]]-EB52)*1)</f>
        <v>458743</v>
      </c>
      <c r="ET53" s="146">
        <f>IF((RD[[#This Row],[33kV_OG1_Im]]-EC52)*1&lt;0,0,(RD[[#This Row],[33kV_OG1_Im]]-EC52)*1)</f>
        <v>2364.6080000000075</v>
      </c>
      <c r="EU53" s="146">
        <f>IF((RD[[#This Row],[132kV_TX1_EX]]-ED52)*720&lt;=0,"",(RD[[#This Row],[132kV_TX1_EX]]-ED52)*720)</f>
        <v>2160</v>
      </c>
      <c r="EV53" s="146">
        <f>IF((RD[[#This Row],[132 kV_Tx1_Im]]-EE52)*720&lt;=0,0,(RD[[#This Row],[132 kV_Tx1_Im]]-EE52)*720)</f>
        <v>328320</v>
      </c>
      <c r="EW53" s="146">
        <f>IF((RD[[#This Row],[132kV_L1_Ex]]-EF52)*720&lt;=0,0,(RD[[#This Row],[132kV_L1_Ex]]-EF52)*720)</f>
        <v>457056.00000001257</v>
      </c>
      <c r="EX53" s="146">
        <f>IF((RD[[#This Row],[132kV_L1_Im]]-EG52)*720&lt;=0,0,(RD[[#This Row],[132kV_L1_Im]]-EG52)*720)</f>
        <v>2735.9999999999673</v>
      </c>
      <c r="EY53" s="242">
        <f>IFERROR(RD[[#This Row],[33kV_OG1_Ex (MWh)]]+RD[[#This Row],[33kV_OG1_Im (MWh)]],"")</f>
        <v>461107.60800000001</v>
      </c>
      <c r="EZ53" s="148">
        <f>RD[[#This Row],[33kV_OG1_Ex (MWh)]]-RD[[#This Row],[33kV_OG1_Im (MWh)]]</f>
        <v>456378.39199999999</v>
      </c>
      <c r="FA53" s="148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43">
        <v>12.9</v>
      </c>
      <c r="FD53" s="244">
        <v>114</v>
      </c>
      <c r="FE53" t="s">
        <v>283</v>
      </c>
      <c r="FG53" s="144" t="str">
        <f>IFERROR(RD[[#This Row],[E_AC (WPR)]]/RD[[#This Row],[E_DC (WPR)]],"")</f>
        <v/>
      </c>
    </row>
    <row r="54" spans="1:163">
      <c r="A54" s="133">
        <f t="shared" ref="A54:A100" si="161">A53+1</f>
        <v>45794</v>
      </c>
      <c r="B54" s="138">
        <f>YEAR(RD[[#This Row],[Date]])+IF(MONTH(RD[[#This Row],[Date]])&gt;=4,1,0)</f>
        <v>2026</v>
      </c>
      <c r="C54" s="138">
        <f>YEAR(RD[[#This Row],[Date]])</f>
        <v>2025</v>
      </c>
      <c r="D54" s="139">
        <f t="shared" ref="D54:D60" si="162">A54-DAY(A54)+1</f>
        <v>45778</v>
      </c>
      <c r="E54" s="138">
        <f>DAY(EOMONTH(RD[[#This Row],[Date]],0))</f>
        <v>31</v>
      </c>
      <c r="F54" s="152">
        <v>0.25486111111111109</v>
      </c>
      <c r="G54" s="162">
        <v>0.77222222222222225</v>
      </c>
      <c r="H54" s="124">
        <v>8359.5</v>
      </c>
      <c r="I54" s="124">
        <v>8265.4</v>
      </c>
      <c r="J54" s="124">
        <v>7809.3</v>
      </c>
      <c r="K54" s="124">
        <v>7963</v>
      </c>
      <c r="L54" s="124">
        <v>8169.9</v>
      </c>
      <c r="M54" s="124">
        <v>8393.5</v>
      </c>
      <c r="N54" s="124">
        <v>8095.2</v>
      </c>
      <c r="O54" s="124">
        <v>8779</v>
      </c>
      <c r="P54" s="124">
        <v>8206.1</v>
      </c>
      <c r="Q54" s="124">
        <v>8038.9</v>
      </c>
      <c r="R54" s="124">
        <v>8318</v>
      </c>
      <c r="S54" s="124">
        <v>8254.5</v>
      </c>
      <c r="T54" s="124">
        <v>8640.2000000000007</v>
      </c>
      <c r="U54" s="124">
        <v>8384.5</v>
      </c>
      <c r="V54" s="124">
        <v>8491.1</v>
      </c>
      <c r="W54" s="124">
        <v>8187.9</v>
      </c>
      <c r="X54" s="203">
        <v>11335.9</v>
      </c>
      <c r="Y54" s="203">
        <v>12187.6</v>
      </c>
      <c r="Z54" s="203">
        <v>11077.5</v>
      </c>
      <c r="AA54" s="203">
        <v>11560.1</v>
      </c>
      <c r="AB54" s="203">
        <v>12375.3</v>
      </c>
      <c r="AC54" s="203">
        <v>7634</v>
      </c>
      <c r="AD54" s="203">
        <v>11433.3</v>
      </c>
      <c r="AE54" s="203">
        <v>11678.9</v>
      </c>
      <c r="AF54" s="203">
        <v>11428</v>
      </c>
      <c r="AG54" s="203">
        <v>11297</v>
      </c>
      <c r="AH54" s="203">
        <v>11399</v>
      </c>
      <c r="AI54" s="203">
        <v>11460</v>
      </c>
      <c r="AJ54" s="203">
        <v>9652</v>
      </c>
      <c r="AK54" s="203">
        <v>9969</v>
      </c>
      <c r="AL54" s="203">
        <v>9833</v>
      </c>
      <c r="AM54" s="203">
        <v>9938</v>
      </c>
      <c r="AN54" s="203">
        <v>9789.5</v>
      </c>
      <c r="AO54" s="203">
        <v>10144</v>
      </c>
      <c r="AP54" s="203">
        <v>9910.6</v>
      </c>
      <c r="AQ54" s="203">
        <v>9821.5</v>
      </c>
      <c r="AR54" s="203">
        <v>8056.1</v>
      </c>
      <c r="AS54" s="203">
        <v>8135.9</v>
      </c>
      <c r="AT54" s="203">
        <v>8216.1</v>
      </c>
      <c r="AU54" s="203">
        <v>8145.7</v>
      </c>
      <c r="AV54" s="203">
        <v>8356.1</v>
      </c>
      <c r="AW54" s="203">
        <v>8215.6</v>
      </c>
      <c r="AX54" s="203">
        <v>11263</v>
      </c>
      <c r="AY54" s="203">
        <v>12507</v>
      </c>
      <c r="AZ54" s="203">
        <v>9081</v>
      </c>
      <c r="BA54" s="203">
        <v>11051</v>
      </c>
      <c r="BB54" s="203">
        <v>11153</v>
      </c>
      <c r="BC54" s="203">
        <v>9317</v>
      </c>
      <c r="BD54" s="203">
        <v>7859</v>
      </c>
      <c r="BE54" s="203">
        <v>10559</v>
      </c>
      <c r="BF54" s="203">
        <v>11451</v>
      </c>
      <c r="BG54" s="203">
        <v>11596</v>
      </c>
      <c r="BH54" s="203">
        <v>7206</v>
      </c>
      <c r="BI54" s="203">
        <v>4189</v>
      </c>
      <c r="BJ54" s="203">
        <v>7694</v>
      </c>
      <c r="BK54" s="203">
        <v>4270</v>
      </c>
      <c r="BL54" s="203">
        <v>7101</v>
      </c>
      <c r="BM54" s="203">
        <v>7203</v>
      </c>
      <c r="BN54" s="203">
        <v>8066</v>
      </c>
      <c r="BO54" s="203">
        <v>7544</v>
      </c>
      <c r="BP54" s="203">
        <v>8406</v>
      </c>
      <c r="BQ54" s="203">
        <v>7689</v>
      </c>
      <c r="BR54" s="203">
        <v>8230</v>
      </c>
      <c r="BS54" s="203">
        <v>7643</v>
      </c>
      <c r="BT54" s="203">
        <v>3384</v>
      </c>
      <c r="BU54" s="203">
        <v>2366</v>
      </c>
      <c r="BV54" s="203"/>
      <c r="BW54" s="203"/>
      <c r="BX54" s="203"/>
      <c r="BY54" s="203"/>
      <c r="BZ54" s="203">
        <v>1198</v>
      </c>
      <c r="CA54" s="203">
        <v>1019</v>
      </c>
      <c r="CB54" s="203">
        <v>4572</v>
      </c>
      <c r="CC54" s="203">
        <v>7767</v>
      </c>
      <c r="CD54" s="261">
        <v>4.4201695166666699</v>
      </c>
      <c r="CE54" s="261">
        <v>4.2501561499999996</v>
      </c>
      <c r="CF54" s="261">
        <v>4.8103242999999898</v>
      </c>
      <c r="CG54" s="261">
        <v>4.3603447499999897</v>
      </c>
      <c r="CH54" s="261">
        <v>0.50192093333333299</v>
      </c>
      <c r="CI54" s="261">
        <v>0.64031950000000004</v>
      </c>
      <c r="CJ54" s="261">
        <v>0.65559999999899998</v>
      </c>
      <c r="CK54" s="261">
        <v>0.66524051666666595</v>
      </c>
      <c r="CL54" s="261">
        <v>29.390847222222199</v>
      </c>
      <c r="CM54" s="261">
        <v>30.099181528662498</v>
      </c>
      <c r="CN54" s="261">
        <v>40.9957180555555</v>
      </c>
      <c r="CO54" s="261">
        <v>40.285086783439397</v>
      </c>
      <c r="CP54" s="261">
        <v>67.458125000000095</v>
      </c>
      <c r="CQ54" s="261">
        <v>62.900469745222999</v>
      </c>
      <c r="CR54" s="261">
        <v>0</v>
      </c>
      <c r="CS54" s="261">
        <v>0</v>
      </c>
      <c r="CT54" s="261">
        <v>1.1253041666666701</v>
      </c>
      <c r="CU54" s="261">
        <v>1.2758479299362999</v>
      </c>
      <c r="CV54" s="261">
        <v>4.3550000000000004</v>
      </c>
      <c r="CW54" s="261">
        <v>4.8049999999999997</v>
      </c>
      <c r="CX54" s="204">
        <f>IFERROR(AVERAGEIF(RD[[#This Row],[IS1POA1 (KWh/m2)]:[IS7POA2 (KWh/m2)]],"&lt;&gt;0",RD[[#This Row],[IS1POA1 (KWh/m2)]:[IS7POA2 (KWh/m2)]]),"")</f>
        <v>4.3351628333333352</v>
      </c>
      <c r="CY54" s="204">
        <f>IFERROR(AVERAGEIF(RD[[#This Row],[IS1GHI1 (KWh/m2)]:[IS7GHI2 (KWh/m2)]],"&lt;&gt;0",RD[[#This Row],[IS1GHI1 (KWh/m2)]:[IS7GHI2 (KWh/m2)]]),"")</f>
        <v>4.5853345249999897</v>
      </c>
      <c r="CZ54" s="204">
        <f>IFERROR(AVERAGEIF(RD[[#This Row],[IS1POA_BS1 (KWh/m2)]:[IS7POA_BS2 (KWh/m2)]],"&lt;&gt;0",RD[[#This Row],[IS1POA_BS1 (KWh/m2)]:[IS7POA_BS2 (KWh/m2)]]),"")</f>
        <v>0.57112021666666646</v>
      </c>
      <c r="DA54" s="204">
        <f>IFERROR(AVERAGEIF(RD[[#This Row],[IS1GHI_BS1 (KWh/m2)]:[IS1GHI_BS1 (KWh/m2)2]],"&lt;&gt;0",RD[[#This Row],[IS1GHI_BS1 (KWh/m2)]:[IS1GHI_BS1 (KWh/m2)2]]),"")</f>
        <v>0.66042025833283291</v>
      </c>
      <c r="DB54" s="204">
        <f>IFERROR(AVERAGEIF(RD[[#This Row],[IS1AT1 (°C)]:[IS7AT2 (°C)]],"&lt;&gt;0",RD[[#This Row],[IS1AT1 (°C)]:[IS7AT2 (°C)]]),"")</f>
        <v>29.745014375442349</v>
      </c>
      <c r="DC54" s="204">
        <f>IFERROR(AVERAGEIF(RD[[#This Row],[IS1MT1 (°C)]:[IS7MT2 (°C)]],"&lt;&gt;0",RD[[#This Row],[IS1MT1 (°C)]:[IS7MT2 (°C)]]),"")</f>
        <v>40.640402419497448</v>
      </c>
      <c r="DD54" s="204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204">
        <f>IFERROR(AVERAGEIF(RD[[#This Row],[WS_Solar1_Avg (m/s)]:[IS7_WS_Solar1_Avg (m/s)]],"&lt;&gt;0",RD[[#This Row],[WS_Solar1_Avg (m/s)]:[IS7_WS_Solar1_Avg (m/s)]]),"")</f>
        <v>1.2005760483014849</v>
      </c>
      <c r="DG54" s="204">
        <f>IFERROR(AVERAGEIF(RD[[#This Row],[WS_Solar1_Max (m/s)]:[IS7_WS_Solar1_Max (m/s)]],"&lt;&gt;0",RD[[#This Row],[WS_Solar1_Max (m/s)]:[IS7_WS_Solar1_Max (m/s)]]),"")</f>
        <v>4.58</v>
      </c>
      <c r="DH54" s="204">
        <f>SUM(RD[[#This Row],[IS1Inv1M1]:[IS4Inv4M2]])</f>
        <v>267222.59999999998</v>
      </c>
      <c r="DI54" s="205">
        <f>SUM(RD[[#This Row],[IS7Inv1M1]]+RD[[#This Row],[IS7Inv2M1]])</f>
        <v>16192</v>
      </c>
      <c r="DJ54" s="204">
        <f>SUM(RD[[#This Row],[IS5Inv1M1]:[IS5Inv2M2]])</f>
        <v>39392</v>
      </c>
      <c r="DK54" s="204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86">
        <f>SUM(RD[[#This Row],[IS12Inv1M1]:[IS12Inv1M4]])</f>
        <v>31705</v>
      </c>
      <c r="DO54" s="286">
        <f>SUM(RD[[#This Row],[IS13Inv1M1]:[IS13Inv2M2]])</f>
        <v>21623</v>
      </c>
      <c r="DP54" s="204">
        <f>SUM(RD[[#This Row],[O2R15]:[O2R26]])</f>
        <v>606789.69999999995</v>
      </c>
      <c r="DQ54" s="164">
        <v>40206.800000000003</v>
      </c>
      <c r="DR54" s="168">
        <v>211</v>
      </c>
      <c r="DS54" s="164">
        <v>34794.800000000003</v>
      </c>
      <c r="DT54" s="164">
        <v>223.1</v>
      </c>
      <c r="DU54" s="168">
        <v>40491.1</v>
      </c>
      <c r="DV54" s="168">
        <v>400.1</v>
      </c>
      <c r="DW54" s="164">
        <v>8363.6</v>
      </c>
      <c r="DX54" s="168">
        <v>39.1</v>
      </c>
      <c r="DY54" s="168"/>
      <c r="DZ54" s="168"/>
      <c r="EA54" s="140">
        <v>94.84</v>
      </c>
      <c r="EB54" s="241">
        <v>127189696</v>
      </c>
      <c r="EC54" s="240">
        <v>932201.21600000001</v>
      </c>
      <c r="ED54" s="241">
        <v>1119</v>
      </c>
      <c r="EE54" s="241">
        <v>121482</v>
      </c>
      <c r="EF54" s="164">
        <v>176389.3</v>
      </c>
      <c r="EG54" s="164">
        <v>1826.9</v>
      </c>
      <c r="EH54" s="146">
        <f>IF((RD[[#This Row],[33 kV_F3_Ex
Incomer1]]-DQ53)*1000&lt;0,0,(RD[[#This Row],[33 kV_F3_Ex
Incomer1]]-DQ53)*1000)</f>
        <v>133900.00000000146</v>
      </c>
      <c r="EI54" s="146">
        <f>IF((RD[[#This Row],[34 kV_F3_Im
Incomer1]]-DR53)*1000&lt;0,0,(RD[[#This Row],[34 kV_F3_Im
Incomer1]]-DR53)*1000)</f>
        <v>199.99999999998863</v>
      </c>
      <c r="EJ54" s="146">
        <f>IF((RD[[#This Row],[33 kV_F4_Ex
Incomer2]]-DS53)*1000&lt;0,0,(RD[[#This Row],[33 kV_F4_Ex
Incomer2]]-DS53)*1000)</f>
        <v>128400.00000000146</v>
      </c>
      <c r="EK54" s="146">
        <f>IF((RD[[#This Row],[34 kV_F4_Im
Incomer2]]-DT53)*1000&lt;0,0,(RD[[#This Row],[34 kV_F4_Im
Incomer2]]-DT53)*1000)</f>
        <v>299.99999999998295</v>
      </c>
      <c r="EL54" s="146">
        <f>IF((RD[[#This Row],[33 kV_F5_Ex
Incomer3]]-DU53)*1000&lt;0,0,(RD[[#This Row],[33 kV_F5_Ex
Incomer3]]-DU53)*1000)</f>
        <v>169500</v>
      </c>
      <c r="EM54" s="146">
        <f>IF((RD[[#This Row],[34 kV_F5_Im
Incomer3]]-DV53)*1000&lt;0,0,(RD[[#This Row],[34 kV_F5_Im
Incomer3]]-DV53)*1000)</f>
        <v>300.00000000001137</v>
      </c>
      <c r="EN54" s="146">
        <f>IF((RD[[#This Row],[33 kV_F6_Ex
Incomer4]]-DW53)*1000&lt;0,0,(RD[[#This Row],[33 kV_F6_Ex
Incomer4]]-DW53)*1000)</f>
        <v>164100.00000000035</v>
      </c>
      <c r="EO54" s="146">
        <f>IF((RD[[#This Row],[33 kV_F6_Im
Incomer4]]-DX53)*1000&lt;0,0,(RD[[#This Row],[33 kV_F6_Im
Incomer4]]-DX53)*1000)</f>
        <v>500</v>
      </c>
      <c r="EP54" s="146">
        <f>IF((RD[[#This Row],[33 kV_F7_Ex
Incomer5]]-DY53)*1000&lt;0,0,(RD[[#This Row],[33 kV_F7_Ex
Incomer5]]-DY53)*1000)</f>
        <v>0</v>
      </c>
      <c r="EQ54" s="146">
        <f>IF((RD[[#This Row],[33 kV_F7_Im
Incomer5]]-DZ53)*1000&lt;0,0,(RD[[#This Row],[33 kV_F7_Im
Incomer5]]-DZ53)*1000)</f>
        <v>0</v>
      </c>
      <c r="ER54" s="146">
        <f>IF((RD[[#This Row],[33 kV_Aux Trafo]]-EA53)*1000&lt;0,0,(RD[[#This Row],[33 kV_Aux Trafo]]-EA53)*1000)</f>
        <v>240.00000000000909</v>
      </c>
      <c r="ES54" s="158">
        <f>IF((RD[[#This Row],[33kV_OG1_Ex_]]-EB53)*1&lt;0,0,(RD[[#This Row],[33kV_OG1_Ex_]]-EB53)*1)</f>
        <v>596419</v>
      </c>
      <c r="ET54" s="146">
        <f>IF((RD[[#This Row],[33kV_OG1_Im]]-EC53)*1&lt;0,0,(RD[[#This Row],[33kV_OG1_Im]]-EC53)*1)</f>
        <v>1381.9520000000484</v>
      </c>
      <c r="EU54" s="146">
        <f>IF((RD[[#This Row],[132kV_TX1_EX]]-ED53)*720&lt;=0,"",(RD[[#This Row],[132kV_TX1_EX]]-ED53)*720)</f>
        <v>1440</v>
      </c>
      <c r="EV54" s="146">
        <f>IF((RD[[#This Row],[132 kV_Tx1_Im]]-EE53)*720&lt;=0,0,(RD[[#This Row],[132 kV_Tx1_Im]]-EE53)*720)</f>
        <v>427680</v>
      </c>
      <c r="EW54" s="146">
        <f>IF((RD[[#This Row],[132kV_L1_Ex]]-EF53)*720&lt;=0,0,(RD[[#This Row],[132kV_L1_Ex]]-EF53)*720)</f>
        <v>594431.99999998324</v>
      </c>
      <c r="EX54" s="146">
        <f>IF((RD[[#This Row],[132kV_L1_Im]]-EG53)*720&lt;=0,0,(RD[[#This Row],[132kV_L1_Im]]-EG53)*720)</f>
        <v>1584.0000000000327</v>
      </c>
      <c r="EY54" s="242">
        <f>IFERROR(RD[[#This Row],[33kV_OG1_Ex (MWh)]]+RD[[#This Row],[33kV_OG1_Im (MWh)]],"")</f>
        <v>597800.95200000005</v>
      </c>
      <c r="EZ54" s="148">
        <f>RD[[#This Row],[33kV_OG1_Ex (MWh)]]-RD[[#This Row],[33kV_OG1_Im (MWh)]]</f>
        <v>595037.04799999995</v>
      </c>
      <c r="FA54" s="148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43">
        <v>12.9</v>
      </c>
      <c r="FD54" s="244">
        <v>114</v>
      </c>
      <c r="FE54" t="s">
        <v>284</v>
      </c>
      <c r="FG54" s="144" t="str">
        <f>IFERROR(RD[[#This Row],[E_AC (WPR)]]/RD[[#This Row],[E_DC (WPR)]],"")</f>
        <v/>
      </c>
    </row>
    <row r="55" spans="1:163">
      <c r="A55" s="133">
        <f t="shared" si="161"/>
        <v>45795</v>
      </c>
      <c r="B55" s="138">
        <f>YEAR(RD[[#This Row],[Date]])+IF(MONTH(RD[[#This Row],[Date]])&gt;=4,1,0)</f>
        <v>2026</v>
      </c>
      <c r="C55" s="138">
        <f>YEAR(RD[[#This Row],[Date]])</f>
        <v>2025</v>
      </c>
      <c r="D55" s="139">
        <f t="shared" si="162"/>
        <v>45778</v>
      </c>
      <c r="E55" s="138">
        <f>DAY(EOMONTH(RD[[#This Row],[Date]],0))</f>
        <v>31</v>
      </c>
      <c r="F55" s="152">
        <v>0.25277777777777777</v>
      </c>
      <c r="G55" s="162">
        <v>0.76597222222222228</v>
      </c>
      <c r="H55" s="124">
        <v>7898.9</v>
      </c>
      <c r="I55" s="124">
        <v>7744.5</v>
      </c>
      <c r="J55" s="124">
        <v>7356.7</v>
      </c>
      <c r="K55" s="124">
        <v>7712</v>
      </c>
      <c r="L55" s="124">
        <v>8021.6</v>
      </c>
      <c r="M55" s="124">
        <v>8270.2999999999993</v>
      </c>
      <c r="N55" s="124">
        <v>7873</v>
      </c>
      <c r="O55" s="124">
        <v>8528.2999999999993</v>
      </c>
      <c r="P55" s="124">
        <v>7631.3</v>
      </c>
      <c r="Q55" s="124">
        <v>7693.6</v>
      </c>
      <c r="R55" s="124">
        <v>7932.6</v>
      </c>
      <c r="S55" s="124">
        <v>7747.9</v>
      </c>
      <c r="T55" s="124">
        <v>8072.5</v>
      </c>
      <c r="U55" s="124">
        <v>8030.9</v>
      </c>
      <c r="V55" s="124">
        <v>8011.7</v>
      </c>
      <c r="W55" s="124">
        <v>7530.6</v>
      </c>
      <c r="X55" s="203">
        <v>10560</v>
      </c>
      <c r="Y55" s="203">
        <v>11755.2</v>
      </c>
      <c r="Z55" s="203">
        <v>10178.5</v>
      </c>
      <c r="AA55" s="203">
        <v>10554.3</v>
      </c>
      <c r="AB55" s="203">
        <v>11454.5</v>
      </c>
      <c r="AC55" s="203">
        <v>7121.7</v>
      </c>
      <c r="AD55" s="203">
        <v>10608.6</v>
      </c>
      <c r="AE55" s="203">
        <v>10899.4</v>
      </c>
      <c r="AF55" s="203">
        <v>10674.3</v>
      </c>
      <c r="AG55" s="203">
        <v>10691.6</v>
      </c>
      <c r="AH55" s="203">
        <v>10690.9</v>
      </c>
      <c r="AI55" s="203">
        <v>10767.9</v>
      </c>
      <c r="AJ55" s="203">
        <v>7421.8</v>
      </c>
      <c r="AK55" s="203">
        <v>7613.5</v>
      </c>
      <c r="AL55" s="203">
        <v>7523.8</v>
      </c>
      <c r="AM55" s="203">
        <v>7612.6</v>
      </c>
      <c r="AN55" s="203">
        <v>9187</v>
      </c>
      <c r="AO55" s="203">
        <v>9568.2999999999993</v>
      </c>
      <c r="AP55" s="203">
        <v>9299.7000000000007</v>
      </c>
      <c r="AQ55" s="203">
        <v>9304.1</v>
      </c>
      <c r="AR55" s="203">
        <v>7691.2</v>
      </c>
      <c r="AS55" s="203">
        <v>7880.5</v>
      </c>
      <c r="AT55" s="203">
        <v>7759.6</v>
      </c>
      <c r="AU55" s="203">
        <v>7767.8</v>
      </c>
      <c r="AV55" s="203">
        <v>8022.1</v>
      </c>
      <c r="AW55" s="203">
        <v>7981.8</v>
      </c>
      <c r="AX55" s="203">
        <v>10655.1</v>
      </c>
      <c r="AY55" s="203">
        <v>12057.5</v>
      </c>
      <c r="AZ55" s="203">
        <v>8811</v>
      </c>
      <c r="BA55" s="203">
        <v>10707.8</v>
      </c>
      <c r="BB55" s="262">
        <v>11304.2</v>
      </c>
      <c r="BC55" s="262">
        <v>9403</v>
      </c>
      <c r="BD55" s="262">
        <v>7958.6</v>
      </c>
      <c r="BE55" s="262">
        <v>10717.6</v>
      </c>
      <c r="BF55" s="262">
        <v>11590</v>
      </c>
      <c r="BG55" s="262">
        <v>11620</v>
      </c>
      <c r="BH55" s="262">
        <v>7322.9</v>
      </c>
      <c r="BI55" s="262">
        <v>6858.6</v>
      </c>
      <c r="BJ55" s="262">
        <v>7664.5</v>
      </c>
      <c r="BK55" s="262">
        <v>4916.6000000000004</v>
      </c>
      <c r="BL55" s="262">
        <v>7196.2</v>
      </c>
      <c r="BM55" s="262">
        <v>7263.9</v>
      </c>
      <c r="BN55" s="262">
        <v>8127.3</v>
      </c>
      <c r="BO55" s="262">
        <v>7586.7</v>
      </c>
      <c r="BP55" s="262">
        <v>8323.2999999999993</v>
      </c>
      <c r="BQ55" s="262">
        <v>7812.4</v>
      </c>
      <c r="BR55" s="262">
        <v>8561</v>
      </c>
      <c r="BS55" s="262">
        <v>7926.9</v>
      </c>
      <c r="BT55" s="262">
        <v>3446.4</v>
      </c>
      <c r="BU55" s="262">
        <v>3206</v>
      </c>
      <c r="BV55" s="262"/>
      <c r="BW55" s="262"/>
      <c r="BX55" s="262"/>
      <c r="BY55" s="262"/>
      <c r="BZ55" s="262">
        <v>1228.8</v>
      </c>
      <c r="CA55" s="262">
        <v>1043.4000000000001</v>
      </c>
      <c r="CB55" s="262">
        <v>4731.7</v>
      </c>
      <c r="CC55" s="262">
        <v>7914.7</v>
      </c>
      <c r="CD55" s="261">
        <v>6.1103927166666612</v>
      </c>
      <c r="CE55" s="261">
        <v>5.3326652999999951</v>
      </c>
      <c r="CF55" s="261">
        <v>6.2304241666666691</v>
      </c>
      <c r="CG55" s="261">
        <v>5.4530126333333344</v>
      </c>
      <c r="CH55" s="261">
        <v>0.79716846666666674</v>
      </c>
      <c r="CI55" s="261">
        <v>0.81428471666666635</v>
      </c>
      <c r="CJ55" s="261">
        <v>1.2107732166666647</v>
      </c>
      <c r="CK55" s="261">
        <v>0.91531529999999917</v>
      </c>
      <c r="CL55" s="261">
        <v>30.904607922392938</v>
      </c>
      <c r="CM55" s="261">
        <v>30.914867026055617</v>
      </c>
      <c r="CN55" s="261">
        <v>45.883573969280526</v>
      </c>
      <c r="CO55" s="261">
        <v>43.695687331536398</v>
      </c>
      <c r="CP55" s="261">
        <v>65.242489894906953</v>
      </c>
      <c r="CQ55" s="261">
        <v>61.979568733153712</v>
      </c>
      <c r="CR55" s="261">
        <v>7.7607113985448603E-2</v>
      </c>
      <c r="CS55" s="261">
        <v>0</v>
      </c>
      <c r="CT55" s="261">
        <v>1.2860711398544862</v>
      </c>
      <c r="CU55" s="261">
        <v>1.3159829290206668</v>
      </c>
      <c r="CV55" s="261">
        <v>5.82</v>
      </c>
      <c r="CW55" s="261">
        <v>6.5579999999999998</v>
      </c>
      <c r="CX55" s="204">
        <f>IFERROR(AVERAGEIF(RD[[#This Row],[IS1POA1 (KWh/m2)]:[IS7POA2 (KWh/m2)]],"&lt;&gt;0",RD[[#This Row],[IS1POA1 (KWh/m2)]:[IS7POA2 (KWh/m2)]]),"")</f>
        <v>5.7215290083333281</v>
      </c>
      <c r="CY55" s="204">
        <f>IFERROR(AVERAGEIF(RD[[#This Row],[IS1GHI1 (KWh/m2)]:[IS7GHI2 (KWh/m2)]],"&lt;&gt;0",RD[[#This Row],[IS1GHI1 (KWh/m2)]:[IS7GHI2 (KWh/m2)]]),"")</f>
        <v>5.8417184000000013</v>
      </c>
      <c r="CZ55" s="204">
        <f>IFERROR(AVERAGEIF(RD[[#This Row],[IS1POA_BS1 (KWh/m2)]:[IS7POA_BS2 (KWh/m2)]],"&lt;&gt;0",RD[[#This Row],[IS1POA_BS1 (KWh/m2)]:[IS7POA_BS2 (KWh/m2)]]),"")</f>
        <v>0.80572659166666649</v>
      </c>
      <c r="DA55" s="204">
        <f>IFERROR(AVERAGEIF(RD[[#This Row],[IS1GHI_BS1 (KWh/m2)]:[IS1GHI_BS1 (KWh/m2)2]],"&lt;&gt;0",RD[[#This Row],[IS1GHI_BS1 (KWh/m2)]:[IS1GHI_BS1 (KWh/m2)2]]),"")</f>
        <v>1.0630442583333319</v>
      </c>
      <c r="DB55" s="204">
        <f>IFERROR(AVERAGEIF(RD[[#This Row],[IS1AT1 (°C)]:[IS7AT2 (°C)]],"&lt;&gt;0",RD[[#This Row],[IS1AT1 (°C)]:[IS7AT2 (°C)]]),"")</f>
        <v>30.909737474224279</v>
      </c>
      <c r="DC55" s="204">
        <f>IFERROR(AVERAGEIF(RD[[#This Row],[IS1MT1 (°C)]:[IS7MT2 (°C)]],"&lt;&gt;0",RD[[#This Row],[IS1MT1 (°C)]:[IS7MT2 (°C)]]),"")</f>
        <v>44.789630650408462</v>
      </c>
      <c r="DD55" s="204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204">
        <f>IFERROR(AVERAGEIF(RD[[#This Row],[WS_Solar1_Avg (m/s)]:[IS7_WS_Solar1_Avg (m/s)]],"&lt;&gt;0",RD[[#This Row],[WS_Solar1_Avg (m/s)]:[IS7_WS_Solar1_Avg (m/s)]]),"")</f>
        <v>1.3010270344375765</v>
      </c>
      <c r="DG55" s="204">
        <f>IFERROR(AVERAGEIF(RD[[#This Row],[WS_Solar1_Max (m/s)]:[IS7_WS_Solar1_Max (m/s)]],"&lt;&gt;0",RD[[#This Row],[WS_Solar1_Max (m/s)]:[IS7_WS_Solar1_Max (m/s)]]),"")</f>
        <v>6.1890000000000001</v>
      </c>
      <c r="DH55" s="204">
        <f>SUM(RD[[#This Row],[IS1Inv1M1]:[IS4Inv4M2]])</f>
        <v>252013.30000000002</v>
      </c>
      <c r="DI55" s="205">
        <f>SUM(RD[[#This Row],[IS7Inv1M1]]+RD[[#This Row],[IS7Inv2M1]])</f>
        <v>15571.7</v>
      </c>
      <c r="DJ55" s="204">
        <f>SUM(RD[[#This Row],[IS5Inv1M1]:[IS5Inv2M2]])</f>
        <v>30171.699999999997</v>
      </c>
      <c r="DK55" s="204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86">
        <f>SUM(RD[[#This Row],[IS12Inv1M1]:[IS12Inv1M4]])</f>
        <v>31849.699999999997</v>
      </c>
      <c r="DO55" s="286">
        <f>SUM(RD[[#This Row],[IS13Inv1M1]:[IS13Inv2M2]])</f>
        <v>23140.300000000003</v>
      </c>
      <c r="DP55" s="204">
        <f>SUM(RD[[#This Row],[O2R15]:[O2R26]])</f>
        <v>582603.19999999995</v>
      </c>
      <c r="DQ55" s="164">
        <v>40332</v>
      </c>
      <c r="DR55" s="168">
        <v>211.3</v>
      </c>
      <c r="DS55" s="164">
        <v>34917.5</v>
      </c>
      <c r="DT55" s="164">
        <v>223.3</v>
      </c>
      <c r="DU55" s="168">
        <v>40645.9</v>
      </c>
      <c r="DV55" s="168">
        <v>400.6</v>
      </c>
      <c r="DW55" s="164">
        <v>8534.1</v>
      </c>
      <c r="DX55" s="168">
        <v>39.1</v>
      </c>
      <c r="DY55" s="168"/>
      <c r="DZ55" s="168"/>
      <c r="EA55" s="140">
        <v>95.08</v>
      </c>
      <c r="EB55" s="241">
        <v>127763161</v>
      </c>
      <c r="EC55" s="240">
        <v>933235.96799999999</v>
      </c>
      <c r="ED55" s="241">
        <v>1120</v>
      </c>
      <c r="EE55" s="241">
        <v>122054</v>
      </c>
      <c r="EF55" s="164">
        <v>177183.1</v>
      </c>
      <c r="EG55" s="164">
        <v>1829.2</v>
      </c>
      <c r="EH55" s="146">
        <f>IF((RD[[#This Row],[33 kV_F3_Ex
Incomer1]]-DQ54)*1000&lt;0,0,(RD[[#This Row],[33 kV_F3_Ex
Incomer1]]-DQ54)*1000)</f>
        <v>125199.99999999709</v>
      </c>
      <c r="EI55" s="146">
        <f>IF((RD[[#This Row],[34 kV_F3_Im
Incomer1]]-DR54)*1000&lt;0,0,(RD[[#This Row],[34 kV_F3_Im
Incomer1]]-DR54)*1000)</f>
        <v>300.00000000001137</v>
      </c>
      <c r="EJ55" s="146">
        <f>IF((RD[[#This Row],[33 kV_F4_Ex
Incomer2]]-DS54)*1000&lt;0,0,(RD[[#This Row],[33 kV_F4_Ex
Incomer2]]-DS54)*1000)</f>
        <v>122699.99999999709</v>
      </c>
      <c r="EK55" s="146">
        <f>IF((RD[[#This Row],[34 kV_F4_Im
Incomer2]]-DT54)*1000&lt;0,0,(RD[[#This Row],[34 kV_F4_Im
Incomer2]]-DT54)*1000)</f>
        <v>200.00000000001705</v>
      </c>
      <c r="EL55" s="146">
        <f>IF((RD[[#This Row],[33 kV_F5_Ex
Incomer3]]-DU54)*1000&lt;0,0,(RD[[#This Row],[33 kV_F5_Ex
Incomer3]]-DU54)*1000)</f>
        <v>154800.00000000291</v>
      </c>
      <c r="EM55" s="146">
        <f>IF((RD[[#This Row],[34 kV_F5_Im
Incomer3]]-DV54)*1000&lt;0,0,(RD[[#This Row],[34 kV_F5_Im
Incomer3]]-DV54)*1000)</f>
        <v>500</v>
      </c>
      <c r="EN55" s="146">
        <f>IF((RD[[#This Row],[33 kV_F6_Ex
Incomer4]]-DW54)*1000&lt;0,0,(RD[[#This Row],[33 kV_F6_Ex
Incomer4]]-DW54)*1000)</f>
        <v>170500</v>
      </c>
      <c r="EO55" s="146">
        <f t="shared" ref="EO55:EO70" si="163">EK52</f>
        <v>400.00000000000568</v>
      </c>
      <c r="EP55" s="146">
        <f>IF((RD[[#This Row],[33 kV_F7_Ex
Incomer5]]-DY54)*1000&lt;0,0,(RD[[#This Row],[33 kV_F7_Ex
Incomer5]]-DY54)*1000)</f>
        <v>0</v>
      </c>
      <c r="EQ55" s="146">
        <f>IF((RD[[#This Row],[33 kV_F7_Im
Incomer5]]-DZ54)*1000&lt;0,0,(RD[[#This Row],[33 kV_F7_Im
Incomer5]]-DZ54)*1000)</f>
        <v>0</v>
      </c>
      <c r="ER55" s="146">
        <f>IF((RD[[#This Row],[33 kV_Aux Trafo]]-EA54)*1000&lt;0,0,(RD[[#This Row],[33 kV_Aux Trafo]]-EA54)*1000)</f>
        <v>239.99999999999488</v>
      </c>
      <c r="ES55" s="158">
        <f>IF((RD[[#This Row],[33kV_OG1_Ex_]]-EB54)*1&lt;0,0,(RD[[#This Row],[33kV_OG1_Ex_]]-EB54)*1)</f>
        <v>573465</v>
      </c>
      <c r="ET55" s="146">
        <f>IF((RD[[#This Row],[33kV_OG1_Im]]-EC54)*1&lt;0,0,(RD[[#This Row],[33kV_OG1_Im]]-EC54)*1)</f>
        <v>1034.7519999999786</v>
      </c>
      <c r="EU55" s="146">
        <f>IF((RD[[#This Row],[132kV_TX1_EX]]-ED54)*720&lt;=0,"",(RD[[#This Row],[132kV_TX1_EX]]-ED54)*720)</f>
        <v>720</v>
      </c>
      <c r="EV55" s="146">
        <f>IF((RD[[#This Row],[132 kV_Tx1_Im]]-EE54)*720&lt;=0,0,(RD[[#This Row],[132 kV_Tx1_Im]]-EE54)*720)</f>
        <v>411840</v>
      </c>
      <c r="EW55" s="146">
        <f>IF((RD[[#This Row],[132kV_L1_Ex]]-EF54)*720&lt;=0,0,(RD[[#This Row],[132kV_L1_Ex]]-EF54)*720)</f>
        <v>571536.00000001257</v>
      </c>
      <c r="EX55" s="146">
        <f>IF((RD[[#This Row],[132kV_L1_Im]]-EG54)*720&lt;=0,0,(RD[[#This Row],[132kV_L1_Im]]-EG54)*720)</f>
        <v>1655.9999999999673</v>
      </c>
      <c r="EY55" s="242">
        <f>IFERROR(RD[[#This Row],[33kV_OG1_Ex (MWh)]]+RD[[#This Row],[33kV_OG1_Im (MWh)]],"")</f>
        <v>574499.75199999998</v>
      </c>
      <c r="EZ55" s="148">
        <f>RD[[#This Row],[33kV_OG1_Ex (MWh)]]-RD[[#This Row],[33kV_OG1_Im (MWh)]]</f>
        <v>572430.24800000002</v>
      </c>
      <c r="FA55" s="148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43">
        <v>12.9</v>
      </c>
      <c r="FD55" s="244">
        <v>114</v>
      </c>
      <c r="FE55" s="303" t="s">
        <v>285</v>
      </c>
      <c r="FG55" s="144" t="str">
        <f>IFERROR(RD[[#This Row],[E_AC (WPR)]]/RD[[#This Row],[E_DC (WPR)]],"")</f>
        <v/>
      </c>
    </row>
    <row r="56" spans="1:163">
      <c r="A56" s="133">
        <f t="shared" si="161"/>
        <v>45796</v>
      </c>
      <c r="B56" s="138">
        <f>YEAR(RD[[#This Row],[Date]])+IF(MONTH(RD[[#This Row],[Date]])&gt;=4,1,0)</f>
        <v>2026</v>
      </c>
      <c r="C56" s="138">
        <f>YEAR(RD[[#This Row],[Date]])</f>
        <v>2025</v>
      </c>
      <c r="D56" s="139">
        <f t="shared" si="162"/>
        <v>45778</v>
      </c>
      <c r="E56" s="138">
        <f>DAY(EOMONTH(RD[[#This Row],[Date]],0))</f>
        <v>31</v>
      </c>
      <c r="F56" s="152">
        <v>0.25624999999999998</v>
      </c>
      <c r="G56" s="162">
        <v>0.74791666666666667</v>
      </c>
      <c r="H56" s="124">
        <v>7276.7</v>
      </c>
      <c r="I56" s="124">
        <v>7284</v>
      </c>
      <c r="J56" s="124">
        <v>6805.3</v>
      </c>
      <c r="K56" s="124">
        <v>6734.4</v>
      </c>
      <c r="L56" s="124">
        <v>6930.4</v>
      </c>
      <c r="M56" s="124">
        <v>7185.3</v>
      </c>
      <c r="N56" s="124">
        <v>6955.1</v>
      </c>
      <c r="O56" s="124">
        <v>7696.5</v>
      </c>
      <c r="P56" s="124">
        <v>7037</v>
      </c>
      <c r="Q56" s="124">
        <v>6820.9</v>
      </c>
      <c r="R56" s="124">
        <v>7120</v>
      </c>
      <c r="S56" s="124">
        <v>7099.7</v>
      </c>
      <c r="T56" s="124">
        <v>7453</v>
      </c>
      <c r="U56" s="124">
        <v>7231.1</v>
      </c>
      <c r="V56" s="124">
        <v>7302.9</v>
      </c>
      <c r="W56" s="124">
        <v>6948.8</v>
      </c>
      <c r="X56" s="203">
        <v>9735</v>
      </c>
      <c r="Y56" s="203">
        <v>10907.3</v>
      </c>
      <c r="Z56" s="203">
        <v>9447.2999999999993</v>
      </c>
      <c r="AA56" s="203">
        <v>9919.1</v>
      </c>
      <c r="AB56" s="203">
        <v>10607.7</v>
      </c>
      <c r="AC56" s="203">
        <v>6677.1</v>
      </c>
      <c r="AD56" s="203">
        <v>10044.4</v>
      </c>
      <c r="AE56" s="203">
        <v>10239.200000000001</v>
      </c>
      <c r="AF56" s="203">
        <v>10063.200000000001</v>
      </c>
      <c r="AG56" s="203">
        <v>9984.9</v>
      </c>
      <c r="AH56" s="203">
        <v>10006.4</v>
      </c>
      <c r="AI56" s="203">
        <v>10055.1</v>
      </c>
      <c r="AJ56" s="203">
        <v>7030.3</v>
      </c>
      <c r="AK56" s="203">
        <v>7201</v>
      </c>
      <c r="AL56" s="203">
        <v>7062.3</v>
      </c>
      <c r="AM56" s="203">
        <v>7153.2</v>
      </c>
      <c r="AN56" s="203">
        <v>7845.4</v>
      </c>
      <c r="AO56" s="203">
        <v>8129.5</v>
      </c>
      <c r="AP56" s="203">
        <v>7926</v>
      </c>
      <c r="AQ56" s="203">
        <v>7883</v>
      </c>
      <c r="AR56" s="203">
        <v>6748.4</v>
      </c>
      <c r="AS56" s="203">
        <v>6832.6</v>
      </c>
      <c r="AT56" s="203">
        <v>6827.6</v>
      </c>
      <c r="AU56" s="203">
        <v>6821.2</v>
      </c>
      <c r="AV56" s="203">
        <v>7003.9</v>
      </c>
      <c r="AW56" s="203">
        <v>6870</v>
      </c>
      <c r="AX56" s="203">
        <v>10655.4</v>
      </c>
      <c r="AY56" s="203">
        <v>12057.8</v>
      </c>
      <c r="AZ56" s="203">
        <v>8811</v>
      </c>
      <c r="BA56" s="203">
        <v>10707.8</v>
      </c>
      <c r="BB56" s="203">
        <v>10537.5</v>
      </c>
      <c r="BC56" s="203">
        <v>8802.2000000000007</v>
      </c>
      <c r="BD56" s="203">
        <v>7450.9</v>
      </c>
      <c r="BE56" s="203">
        <v>9918.6</v>
      </c>
      <c r="BF56" s="203">
        <v>11250</v>
      </c>
      <c r="BG56" s="203">
        <v>11315</v>
      </c>
      <c r="BH56" s="203">
        <v>6874.5</v>
      </c>
      <c r="BI56" s="203">
        <v>6875.9</v>
      </c>
      <c r="BJ56" s="203">
        <v>7264.3</v>
      </c>
      <c r="BK56" s="203">
        <v>5021.1000000000004</v>
      </c>
      <c r="BL56" s="203">
        <v>6898.5</v>
      </c>
      <c r="BM56" s="203">
        <v>6997.6</v>
      </c>
      <c r="BN56" s="203">
        <v>7391.8</v>
      </c>
      <c r="BO56" s="203">
        <v>7159.8</v>
      </c>
      <c r="BP56" s="203">
        <v>8020.4</v>
      </c>
      <c r="BQ56" s="203">
        <v>7246</v>
      </c>
      <c r="BR56" s="203">
        <v>8064.5</v>
      </c>
      <c r="BS56" s="203">
        <v>7474.4</v>
      </c>
      <c r="BT56" s="203">
        <v>3361.2</v>
      </c>
      <c r="BU56" s="203">
        <v>3127.3</v>
      </c>
      <c r="BV56" s="203"/>
      <c r="BW56" s="203"/>
      <c r="BX56" s="203"/>
      <c r="BY56" s="203"/>
      <c r="BZ56" s="203">
        <v>1147.0999999999999</v>
      </c>
      <c r="CA56" s="203">
        <v>975.2</v>
      </c>
      <c r="CB56" s="203">
        <v>4436.3999999999996</v>
      </c>
      <c r="CC56" s="203">
        <v>7429.7</v>
      </c>
      <c r="CD56" s="261">
        <v>5.4001377333333238</v>
      </c>
      <c r="CE56" s="261">
        <v>5.3645881999999956</v>
      </c>
      <c r="CF56" s="261">
        <v>5.5126714333333373</v>
      </c>
      <c r="CG56" s="261">
        <v>5.3625846499999898</v>
      </c>
      <c r="CH56" s="261">
        <v>0.65075798333333457</v>
      </c>
      <c r="CI56" s="261">
        <v>0.82256958333333297</v>
      </c>
      <c r="CJ56" s="261">
        <v>1.0342258999999991</v>
      </c>
      <c r="CK56" s="261">
        <v>0.91748258333333277</v>
      </c>
      <c r="CL56" s="261">
        <v>30.920164203612511</v>
      </c>
      <c r="CM56" s="261">
        <v>31.895389025389083</v>
      </c>
      <c r="CN56" s="261">
        <v>45.327146141215074</v>
      </c>
      <c r="CO56" s="261">
        <v>44.433634725634761</v>
      </c>
      <c r="CP56" s="261">
        <v>63.360131362890009</v>
      </c>
      <c r="CQ56" s="261">
        <v>58.712760032759945</v>
      </c>
      <c r="CR56" s="261">
        <v>0.29555008210180617</v>
      </c>
      <c r="CS56" s="261">
        <v>0</v>
      </c>
      <c r="CT56" s="261">
        <v>1.0485172413793118</v>
      </c>
      <c r="CU56" s="261">
        <v>1.2361056511056505</v>
      </c>
      <c r="CV56" s="261">
        <v>4.5449999999999999</v>
      </c>
      <c r="CW56" s="261">
        <v>4.4939999999999998</v>
      </c>
      <c r="CX56" s="204">
        <f>IFERROR(AVERAGEIF(RD[[#This Row],[IS1POA1 (KWh/m2)]:[IS7POA2 (KWh/m2)]],"&lt;&gt;0",RD[[#This Row],[IS1POA1 (KWh/m2)]:[IS7POA2 (KWh/m2)]]),"")</f>
        <v>5.3823629666666601</v>
      </c>
      <c r="CY56" s="204">
        <f>IFERROR(AVERAGEIF(RD[[#This Row],[IS1GHI1 (KWh/m2)]:[IS7GHI2 (KWh/m2)]],"&lt;&gt;0",RD[[#This Row],[IS1GHI1 (KWh/m2)]:[IS7GHI2 (KWh/m2)]]),"")</f>
        <v>5.4376280416666631</v>
      </c>
      <c r="CZ56" s="204">
        <f>IFERROR(AVERAGEIF(RD[[#This Row],[IS1POA_BS1 (KWh/m2)]:[IS7POA_BS2 (KWh/m2)]],"&lt;&gt;0",RD[[#This Row],[IS1POA_BS1 (KWh/m2)]:[IS7POA_BS2 (KWh/m2)]]),"")</f>
        <v>0.73666378333333382</v>
      </c>
      <c r="DA56" s="204">
        <f>IFERROR(AVERAGEIF(RD[[#This Row],[IS1GHI_BS1 (KWh/m2)]:[IS1GHI_BS1 (KWh/m2)2]],"&lt;&gt;0",RD[[#This Row],[IS1GHI_BS1 (KWh/m2)]:[IS1GHI_BS1 (KWh/m2)2]]),"")</f>
        <v>0.97585424166666601</v>
      </c>
      <c r="DB56" s="204">
        <f>IFERROR(AVERAGEIF(RD[[#This Row],[IS1AT1 (°C)]:[IS7AT2 (°C)]],"&lt;&gt;0",RD[[#This Row],[IS1AT1 (°C)]:[IS7AT2 (°C)]]),"")</f>
        <v>31.407776614500797</v>
      </c>
      <c r="DC56" s="204">
        <f>IFERROR(AVERAGEIF(RD[[#This Row],[IS1MT1 (°C)]:[IS7MT2 (°C)]],"&lt;&gt;0",RD[[#This Row],[IS1MT1 (°C)]:[IS7MT2 (°C)]]),"")</f>
        <v>44.880390433424921</v>
      </c>
      <c r="DD56" s="204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204">
        <f>IFERROR(AVERAGEIF(RD[[#This Row],[WS_Solar1_Avg (m/s)]:[IS7_WS_Solar1_Avg (m/s)]],"&lt;&gt;0",RD[[#This Row],[WS_Solar1_Avg (m/s)]:[IS7_WS_Solar1_Avg (m/s)]]),"")</f>
        <v>1.142311446242481</v>
      </c>
      <c r="DG56" s="204">
        <f>IFERROR(AVERAGEIF(RD[[#This Row],[WS_Solar1_Max (m/s)]:[IS7_WS_Solar1_Max (m/s)]],"&lt;&gt;0",RD[[#This Row],[WS_Solar1_Max (m/s)]:[IS7_WS_Solar1_Max (m/s)]]),"")</f>
        <v>4.5194999999999999</v>
      </c>
      <c r="DH56" s="204">
        <f>SUM(RD[[#This Row],[IS1Inv1M1]:[IS4Inv4M2]])</f>
        <v>231567.80000000002</v>
      </c>
      <c r="DI56" s="205">
        <f>SUM(RD[[#This Row],[IS7Inv1M1]]+RD[[#This Row],[IS7Inv2M1]])</f>
        <v>13581</v>
      </c>
      <c r="DJ56" s="204">
        <f>SUM(RD[[#This Row],[IS5Inv1M1]:[IS5Inv2M2]])</f>
        <v>28446.799999999999</v>
      </c>
      <c r="DK56" s="204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86">
        <f>SUM(RD[[#This Row],[IS12Inv1M1]:[IS12Inv1M4]])</f>
        <v>29818</v>
      </c>
      <c r="DO56" s="286">
        <f>SUM(RD[[#This Row],[IS13Inv1M1]:[IS13Inv2M2]])</f>
        <v>22027.399999999998</v>
      </c>
      <c r="DP56" s="204">
        <f>SUM(RD[[#This Row],[O2R15]:[O2R26]])</f>
        <v>540174.10000000009</v>
      </c>
      <c r="DQ56" s="164">
        <v>40448.800000000003</v>
      </c>
      <c r="DR56" s="168">
        <v>211.7</v>
      </c>
      <c r="DS56" s="164">
        <v>35028.800000000003</v>
      </c>
      <c r="DT56" s="164">
        <v>223.7</v>
      </c>
      <c r="DU56" s="168">
        <v>40782.400000000001</v>
      </c>
      <c r="DV56" s="168">
        <v>401.3</v>
      </c>
      <c r="DW56" s="164">
        <v>8694.9</v>
      </c>
      <c r="DX56" s="168">
        <v>39.799999999999997</v>
      </c>
      <c r="DY56" s="168"/>
      <c r="DZ56" s="168"/>
      <c r="EA56" s="140">
        <v>95.39</v>
      </c>
      <c r="EB56" s="241">
        <v>128288612</v>
      </c>
      <c r="EC56" s="240">
        <v>935657.08799999999</v>
      </c>
      <c r="ED56" s="241">
        <v>1123</v>
      </c>
      <c r="EE56" s="241">
        <v>122557</v>
      </c>
      <c r="EF56" s="164">
        <v>177910.5</v>
      </c>
      <c r="EG56" s="164">
        <v>1833.3</v>
      </c>
      <c r="EH56" s="146">
        <f>IF((RD[[#This Row],[33 kV_F3_Ex
Incomer1]]-DQ55)*1000&lt;0,0,(RD[[#This Row],[33 kV_F3_Ex
Incomer1]]-DQ55)*1000)</f>
        <v>116800.00000000291</v>
      </c>
      <c r="EI56" s="146">
        <f>IF((RD[[#This Row],[34 kV_F3_Im
Incomer1]]-DR55)*1000&lt;0,0,(RD[[#This Row],[34 kV_F3_Im
Incomer1]]-DR55)*1000)</f>
        <v>399.99999999997726</v>
      </c>
      <c r="EJ56" s="146">
        <f>IF((RD[[#This Row],[33 kV_F4_Ex
Incomer2]]-DS55)*1000&lt;0,0,(RD[[#This Row],[33 kV_F4_Ex
Incomer2]]-DS55)*1000)</f>
        <v>111300.00000000291</v>
      </c>
      <c r="EK56" s="146">
        <f>IF((RD[[#This Row],[34 kV_F4_Im
Incomer2]]-DT55)*1000&lt;0,0,(RD[[#This Row],[34 kV_F4_Im
Incomer2]]-DT55)*1000)</f>
        <v>399.99999999997726</v>
      </c>
      <c r="EL56" s="146">
        <f>IF((RD[[#This Row],[33 kV_F5_Ex
Incomer3]]-DU55)*1000&lt;0,0,(RD[[#This Row],[33 kV_F5_Ex
Incomer3]]-DU55)*1000)</f>
        <v>136500</v>
      </c>
      <c r="EM56" s="146">
        <f>IF((RD[[#This Row],[34 kV_F5_Im
Incomer3]]-DV55)*1000&lt;0,0,(RD[[#This Row],[34 kV_F5_Im
Incomer3]]-DV55)*1000)</f>
        <v>699.99999999998863</v>
      </c>
      <c r="EN56" s="146">
        <f>IF((RD[[#This Row],[33 kV_F6_Ex
Incomer4]]-DW55)*1000&lt;0,0,(RD[[#This Row],[33 kV_F6_Ex
Incomer4]]-DW55)*1000)</f>
        <v>160799.99999999927</v>
      </c>
      <c r="EO56" s="146">
        <f t="shared" si="163"/>
        <v>300.00000000001137</v>
      </c>
      <c r="EP56" s="146">
        <f>IF((RD[[#This Row],[33 kV_F7_Ex
Incomer5]]-DY55)*1000&lt;0,0,(RD[[#This Row],[33 kV_F7_Ex
Incomer5]]-DY55)*1000)</f>
        <v>0</v>
      </c>
      <c r="EQ56" s="146">
        <f>IF((RD[[#This Row],[33 kV_F7_Im
Incomer5]]-DZ55)*1000&lt;0,0,(RD[[#This Row],[33 kV_F7_Im
Incomer5]]-DZ55)*1000)</f>
        <v>0</v>
      </c>
      <c r="ER56" s="146">
        <f>IF((RD[[#This Row],[33 kV_Aux Trafo]]-EA55)*1000&lt;0,0,(RD[[#This Row],[33 kV_Aux Trafo]]-EA55)*1000)</f>
        <v>310.00000000000227</v>
      </c>
      <c r="ES56" s="158">
        <f>IF((RD[[#This Row],[33kV_OG1_Ex_]]-EB55)*1&lt;0,0,(RD[[#This Row],[33kV_OG1_Ex_]]-EB55)*1)</f>
        <v>525451</v>
      </c>
      <c r="ET56" s="146">
        <f>IF((RD[[#This Row],[33kV_OG1_Im]]-EC55)*1&lt;0,0,(RD[[#This Row],[33kV_OG1_Im]]-EC55)*1)</f>
        <v>2421.1199999999953</v>
      </c>
      <c r="EU56" s="146">
        <f>IF((RD[[#This Row],[132kV_TX1_EX]]-ED55)*720&lt;=0,"",(RD[[#This Row],[132kV_TX1_EX]]-ED55)*720)</f>
        <v>2160</v>
      </c>
      <c r="EV56" s="146">
        <f>IF((RD[[#This Row],[132 kV_Tx1_Im]]-EE55)*720&lt;=0,0,(RD[[#This Row],[132 kV_Tx1_Im]]-EE55)*720)</f>
        <v>362160</v>
      </c>
      <c r="EW56" s="146">
        <f>IF((RD[[#This Row],[132kV_L1_Ex]]-EF55)*720&lt;=0,0,(RD[[#This Row],[132kV_L1_Ex]]-EF55)*720)</f>
        <v>523727.99999999581</v>
      </c>
      <c r="EX56" s="146">
        <f>IF((RD[[#This Row],[132kV_L1_Im]]-EG55)*720&lt;=0,0,(RD[[#This Row],[132kV_L1_Im]]-EG55)*720)</f>
        <v>2951.9999999999345</v>
      </c>
      <c r="EY56" s="242">
        <f>IFERROR(RD[[#This Row],[33kV_OG1_Ex (MWh)]]+RD[[#This Row],[33kV_OG1_Im (MWh)]],"")</f>
        <v>527872.12</v>
      </c>
      <c r="EZ56" s="148">
        <f>RD[[#This Row],[33kV_OG1_Ex (MWh)]]-RD[[#This Row],[33kV_OG1_Im (MWh)]]</f>
        <v>523029.88</v>
      </c>
      <c r="FA56" s="148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43">
        <v>12.9</v>
      </c>
      <c r="FD56" s="244">
        <v>118</v>
      </c>
      <c r="FE56" s="303" t="s">
        <v>286</v>
      </c>
      <c r="FG56" s="144" t="str">
        <f>IFERROR(RD[[#This Row],[E_AC (WPR)]]/RD[[#This Row],[E_DC (WPR)]],"")</f>
        <v/>
      </c>
    </row>
    <row r="57" spans="1:163">
      <c r="A57" s="133">
        <f t="shared" si="161"/>
        <v>45797</v>
      </c>
      <c r="B57" s="138">
        <f>YEAR(RD[[#This Row],[Date]])+IF(MONTH(RD[[#This Row],[Date]])&gt;=4,1,0)</f>
        <v>2026</v>
      </c>
      <c r="C57" s="138">
        <f>YEAR(RD[[#This Row],[Date]])</f>
        <v>2025</v>
      </c>
      <c r="D57" s="139">
        <f t="shared" si="162"/>
        <v>45778</v>
      </c>
      <c r="E57" s="138">
        <f>DAY(EOMONTH(RD[[#This Row],[Date]],0))</f>
        <v>31</v>
      </c>
      <c r="F57" s="152">
        <v>0.25486111111111109</v>
      </c>
      <c r="G57" s="162">
        <v>0.77361111111111114</v>
      </c>
      <c r="H57" s="124">
        <v>6116</v>
      </c>
      <c r="I57" s="264">
        <v>6052</v>
      </c>
      <c r="J57" s="124">
        <v>5645.5</v>
      </c>
      <c r="K57" s="124">
        <v>5715.3</v>
      </c>
      <c r="L57" s="124">
        <v>5876.7</v>
      </c>
      <c r="M57" s="124">
        <v>6100.3</v>
      </c>
      <c r="N57" s="124">
        <v>5889.6</v>
      </c>
      <c r="O57" s="124">
        <v>6587.8</v>
      </c>
      <c r="P57" s="124">
        <v>5942.7</v>
      </c>
      <c r="Q57" s="124">
        <v>5767.8</v>
      </c>
      <c r="R57" s="124">
        <v>5991.1</v>
      </c>
      <c r="S57" s="265">
        <v>5963</v>
      </c>
      <c r="T57" s="124">
        <v>6271.3</v>
      </c>
      <c r="U57" s="124">
        <v>5996.4</v>
      </c>
      <c r="V57" s="124">
        <v>6150.4</v>
      </c>
      <c r="W57" s="124">
        <v>5872.5</v>
      </c>
      <c r="X57" s="265">
        <v>8200</v>
      </c>
      <c r="Y57" s="203">
        <v>9183</v>
      </c>
      <c r="Z57" s="203">
        <v>8022</v>
      </c>
      <c r="AA57" s="203">
        <v>8421</v>
      </c>
      <c r="AB57" s="265">
        <v>8810</v>
      </c>
      <c r="AC57" s="203">
        <v>5346</v>
      </c>
      <c r="AD57" s="203">
        <v>8023</v>
      </c>
      <c r="AE57" s="203">
        <v>8211</v>
      </c>
      <c r="AF57" s="265">
        <v>8033</v>
      </c>
      <c r="AG57" s="203">
        <v>8024</v>
      </c>
      <c r="AH57" s="203">
        <v>8035</v>
      </c>
      <c r="AI57" s="266">
        <v>8092.1</v>
      </c>
      <c r="AJ57" s="203">
        <v>6561</v>
      </c>
      <c r="AK57" s="266">
        <v>6746.6</v>
      </c>
      <c r="AL57" s="203">
        <v>6667</v>
      </c>
      <c r="AM57" s="266">
        <v>6761.2</v>
      </c>
      <c r="AN57" s="203">
        <v>6649</v>
      </c>
      <c r="AO57" s="266">
        <v>6948.4</v>
      </c>
      <c r="AP57" s="203">
        <v>6670</v>
      </c>
      <c r="AQ57" s="266">
        <v>6730.8</v>
      </c>
      <c r="AR57" s="203">
        <v>5473.9</v>
      </c>
      <c r="AS57" s="266">
        <v>5510.7</v>
      </c>
      <c r="AT57" s="203">
        <v>5508</v>
      </c>
      <c r="AU57" s="266">
        <v>5489.8</v>
      </c>
      <c r="AV57" s="203">
        <v>5642</v>
      </c>
      <c r="AW57" s="203">
        <v>5554</v>
      </c>
      <c r="AX57" s="263">
        <v>7719.7</v>
      </c>
      <c r="AY57" s="203">
        <v>8766</v>
      </c>
      <c r="AZ57" s="203">
        <v>6290.1</v>
      </c>
      <c r="BA57" s="203">
        <v>7591.9</v>
      </c>
      <c r="BB57" s="203">
        <v>8785</v>
      </c>
      <c r="BC57" s="203">
        <v>7221</v>
      </c>
      <c r="BD57" s="203">
        <v>6048</v>
      </c>
      <c r="BE57" s="203">
        <v>8271</v>
      </c>
      <c r="BF57" s="203">
        <v>8951</v>
      </c>
      <c r="BG57" s="203">
        <v>9128</v>
      </c>
      <c r="BH57" s="203">
        <v>5718</v>
      </c>
      <c r="BI57" s="203">
        <v>7381</v>
      </c>
      <c r="BJ57" s="203">
        <v>5907</v>
      </c>
      <c r="BK57" s="203">
        <v>4066</v>
      </c>
      <c r="BL57" s="203">
        <v>5620</v>
      </c>
      <c r="BM57" s="203">
        <v>5701</v>
      </c>
      <c r="BN57" s="203">
        <v>6186</v>
      </c>
      <c r="BO57" s="203">
        <v>5833</v>
      </c>
      <c r="BP57" s="203">
        <v>6544</v>
      </c>
      <c r="BQ57" s="203">
        <v>6030</v>
      </c>
      <c r="BR57" s="203">
        <v>6766</v>
      </c>
      <c r="BS57" s="203">
        <v>6283</v>
      </c>
      <c r="BT57" s="203">
        <v>2833</v>
      </c>
      <c r="BU57" s="203">
        <v>2783</v>
      </c>
      <c r="BV57" s="203"/>
      <c r="BW57" s="203"/>
      <c r="BX57" s="203"/>
      <c r="BY57" s="203"/>
      <c r="BZ57" s="203">
        <v>938</v>
      </c>
      <c r="CA57" s="203">
        <v>792</v>
      </c>
      <c r="CB57" s="203">
        <v>3737</v>
      </c>
      <c r="CC57" s="203">
        <v>6227</v>
      </c>
      <c r="CD57" s="261">
        <v>4.3989248499999967</v>
      </c>
      <c r="CE57" s="261">
        <v>4.1909388166666703</v>
      </c>
      <c r="CF57" s="261">
        <v>4.5108744166666659</v>
      </c>
      <c r="CG57" s="261">
        <v>4.3077341666666644</v>
      </c>
      <c r="CH57" s="261">
        <v>0.46899571666666728</v>
      </c>
      <c r="CI57" s="261">
        <v>0.63854070000000007</v>
      </c>
      <c r="CJ57" s="261">
        <v>0.77583010000000019</v>
      </c>
      <c r="CK57" s="261">
        <v>0.71385623333333215</v>
      </c>
      <c r="CL57" s="261">
        <v>30.674038772213258</v>
      </c>
      <c r="CM57" s="261">
        <v>31.291742971887526</v>
      </c>
      <c r="CN57" s="261">
        <v>42.669014539580004</v>
      </c>
      <c r="CO57" s="261">
        <v>41.29328674698796</v>
      </c>
      <c r="CP57" s="261">
        <v>64.413271405492694</v>
      </c>
      <c r="CQ57" s="261">
        <v>61.493726907630538</v>
      </c>
      <c r="CR57" s="261">
        <v>0</v>
      </c>
      <c r="CS57" s="261">
        <v>0</v>
      </c>
      <c r="CT57" s="261">
        <v>0.89436591276251975</v>
      </c>
      <c r="CU57" s="261">
        <v>0.99593734939759204</v>
      </c>
      <c r="CV57" s="261">
        <v>2.4239999999999999</v>
      </c>
      <c r="CW57" s="261">
        <v>2.3730000000000002</v>
      </c>
      <c r="CX57" s="204">
        <f>IFERROR(AVERAGEIF(RD[[#This Row],[IS1POA1 (KWh/m2)]:[IS7POA2 (KWh/m2)]],"&lt;&gt;0",RD[[#This Row],[IS1POA1 (KWh/m2)]:[IS7POA2 (KWh/m2)]]),"")</f>
        <v>4.2949318333333331</v>
      </c>
      <c r="CY57" s="204">
        <f>IFERROR(AVERAGEIF(RD[[#This Row],[IS1GHI1 (KWh/m2)]:[IS7GHI2 (KWh/m2)]],"&lt;&gt;0",RD[[#This Row],[IS1GHI1 (KWh/m2)]:[IS7GHI2 (KWh/m2)]]),"")</f>
        <v>4.4093042916666647</v>
      </c>
      <c r="CZ57" s="204">
        <f>IFERROR(AVERAGEIF(RD[[#This Row],[IS1POA_BS1 (KWh/m2)]:[IS7POA_BS2 (KWh/m2)]],"&lt;&gt;0",RD[[#This Row],[IS1POA_BS1 (KWh/m2)]:[IS7POA_BS2 (KWh/m2)]]),"")</f>
        <v>0.55376820833333373</v>
      </c>
      <c r="DA57" s="204">
        <f>IFERROR(AVERAGEIF(RD[[#This Row],[IS1GHI_BS1 (KWh/m2)]:[IS1GHI_BS1 (KWh/m2)2]],"&lt;&gt;0",RD[[#This Row],[IS1GHI_BS1 (KWh/m2)]:[IS1GHI_BS1 (KWh/m2)2]]),"")</f>
        <v>0.74484316666666617</v>
      </c>
      <c r="DB57" s="204">
        <f>IFERROR(AVERAGEIF(RD[[#This Row],[IS1AT1 (°C)]:[IS7AT2 (°C)]],"&lt;&gt;0",RD[[#This Row],[IS1AT1 (°C)]:[IS7AT2 (°C)]]),"")</f>
        <v>30.98289087205039</v>
      </c>
      <c r="DC57" s="204">
        <f>IFERROR(AVERAGEIF(RD[[#This Row],[IS1MT1 (°C)]:[IS7MT2 (°C)]],"&lt;&gt;0",RD[[#This Row],[IS1MT1 (°C)]:[IS7MT2 (°C)]]),"")</f>
        <v>41.981150643283982</v>
      </c>
      <c r="DD57" s="204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204">
        <f>IFERROR(AVERAGEIF(RD[[#This Row],[WS_Solar1_Avg (m/s)]:[IS7_WS_Solar1_Avg (m/s)]],"&lt;&gt;0",RD[[#This Row],[WS_Solar1_Avg (m/s)]:[IS7_WS_Solar1_Avg (m/s)]]),"")</f>
        <v>0.94515163108005584</v>
      </c>
      <c r="DG57" s="204">
        <f>IFERROR(AVERAGEIF(RD[[#This Row],[WS_Solar1_Max (m/s)]:[IS7_WS_Solar1_Max (m/s)]],"&lt;&gt;0",RD[[#This Row],[WS_Solar1_Max (m/s)]:[IS7_WS_Solar1_Max (m/s)]]),"")</f>
        <v>2.3985000000000003</v>
      </c>
      <c r="DH57" s="204">
        <f>SUM(RD[[#This Row],[IS1Inv1M1]:[IS4Inv4M2]])</f>
        <v>192338.5</v>
      </c>
      <c r="DI57" s="205">
        <f>SUM(RD[[#This Row],[IS7Inv1M1]]+RD[[#This Row],[IS7Inv2M1]])</f>
        <v>10984.599999999999</v>
      </c>
      <c r="DJ57" s="204">
        <f>SUM(RD[[#This Row],[IS5Inv1M1]:[IS5Inv2M2]])</f>
        <v>26735.8</v>
      </c>
      <c r="DK57" s="204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86">
        <f>SUM(RD[[#This Row],[IS12Inv1M1]:[IS12Inv1M4]])</f>
        <v>24593</v>
      </c>
      <c r="DO57" s="286">
        <f>SUM(RD[[#This Row],[IS13Inv1M1]:[IS13Inv2M2]])</f>
        <v>18665</v>
      </c>
      <c r="DP57" s="204">
        <f>SUM(RD[[#This Row],[O2R15]:[O2R26]])</f>
        <v>447367.60000000003</v>
      </c>
      <c r="DQ57" s="164">
        <v>40544.800000000003</v>
      </c>
      <c r="DR57" s="168">
        <v>211.9</v>
      </c>
      <c r="DS57" s="164">
        <v>35123.300000000003</v>
      </c>
      <c r="DT57" s="164">
        <v>224.1</v>
      </c>
      <c r="DU57" s="168">
        <v>40898.800000000003</v>
      </c>
      <c r="DV57" s="168">
        <v>401.9</v>
      </c>
      <c r="DW57" s="164">
        <v>8830.7000000000007</v>
      </c>
      <c r="DX57" s="168">
        <v>40.799999999999997</v>
      </c>
      <c r="DY57" s="168"/>
      <c r="DZ57" s="168"/>
      <c r="EA57" s="140">
        <v>95.66</v>
      </c>
      <c r="EB57" s="241">
        <v>128731250</v>
      </c>
      <c r="EC57" s="240">
        <v>938203.52</v>
      </c>
      <c r="ED57" s="241">
        <v>1126</v>
      </c>
      <c r="EE57" s="241">
        <v>123018</v>
      </c>
      <c r="EF57" s="164">
        <v>178523.4</v>
      </c>
      <c r="EG57" s="164">
        <v>1837.7</v>
      </c>
      <c r="EH57" s="146">
        <f>IF((RD[[#This Row],[33 kV_F3_Ex
Incomer1]]-DQ56)*1000&lt;0,0,(RD[[#This Row],[33 kV_F3_Ex
Incomer1]]-DQ56)*1000)</f>
        <v>96000</v>
      </c>
      <c r="EI57" s="146">
        <f>IF((RD[[#This Row],[34 kV_F3_Im
Incomer1]]-DR56)*1000&lt;0,0,(RD[[#This Row],[34 kV_F3_Im
Incomer1]]-DR56)*1000)</f>
        <v>200.00000000001705</v>
      </c>
      <c r="EJ57" s="146">
        <f>IF((RD[[#This Row],[33 kV_F4_Ex
Incomer2]]-DS56)*1000&lt;0,0,(RD[[#This Row],[33 kV_F4_Ex
Incomer2]]-DS56)*1000)</f>
        <v>94500</v>
      </c>
      <c r="EK57" s="146">
        <f>IF((RD[[#This Row],[34 kV_F4_Im
Incomer2]]-DT56)*1000&lt;0,0,(RD[[#This Row],[34 kV_F4_Im
Incomer2]]-DT56)*1000)</f>
        <v>400.00000000000568</v>
      </c>
      <c r="EL57" s="146">
        <f>IF((RD[[#This Row],[33 kV_F5_Ex
Incomer3]]-DU56)*1000&lt;0,0,(RD[[#This Row],[33 kV_F5_Ex
Incomer3]]-DU56)*1000)</f>
        <v>116400.00000000146</v>
      </c>
      <c r="EM57" s="146">
        <f>IF((RD[[#This Row],[34 kV_F5_Im
Incomer3]]-DV56)*1000&lt;0,0,(RD[[#This Row],[34 kV_F5_Im
Incomer3]]-DV56)*1000)</f>
        <v>599.99999999996589</v>
      </c>
      <c r="EN57" s="146">
        <f>IF((RD[[#This Row],[33 kV_F6_Ex
Incomer4]]-DW56)*1000&lt;0,0,(RD[[#This Row],[33 kV_F6_Ex
Incomer4]]-DW56)*1000)</f>
        <v>135800.00000000111</v>
      </c>
      <c r="EO57" s="146">
        <f t="shared" si="163"/>
        <v>299.99999999998295</v>
      </c>
      <c r="EP57" s="146">
        <f>IF((RD[[#This Row],[33 kV_F7_Ex
Incomer5]]-DY56)*1000&lt;0,0,(RD[[#This Row],[33 kV_F7_Ex
Incomer5]]-DY56)*1000)</f>
        <v>0</v>
      </c>
      <c r="EQ57" s="146">
        <f>IF((RD[[#This Row],[33 kV_F7_Im
Incomer5]]-DZ56)*1000&lt;0,0,(RD[[#This Row],[33 kV_F7_Im
Incomer5]]-DZ56)*1000)</f>
        <v>0</v>
      </c>
      <c r="ER57" s="146">
        <f>IF((RD[[#This Row],[33 kV_Aux Trafo]]-EA56)*1000&lt;0,0,(RD[[#This Row],[33 kV_Aux Trafo]]-EA56)*1000)</f>
        <v>269.99999999999602</v>
      </c>
      <c r="ES57" s="158">
        <f>IF((RD[[#This Row],[33kV_OG1_Ex_]]-EB56)*1&lt;0,0,(RD[[#This Row],[33kV_OG1_Ex_]]-EB56)*1)</f>
        <v>442638</v>
      </c>
      <c r="ET57" s="146">
        <f>IF((RD[[#This Row],[33kV_OG1_Im]]-EC56)*1&lt;0,0,(RD[[#This Row],[33kV_OG1_Im]]-EC56)*1)</f>
        <v>2546.4320000000298</v>
      </c>
      <c r="EU57" s="146">
        <f>IF((RD[[#This Row],[132kV_TX1_EX]]-ED56)*720&lt;=0,"",(RD[[#This Row],[132kV_TX1_EX]]-ED56)*720)</f>
        <v>2160</v>
      </c>
      <c r="EV57" s="146">
        <f>IF((RD[[#This Row],[132 kV_Tx1_Im]]-EE56)*720&lt;=0,0,(RD[[#This Row],[132 kV_Tx1_Im]]-EE56)*720)</f>
        <v>331920</v>
      </c>
      <c r="EW57" s="146">
        <f>IF((RD[[#This Row],[132kV_L1_Ex]]-EF56)*720&lt;=0,0,(RD[[#This Row],[132kV_L1_Ex]]-EF56)*720)</f>
        <v>441287.99999999581</v>
      </c>
      <c r="EX57" s="146">
        <f>IF((RD[[#This Row],[132kV_L1_Im]]-EG56)*720&lt;=0,0,(RD[[#This Row],[132kV_L1_Im]]-EG56)*720)</f>
        <v>3168.0000000000655</v>
      </c>
      <c r="EY57" s="242">
        <f>IFERROR(RD[[#This Row],[33kV_OG1_Ex (MWh)]]+RD[[#This Row],[33kV_OG1_Im (MWh)]],"")</f>
        <v>445184.43200000003</v>
      </c>
      <c r="EZ57" s="148">
        <f>RD[[#This Row],[33kV_OG1_Ex (MWh)]]-RD[[#This Row],[33kV_OG1_Im (MWh)]]</f>
        <v>440091.56799999997</v>
      </c>
      <c r="FA57" s="148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43">
        <v>12.9</v>
      </c>
      <c r="FD57" s="244">
        <v>118</v>
      </c>
      <c r="FE57" s="303" t="s">
        <v>287</v>
      </c>
      <c r="FG57" s="144" t="str">
        <f>IFERROR(RD[[#This Row],[E_AC (WPR)]]/RD[[#This Row],[E_DC (WPR)]],"")</f>
        <v/>
      </c>
    </row>
    <row r="58" spans="1:163">
      <c r="A58" s="133">
        <f t="shared" si="161"/>
        <v>45798</v>
      </c>
      <c r="B58" s="138">
        <f>YEAR(RD[[#This Row],[Date]])+IF(MONTH(RD[[#This Row],[Date]])&gt;=4,1,0)</f>
        <v>2026</v>
      </c>
      <c r="C58" s="138">
        <f>YEAR(RD[[#This Row],[Date]])</f>
        <v>2025</v>
      </c>
      <c r="D58" s="139">
        <f t="shared" si="162"/>
        <v>45778</v>
      </c>
      <c r="E58" s="138">
        <f>DAY(EOMONTH(RD[[#This Row],[Date]],0))</f>
        <v>31</v>
      </c>
      <c r="F58" s="152">
        <v>0.26944444444444443</v>
      </c>
      <c r="G58" s="162">
        <v>0.77638888888888891</v>
      </c>
      <c r="H58" s="124">
        <v>6946.4</v>
      </c>
      <c r="I58" s="264">
        <v>6888</v>
      </c>
      <c r="J58" s="124">
        <v>6465</v>
      </c>
      <c r="K58" s="124">
        <v>6485</v>
      </c>
      <c r="L58" s="124">
        <v>6627</v>
      </c>
      <c r="M58" s="124">
        <v>6858</v>
      </c>
      <c r="N58" s="124">
        <v>6690.5</v>
      </c>
      <c r="O58" s="124">
        <v>7374</v>
      </c>
      <c r="P58" s="124">
        <v>6846</v>
      </c>
      <c r="Q58" s="124">
        <v>6602</v>
      </c>
      <c r="R58" s="124">
        <v>6855.5</v>
      </c>
      <c r="S58" s="265">
        <v>6807</v>
      </c>
      <c r="T58" s="124">
        <v>7219.5</v>
      </c>
      <c r="U58" s="124">
        <v>6906</v>
      </c>
      <c r="V58" s="124">
        <v>7070</v>
      </c>
      <c r="W58" s="124">
        <v>6767</v>
      </c>
      <c r="X58" s="265">
        <v>9367</v>
      </c>
      <c r="Y58" s="203">
        <v>10448</v>
      </c>
      <c r="Z58" s="203">
        <v>9167.9</v>
      </c>
      <c r="AA58" s="203">
        <v>9607</v>
      </c>
      <c r="AB58" s="265">
        <v>10270</v>
      </c>
      <c r="AC58" s="203">
        <v>6347</v>
      </c>
      <c r="AD58" s="203">
        <v>9467</v>
      </c>
      <c r="AE58" s="203">
        <v>9646</v>
      </c>
      <c r="AF58" s="265">
        <v>9455</v>
      </c>
      <c r="AG58" s="203">
        <v>9371</v>
      </c>
      <c r="AH58" s="203">
        <v>9417</v>
      </c>
      <c r="AI58" s="266">
        <v>9456</v>
      </c>
      <c r="AJ58" s="203">
        <v>7526</v>
      </c>
      <c r="AK58" s="266">
        <v>7755</v>
      </c>
      <c r="AL58" s="203">
        <v>7653.3</v>
      </c>
      <c r="AM58" s="266">
        <v>7724</v>
      </c>
      <c r="AN58" s="203">
        <v>7609.7</v>
      </c>
      <c r="AO58" s="266">
        <v>7910</v>
      </c>
      <c r="AP58" s="203">
        <v>7717.9</v>
      </c>
      <c r="AQ58" s="266">
        <v>7665</v>
      </c>
      <c r="AR58" s="203">
        <v>6239.3</v>
      </c>
      <c r="AS58" s="266">
        <v>6289</v>
      </c>
      <c r="AT58" s="203">
        <v>6320.5</v>
      </c>
      <c r="AU58" s="266">
        <v>6285</v>
      </c>
      <c r="AV58" s="203">
        <v>6434</v>
      </c>
      <c r="AW58" s="203">
        <v>6343</v>
      </c>
      <c r="AX58" s="203">
        <v>8743.7999999999993</v>
      </c>
      <c r="AY58" s="203">
        <v>9831.6</v>
      </c>
      <c r="AZ58" s="203">
        <v>7162.1</v>
      </c>
      <c r="BA58" s="203">
        <v>8753.2999999999993</v>
      </c>
      <c r="BB58" s="203">
        <v>8421</v>
      </c>
      <c r="BC58" s="203">
        <v>7018</v>
      </c>
      <c r="BD58" s="203">
        <v>5937</v>
      </c>
      <c r="BE58" s="203">
        <v>8008</v>
      </c>
      <c r="BF58" s="203">
        <v>6223</v>
      </c>
      <c r="BG58" s="203">
        <v>2624</v>
      </c>
      <c r="BH58" s="203">
        <v>620</v>
      </c>
      <c r="BI58" s="203">
        <v>639</v>
      </c>
      <c r="BJ58" s="203">
        <v>6158</v>
      </c>
      <c r="BK58" s="203">
        <v>4238</v>
      </c>
      <c r="BL58" s="203">
        <v>5848</v>
      </c>
      <c r="BM58" s="203">
        <v>5914</v>
      </c>
      <c r="BN58" s="203">
        <v>6011</v>
      </c>
      <c r="BO58" s="203">
        <v>5705</v>
      </c>
      <c r="BP58" s="203">
        <v>6244</v>
      </c>
      <c r="BQ58" s="203">
        <v>5729</v>
      </c>
      <c r="BR58" s="203">
        <v>7333</v>
      </c>
      <c r="BS58" s="203">
        <v>7140</v>
      </c>
      <c r="BT58" s="203">
        <v>2818</v>
      </c>
      <c r="BU58" s="203">
        <v>3789</v>
      </c>
      <c r="BV58" s="203"/>
      <c r="BW58" s="203"/>
      <c r="BX58" s="203"/>
      <c r="BY58" s="203"/>
      <c r="BZ58" s="203">
        <v>1042</v>
      </c>
      <c r="CA58" s="203">
        <v>884</v>
      </c>
      <c r="CB58" s="203">
        <v>4096</v>
      </c>
      <c r="CC58" s="203">
        <v>6739</v>
      </c>
      <c r="CD58" s="261">
        <v>5.0558328999999933</v>
      </c>
      <c r="CE58" s="261">
        <v>4.8206496499999956</v>
      </c>
      <c r="CF58" s="261">
        <v>5.1805274666666694</v>
      </c>
      <c r="CG58" s="261">
        <v>4.9573712166666706</v>
      </c>
      <c r="CH58" s="261">
        <v>0.45500605000000022</v>
      </c>
      <c r="CI58" s="261">
        <v>0.62999689999999919</v>
      </c>
      <c r="CJ58" s="261">
        <v>0.78328044999999913</v>
      </c>
      <c r="CK58" s="261">
        <v>0.71006774999999933</v>
      </c>
      <c r="CL58" s="261">
        <v>29.055737704918016</v>
      </c>
      <c r="CM58" s="261">
        <v>28.449202279202311</v>
      </c>
      <c r="CN58" s="261">
        <v>41.55019244476123</v>
      </c>
      <c r="CO58" s="261">
        <v>39.116309116809177</v>
      </c>
      <c r="CP58" s="261">
        <v>73.722223806129676</v>
      </c>
      <c r="CQ58" s="261">
        <v>75.040142450142497</v>
      </c>
      <c r="CR58" s="261">
        <v>0.46136849607982899</v>
      </c>
      <c r="CS58" s="261">
        <v>0.46427350427350439</v>
      </c>
      <c r="CT58" s="261">
        <v>1.0673328581610821</v>
      </c>
      <c r="CU58" s="261">
        <v>1.088485042735043</v>
      </c>
      <c r="CV58" s="261">
        <v>5.2530000000000001</v>
      </c>
      <c r="CW58" s="261">
        <v>6.0659999999999998</v>
      </c>
      <c r="CX58" s="204">
        <f>IFERROR(AVERAGEIF(RD[[#This Row],[IS1POA1 (KWh/m2)]:[IS7POA2 (KWh/m2)]],"&lt;&gt;0",RD[[#This Row],[IS1POA1 (KWh/m2)]:[IS7POA2 (KWh/m2)]]),"")</f>
        <v>4.938241274999994</v>
      </c>
      <c r="CY58" s="204">
        <f>IFERROR(AVERAGEIF(RD[[#This Row],[IS1GHI1 (KWh/m2)]:[IS7GHI2 (KWh/m2)]],"&lt;&gt;0",RD[[#This Row],[IS1GHI1 (KWh/m2)]:[IS7GHI2 (KWh/m2)]]),"")</f>
        <v>5.06894934166667</v>
      </c>
      <c r="CZ58" s="204">
        <f>IFERROR(AVERAGEIF(RD[[#This Row],[IS1POA_BS1 (KWh/m2)]:[IS7POA_BS2 (KWh/m2)]],"&lt;&gt;0",RD[[#This Row],[IS1POA_BS1 (KWh/m2)]:[IS7POA_BS2 (KWh/m2)]]),"")</f>
        <v>0.54250147499999968</v>
      </c>
      <c r="DA58" s="204">
        <f>IFERROR(AVERAGEIF(RD[[#This Row],[IS1GHI_BS1 (KWh/m2)]:[IS1GHI_BS1 (KWh/m2)2]],"&lt;&gt;0",RD[[#This Row],[IS1GHI_BS1 (KWh/m2)]:[IS1GHI_BS1 (KWh/m2)2]]),"")</f>
        <v>0.74667409999999923</v>
      </c>
      <c r="DB58" s="204">
        <f>IFERROR(AVERAGEIF(RD[[#This Row],[IS1AT1 (°C)]:[IS7AT2 (°C)]],"&lt;&gt;0",RD[[#This Row],[IS1AT1 (°C)]:[IS7AT2 (°C)]]),"")</f>
        <v>28.752469992060163</v>
      </c>
      <c r="DC58" s="204">
        <f>IFERROR(AVERAGEIF(RD[[#This Row],[IS1MT1 (°C)]:[IS7MT2 (°C)]],"&lt;&gt;0",RD[[#This Row],[IS1MT1 (°C)]:[IS7MT2 (°C)]]),"")</f>
        <v>40.333250780785207</v>
      </c>
      <c r="DD58" s="204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204">
        <f>IFERROR(AVERAGEIF(RD[[#This Row],[WS_Solar1_Avg (m/s)]:[IS7_WS_Solar1_Avg (m/s)]],"&lt;&gt;0",RD[[#This Row],[WS_Solar1_Avg (m/s)]:[IS7_WS_Solar1_Avg (m/s)]]),"")</f>
        <v>1.0779089504480626</v>
      </c>
      <c r="DG58" s="204">
        <f>IFERROR(AVERAGEIF(RD[[#This Row],[WS_Solar1_Max (m/s)]:[IS7_WS_Solar1_Max (m/s)]],"&lt;&gt;0",RD[[#This Row],[WS_Solar1_Max (m/s)]:[IS7_WS_Solar1_Max (m/s)]]),"")</f>
        <v>5.6594999999999995</v>
      </c>
      <c r="DH58" s="204">
        <f>SUM(RD[[#This Row],[IS1Inv1M1]:[IS4Inv4M2]])</f>
        <v>221425.8</v>
      </c>
      <c r="DI58" s="205">
        <f>SUM(RD[[#This Row],[IS7Inv1M1]]+RD[[#This Row],[IS7Inv2M1]])</f>
        <v>12528.3</v>
      </c>
      <c r="DJ58" s="204">
        <f>SUM(RD[[#This Row],[IS5Inv1M1]:[IS5Inv2M2]])</f>
        <v>30658.3</v>
      </c>
      <c r="DK58" s="204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86">
        <f>SUM(RD[[#This Row],[IS12Inv1M1]:[IS12Inv1M4]])</f>
        <v>23689</v>
      </c>
      <c r="DO58" s="286">
        <f>SUM(RD[[#This Row],[IS13Inv1M1]:[IS13Inv2M2]])</f>
        <v>21080</v>
      </c>
      <c r="DP58" s="204">
        <f>SUM(RD[[#This Row],[O2R15]:[O2R26]])</f>
        <v>474566.29999999993</v>
      </c>
      <c r="DQ58" s="164">
        <v>40656.199999999997</v>
      </c>
      <c r="DR58" s="168">
        <v>212.2</v>
      </c>
      <c r="DS58" s="164">
        <v>35229.800000000003</v>
      </c>
      <c r="DT58" s="164">
        <v>224.4</v>
      </c>
      <c r="DU58" s="168">
        <v>41031.300000000003</v>
      </c>
      <c r="DV58" s="168">
        <v>402.4</v>
      </c>
      <c r="DW58" s="164">
        <v>8949</v>
      </c>
      <c r="DX58" s="168">
        <v>41</v>
      </c>
      <c r="DY58" s="168"/>
      <c r="DZ58" s="168"/>
      <c r="EA58" s="140">
        <v>95.91</v>
      </c>
      <c r="EB58" s="241">
        <v>129200668</v>
      </c>
      <c r="EC58" s="240">
        <v>939613.63199999998</v>
      </c>
      <c r="ED58" s="241">
        <v>1128</v>
      </c>
      <c r="EE58" s="241">
        <v>123486</v>
      </c>
      <c r="EF58" s="164">
        <v>179173.3</v>
      </c>
      <c r="EG58" s="164">
        <v>1840.3</v>
      </c>
      <c r="EH58" s="146">
        <f>IF((RD[[#This Row],[33 kV_F3_Ex
Incomer1]]-DQ57)*1000&lt;0,0,(RD[[#This Row],[33 kV_F3_Ex
Incomer1]]-DQ57)*1000)</f>
        <v>111399.99999999418</v>
      </c>
      <c r="EI58" s="146">
        <f>IF((RD[[#This Row],[34 kV_F3_Im
Incomer1]]-DR57)*1000&lt;0,0,(RD[[#This Row],[34 kV_F3_Im
Incomer1]]-DR57)*1000)</f>
        <v>299.99999999998295</v>
      </c>
      <c r="EJ58" s="146">
        <f>IF((RD[[#This Row],[33 kV_F4_Ex
Incomer2]]-DS57)*1000&lt;0,0,(RD[[#This Row],[33 kV_F4_Ex
Incomer2]]-DS57)*1000)</f>
        <v>106500</v>
      </c>
      <c r="EK58" s="146">
        <f>IF((RD[[#This Row],[34 kV_F4_Im
Incomer2]]-DT57)*1000&lt;0,0,(RD[[#This Row],[34 kV_F4_Im
Incomer2]]-DT57)*1000)</f>
        <v>300.00000000001137</v>
      </c>
      <c r="EL58" s="146">
        <f>IF((RD[[#This Row],[33 kV_F5_Ex
Incomer3]]-DU57)*1000&lt;0,0,(RD[[#This Row],[33 kV_F5_Ex
Incomer3]]-DU57)*1000)</f>
        <v>132500</v>
      </c>
      <c r="EM58" s="146">
        <f>IF((RD[[#This Row],[34 kV_F5_Im
Incomer3]]-DV57)*1000&lt;0,0,(RD[[#This Row],[34 kV_F5_Im
Incomer3]]-DV57)*1000)</f>
        <v>500</v>
      </c>
      <c r="EN58" s="146">
        <f>IF((RD[[#This Row],[33 kV_F6_Ex
Incomer4]]-DW57)*1000&lt;0,0,(RD[[#This Row],[33 kV_F6_Ex
Incomer4]]-DW57)*1000)</f>
        <v>118299.99999999927</v>
      </c>
      <c r="EO58" s="146">
        <f t="shared" si="163"/>
        <v>200.00000000001705</v>
      </c>
      <c r="EP58" s="146">
        <f>IF((RD[[#This Row],[33 kV_F7_Ex
Incomer5]]-DY57)*1000&lt;0,0,(RD[[#This Row],[33 kV_F7_Ex
Incomer5]]-DY57)*1000)</f>
        <v>0</v>
      </c>
      <c r="EQ58" s="146">
        <f>IF((RD[[#This Row],[33 kV_F7_Im
Incomer5]]-DZ57)*1000&lt;0,0,(RD[[#This Row],[33 kV_F7_Im
Incomer5]]-DZ57)*1000)</f>
        <v>0</v>
      </c>
      <c r="ER58" s="146">
        <f>IF((RD[[#This Row],[33 kV_Aux Trafo]]-EA57)*1000&lt;0,0,(RD[[#This Row],[33 kV_Aux Trafo]]-EA57)*1000)</f>
        <v>250</v>
      </c>
      <c r="ES58" s="158">
        <f>IF((RD[[#This Row],[33kV_OG1_Ex_]]-EB57)*1&lt;0,0,(RD[[#This Row],[33kV_OG1_Ex_]]-EB57)*1)</f>
        <v>469418</v>
      </c>
      <c r="ET58" s="146">
        <f>IF((RD[[#This Row],[33kV_OG1_Im]]-EC57)*1&lt;0,0,(RD[[#This Row],[33kV_OG1_Im]]-EC57)*1)</f>
        <v>1410.1119999999646</v>
      </c>
      <c r="EU58" s="146">
        <f>IF((RD[[#This Row],[132kV_TX1_EX]]-ED57)*720&lt;=0,"",(RD[[#This Row],[132kV_TX1_EX]]-ED57)*720)</f>
        <v>1440</v>
      </c>
      <c r="EV58" s="146">
        <f>IF((RD[[#This Row],[132 kV_Tx1_Im]]-EE57)*720&lt;=0,0,(RD[[#This Row],[132 kV_Tx1_Im]]-EE57)*720)</f>
        <v>336960</v>
      </c>
      <c r="EW58" s="146">
        <f>IF((RD[[#This Row],[132kV_L1_Ex]]-EF57)*720&lt;=0,0,(RD[[#This Row],[132kV_L1_Ex]]-EF57)*720)</f>
        <v>467927.99999999581</v>
      </c>
      <c r="EX58" s="146">
        <f>IF((RD[[#This Row],[132kV_L1_Im]]-EG57)*720&lt;=0,0,(RD[[#This Row],[132kV_L1_Im]]-EG57)*720)</f>
        <v>1871.9999999999345</v>
      </c>
      <c r="EY58" s="242">
        <f>IFERROR(RD[[#This Row],[33kV_OG1_Ex (MWh)]]+RD[[#This Row],[33kV_OG1_Im (MWh)]],"")</f>
        <v>470828.11199999996</v>
      </c>
      <c r="EZ58" s="148">
        <f>RD[[#This Row],[33kV_OG1_Ex (MWh)]]-RD[[#This Row],[33kV_OG1_Im (MWh)]]</f>
        <v>468007.88800000004</v>
      </c>
      <c r="FA58" s="148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43">
        <v>12.9</v>
      </c>
      <c r="FD58" s="244">
        <v>118</v>
      </c>
      <c r="FE58" t="s">
        <v>288</v>
      </c>
      <c r="FG58" s="144" t="str">
        <f>IFERROR(RD[[#This Row],[E_AC (WPR)]]/RD[[#This Row],[E_DC (WPR)]],"")</f>
        <v/>
      </c>
    </row>
    <row r="59" spans="1:163">
      <c r="A59" s="133">
        <f t="shared" si="161"/>
        <v>45799</v>
      </c>
      <c r="B59" s="138">
        <f>YEAR(RD[[#This Row],[Date]])+IF(MONTH(RD[[#This Row],[Date]])&gt;=4,1,0)</f>
        <v>2026</v>
      </c>
      <c r="C59" s="138">
        <f>YEAR(RD[[#This Row],[Date]])</f>
        <v>2025</v>
      </c>
      <c r="D59" s="139">
        <f t="shared" si="162"/>
        <v>45778</v>
      </c>
      <c r="E59" s="138">
        <f>DAY(EOMONTH(RD[[#This Row],[Date]],0))</f>
        <v>31</v>
      </c>
      <c r="F59" s="152">
        <v>0.25069444444444444</v>
      </c>
      <c r="G59" s="162">
        <v>0.7729166666666667</v>
      </c>
      <c r="H59" s="124">
        <v>8211</v>
      </c>
      <c r="I59" s="264">
        <v>8101</v>
      </c>
      <c r="J59" s="124">
        <v>7671</v>
      </c>
      <c r="K59" s="124">
        <v>7721.6</v>
      </c>
      <c r="L59" s="124">
        <v>7904</v>
      </c>
      <c r="M59" s="124">
        <v>8138.8</v>
      </c>
      <c r="N59" s="124">
        <v>7974</v>
      </c>
      <c r="O59" s="124">
        <v>8550.5</v>
      </c>
      <c r="P59" s="124">
        <v>7873</v>
      </c>
      <c r="Q59" s="124">
        <v>7673.3</v>
      </c>
      <c r="R59" s="124">
        <v>7942</v>
      </c>
      <c r="S59" s="266">
        <v>7904.7</v>
      </c>
      <c r="T59" s="124">
        <v>8210</v>
      </c>
      <c r="U59" s="124">
        <v>7809</v>
      </c>
      <c r="V59" s="124">
        <v>8070</v>
      </c>
      <c r="W59" s="124">
        <v>7706</v>
      </c>
      <c r="X59" s="266">
        <v>10990.7</v>
      </c>
      <c r="Y59" s="203">
        <v>12010</v>
      </c>
      <c r="Z59" s="203">
        <v>10820</v>
      </c>
      <c r="AA59" s="203">
        <v>11203</v>
      </c>
      <c r="AB59" s="265">
        <v>11734</v>
      </c>
      <c r="AC59" s="203">
        <v>7583</v>
      </c>
      <c r="AD59" s="203">
        <v>11123</v>
      </c>
      <c r="AE59" s="203">
        <v>11333</v>
      </c>
      <c r="AF59" s="265">
        <v>11092</v>
      </c>
      <c r="AG59" s="203">
        <v>11053</v>
      </c>
      <c r="AH59" s="203">
        <v>11033</v>
      </c>
      <c r="AI59" s="266">
        <v>11121</v>
      </c>
      <c r="AJ59" s="203">
        <v>9706</v>
      </c>
      <c r="AK59" s="266">
        <v>9926</v>
      </c>
      <c r="AL59" s="203">
        <v>9756</v>
      </c>
      <c r="AM59" s="266">
        <v>9816</v>
      </c>
      <c r="AN59" s="203">
        <v>9773</v>
      </c>
      <c r="AO59" s="266">
        <v>10068</v>
      </c>
      <c r="AP59" s="203">
        <v>9952</v>
      </c>
      <c r="AQ59" s="266">
        <v>9830</v>
      </c>
      <c r="AR59" s="203">
        <v>7901</v>
      </c>
      <c r="AS59" s="266">
        <v>7938</v>
      </c>
      <c r="AT59" s="203">
        <v>7922</v>
      </c>
      <c r="AU59" s="266">
        <v>7761</v>
      </c>
      <c r="AV59" s="203">
        <v>8053</v>
      </c>
      <c r="AW59" s="203">
        <v>7966</v>
      </c>
      <c r="AX59" s="203">
        <v>11186</v>
      </c>
      <c r="AY59" s="267">
        <v>12239</v>
      </c>
      <c r="AZ59" s="203">
        <v>9228</v>
      </c>
      <c r="BA59" s="203">
        <v>10984</v>
      </c>
      <c r="BB59" s="203">
        <v>10839.8</v>
      </c>
      <c r="BC59" s="203">
        <v>9077</v>
      </c>
      <c r="BD59" s="203">
        <v>7689.2</v>
      </c>
      <c r="BE59" s="203">
        <v>10303.299999999999</v>
      </c>
      <c r="BF59" s="203">
        <v>6010</v>
      </c>
      <c r="BG59" s="203">
        <v>2150</v>
      </c>
      <c r="BH59" s="203">
        <v>0</v>
      </c>
      <c r="BI59" s="203">
        <v>0</v>
      </c>
      <c r="BJ59" s="203">
        <v>7346.8</v>
      </c>
      <c r="BK59" s="203">
        <v>5094.8999999999996</v>
      </c>
      <c r="BL59" s="203">
        <v>7064.6</v>
      </c>
      <c r="BM59" s="203">
        <v>7123</v>
      </c>
      <c r="BN59" s="203">
        <v>7102.9</v>
      </c>
      <c r="BO59" s="203">
        <v>6856.1</v>
      </c>
      <c r="BP59" s="203">
        <v>7368</v>
      </c>
      <c r="BQ59" s="203">
        <v>6451.3</v>
      </c>
      <c r="BR59" s="203">
        <v>8404.7000000000007</v>
      </c>
      <c r="BS59" s="203">
        <v>8163.5</v>
      </c>
      <c r="BT59" s="203">
        <v>3170.1</v>
      </c>
      <c r="BU59" s="203">
        <v>4736.7</v>
      </c>
      <c r="BV59" s="203"/>
      <c r="BW59" s="203"/>
      <c r="BX59" s="203"/>
      <c r="BY59" s="203"/>
      <c r="BZ59" s="203">
        <v>1190.0999999999999</v>
      </c>
      <c r="CA59" s="203">
        <v>1009.9</v>
      </c>
      <c r="CB59" s="203">
        <v>4631.8999999999996</v>
      </c>
      <c r="CC59" s="203">
        <v>7673.8</v>
      </c>
      <c r="CD59" s="261">
        <v>6.1690388833333376</v>
      </c>
      <c r="CE59" s="261">
        <v>6.3150799666666639</v>
      </c>
      <c r="CF59" s="261">
        <v>6.3302380833333425</v>
      </c>
      <c r="CG59" s="261">
        <v>6.4155086666666676</v>
      </c>
      <c r="CH59" s="261">
        <v>0.59561863333333298</v>
      </c>
      <c r="CI59" s="261">
        <v>0.73452880000000031</v>
      </c>
      <c r="CJ59" s="261">
        <v>0.88316408333333474</v>
      </c>
      <c r="CK59" s="261">
        <v>0.86256856666666637</v>
      </c>
      <c r="CL59" s="261">
        <v>28.135695897023407</v>
      </c>
      <c r="CM59" s="261">
        <v>27.319591549295684</v>
      </c>
      <c r="CN59" s="261">
        <v>42.177766693483562</v>
      </c>
      <c r="CO59" s="261">
        <v>39.299413380281692</v>
      </c>
      <c r="CP59" s="261">
        <v>79.75199517296862</v>
      </c>
      <c r="CQ59" s="261">
        <v>80.006535211267447</v>
      </c>
      <c r="CR59" s="261">
        <v>0.15502815768302475</v>
      </c>
      <c r="CS59" s="261">
        <v>0.13183098591549275</v>
      </c>
      <c r="CT59" s="261">
        <v>0.91345293644408632</v>
      </c>
      <c r="CU59" s="261">
        <v>0.91712323943661866</v>
      </c>
      <c r="CV59" s="261">
        <v>3.4140000000000001</v>
      </c>
      <c r="CW59" s="261">
        <v>3.5790000000000002</v>
      </c>
      <c r="CX59" s="204">
        <f>IFERROR(AVERAGEIF(RD[[#This Row],[IS1POA1 (KWh/m2)]:[IS7POA2 (KWh/m2)]],"&lt;&gt;0",RD[[#This Row],[IS1POA1 (KWh/m2)]:[IS7POA2 (KWh/m2)]]),"")</f>
        <v>6.2420594250000008</v>
      </c>
      <c r="CY59" s="204">
        <f>IFERROR(AVERAGEIF(RD[[#This Row],[IS1GHI1 (KWh/m2)]:[IS7GHI2 (KWh/m2)]],"&lt;&gt;0",RD[[#This Row],[IS1GHI1 (KWh/m2)]:[IS7GHI2 (KWh/m2)]]),"")</f>
        <v>6.3728733750000046</v>
      </c>
      <c r="CZ59" s="204">
        <f>IFERROR(AVERAGEIF(RD[[#This Row],[IS1POA_BS1 (KWh/m2)]:[IS7POA_BS2 (KWh/m2)]],"&lt;&gt;0",RD[[#This Row],[IS1POA_BS1 (KWh/m2)]:[IS7POA_BS2 (KWh/m2)]]),"")</f>
        <v>0.6650737166666667</v>
      </c>
      <c r="DA59" s="204">
        <f>IFERROR(AVERAGEIF(RD[[#This Row],[IS1GHI_BS1 (KWh/m2)]:[IS1GHI_BS1 (KWh/m2)2]],"&lt;&gt;0",RD[[#This Row],[IS1GHI_BS1 (KWh/m2)]:[IS1GHI_BS1 (KWh/m2)2]]),"")</f>
        <v>0.87286632500000061</v>
      </c>
      <c r="DB59" s="204">
        <f>IFERROR(AVERAGEIF(RD[[#This Row],[IS1AT1 (°C)]:[IS7AT2 (°C)]],"&lt;&gt;0",RD[[#This Row],[IS1AT1 (°C)]:[IS7AT2 (°C)]]),"")</f>
        <v>27.727643723159545</v>
      </c>
      <c r="DC59" s="204">
        <f>IFERROR(AVERAGEIF(RD[[#This Row],[IS1MT1 (°C)]:[IS7MT2 (°C)]],"&lt;&gt;0",RD[[#This Row],[IS1MT1 (°C)]:[IS7MT2 (°C)]]),"")</f>
        <v>40.738590036882627</v>
      </c>
      <c r="DD59" s="204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204">
        <f>IFERROR(AVERAGEIF(RD[[#This Row],[WS_Solar1_Avg (m/s)]:[IS7_WS_Solar1_Avg (m/s)]],"&lt;&gt;0",RD[[#This Row],[WS_Solar1_Avg (m/s)]:[IS7_WS_Solar1_Avg (m/s)]]),"")</f>
        <v>0.91528808794035244</v>
      </c>
      <c r="DG59" s="204">
        <f>IFERROR(AVERAGEIF(RD[[#This Row],[WS_Solar1_Max (m/s)]:[IS7_WS_Solar1_Max (m/s)]],"&lt;&gt;0",RD[[#This Row],[WS_Solar1_Max (m/s)]:[IS7_WS_Solar1_Max (m/s)]]),"")</f>
        <v>3.4965000000000002</v>
      </c>
      <c r="DH59" s="204">
        <f>SUM(RD[[#This Row],[IS1Inv1M1]:[IS4Inv4M2]])</f>
        <v>258555.6</v>
      </c>
      <c r="DI59" s="205">
        <f>SUM(RD[[#This Row],[IS7Inv1M1]]+RD[[#This Row],[IS7Inv2M1]])</f>
        <v>15839</v>
      </c>
      <c r="DJ59" s="204">
        <f>SUM(RD[[#This Row],[IS5Inv1M1]:[IS5Inv2M2]])</f>
        <v>39204</v>
      </c>
      <c r="DK59" s="204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86">
        <f>SUM(RD[[#This Row],[IS12Inv1M1]:[IS12Inv1M4]])</f>
        <v>27778.3</v>
      </c>
      <c r="DO59" s="286">
        <f>SUM(RD[[#This Row],[IS13Inv1M1]:[IS13Inv2M2]])</f>
        <v>24475</v>
      </c>
      <c r="DP59" s="204">
        <f>SUM(RD[[#This Row],[O2R15]:[O2R26]])</f>
        <v>568018.19999999995</v>
      </c>
      <c r="DQ59" s="164">
        <v>40786.400000000001</v>
      </c>
      <c r="DR59" s="168">
        <v>212.6</v>
      </c>
      <c r="DS59" s="164">
        <v>35353.4</v>
      </c>
      <c r="DT59" s="164">
        <v>224.7</v>
      </c>
      <c r="DU59" s="168">
        <v>41198.9</v>
      </c>
      <c r="DV59" s="168">
        <v>403</v>
      </c>
      <c r="DW59" s="164">
        <v>9091.4</v>
      </c>
      <c r="DX59" s="168">
        <v>41.2</v>
      </c>
      <c r="DY59" s="168"/>
      <c r="DZ59" s="168"/>
      <c r="EA59" s="140">
        <v>96.18</v>
      </c>
      <c r="EB59" s="241">
        <v>129765965</v>
      </c>
      <c r="EC59" s="240">
        <v>941221.88800000004</v>
      </c>
      <c r="ED59" s="241">
        <v>1130</v>
      </c>
      <c r="EE59" s="241">
        <v>124049</v>
      </c>
      <c r="EF59" s="164">
        <v>179955.9</v>
      </c>
      <c r="EG59" s="164">
        <v>1843.2</v>
      </c>
      <c r="EH59" s="146">
        <f>IF((RD[[#This Row],[33 kV_F3_Ex
Incomer1]]-DQ58)*1000&lt;0,0,(RD[[#This Row],[33 kV_F3_Ex
Incomer1]]-DQ58)*1000)</f>
        <v>130200.00000000437</v>
      </c>
      <c r="EI59" s="146">
        <f>IF((RD[[#This Row],[34 kV_F3_Im
Incomer1]]-DR58)*1000&lt;0,0,(RD[[#This Row],[34 kV_F3_Im
Incomer1]]-DR58)*1000)</f>
        <v>400.00000000000568</v>
      </c>
      <c r="EJ59" s="146">
        <f>IF((RD[[#This Row],[33 kV_F4_Ex
Incomer2]]-DS58)*1000&lt;0,0,(RD[[#This Row],[33 kV_F4_Ex
Incomer2]]-DS58)*1000)</f>
        <v>123599.99999999854</v>
      </c>
      <c r="EK59" s="146">
        <f>IF((RD[[#This Row],[34 kV_F4_Im
Incomer2]]-DT58)*1000&lt;0,0,(RD[[#This Row],[34 kV_F4_Im
Incomer2]]-DT58)*1000)</f>
        <v>299.99999999998295</v>
      </c>
      <c r="EL59" s="146">
        <f>IF((RD[[#This Row],[33 kV_F5_Ex
Incomer3]]-DU58)*1000&lt;0,0,(RD[[#This Row],[33 kV_F5_Ex
Incomer3]]-DU58)*1000)</f>
        <v>167599.99999999854</v>
      </c>
      <c r="EM59" s="146">
        <f>IF((RD[[#This Row],[34 kV_F5_Im
Incomer3]]-DV58)*1000&lt;0,0,(RD[[#This Row],[34 kV_F5_Im
Incomer3]]-DV58)*1000)</f>
        <v>600.00000000002274</v>
      </c>
      <c r="EN59" s="146">
        <f>IF((RD[[#This Row],[33 kV_F6_Ex
Incomer4]]-DW58)*1000&lt;0,0,(RD[[#This Row],[33 kV_F6_Ex
Incomer4]]-DW58)*1000)</f>
        <v>142399.99999999965</v>
      </c>
      <c r="EO59" s="146">
        <f t="shared" si="163"/>
        <v>399.99999999997726</v>
      </c>
      <c r="EP59" s="146">
        <f>IF((RD[[#This Row],[33 kV_F7_Ex
Incomer5]]-DY58)*1000&lt;0,0,(RD[[#This Row],[33 kV_F7_Ex
Incomer5]]-DY58)*1000)</f>
        <v>0</v>
      </c>
      <c r="EQ59" s="146">
        <f>IF((RD[[#This Row],[33 kV_F7_Im
Incomer5]]-DZ58)*1000&lt;0,0,(RD[[#This Row],[33 kV_F7_Im
Incomer5]]-DZ58)*1000)</f>
        <v>0</v>
      </c>
      <c r="ER59" s="146">
        <f>IF((RD[[#This Row],[33 kV_Aux Trafo]]-EA58)*1000&lt;0,0,(RD[[#This Row],[33 kV_Aux Trafo]]-EA58)*1000)</f>
        <v>270.00000000001023</v>
      </c>
      <c r="ES59" s="158">
        <f>IF((RD[[#This Row],[33kV_OG1_Ex_]]-EB58)*1&lt;0,0,(RD[[#This Row],[33kV_OG1_Ex_]]-EB58)*1)</f>
        <v>565297</v>
      </c>
      <c r="ET59" s="146">
        <f>IF((RD[[#This Row],[33kV_OG1_Im]]-EC58)*1&lt;0,0,(RD[[#This Row],[33kV_OG1_Im]]-EC58)*1)</f>
        <v>1608.2560000000522</v>
      </c>
      <c r="EU59" s="146">
        <f>IF((RD[[#This Row],[132kV_TX1_EX]]-ED58)*720&lt;=0,"",(RD[[#This Row],[132kV_TX1_EX]]-ED58)*720)</f>
        <v>1440</v>
      </c>
      <c r="EV59" s="146">
        <f>IF((RD[[#This Row],[132 kV_Tx1_Im]]-EE58)*720&lt;=0,0,(RD[[#This Row],[132 kV_Tx1_Im]]-EE58)*720)</f>
        <v>405360</v>
      </c>
      <c r="EW59" s="146">
        <f>IF((RD[[#This Row],[132kV_L1_Ex]]-EF58)*720&lt;=0,0,(RD[[#This Row],[132kV_L1_Ex]]-EF58)*720)</f>
        <v>563472.00000000419</v>
      </c>
      <c r="EX59" s="146">
        <f>IF((RD[[#This Row],[132kV_L1_Im]]-EG58)*720&lt;=0,0,(RD[[#This Row],[132kV_L1_Im]]-EG58)*720)</f>
        <v>2088.0000000000655</v>
      </c>
      <c r="EY59" s="242">
        <f>IFERROR(RD[[#This Row],[33kV_OG1_Ex (MWh)]]+RD[[#This Row],[33kV_OG1_Im (MWh)]],"")</f>
        <v>566905.25600000005</v>
      </c>
      <c r="EZ59" s="148">
        <f>RD[[#This Row],[33kV_OG1_Ex (MWh)]]-RD[[#This Row],[33kV_OG1_Im (MWh)]]</f>
        <v>563688.74399999995</v>
      </c>
      <c r="FA59" s="148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43">
        <f>IFERROR((RD[[#This Row],[Sunset Time (POA&lt;20 W/m2)]]-RD[[#This Row],[Sunrise Time (POA&gt;20 W/m2)]])*24,0)</f>
        <v>12.533333333333335</v>
      </c>
      <c r="FD59" s="244">
        <v>118</v>
      </c>
      <c r="FE59" t="s">
        <v>289</v>
      </c>
      <c r="FG59" s="144" t="str">
        <f>IFERROR(RD[[#This Row],[E_AC (WPR)]]/RD[[#This Row],[E_DC (WPR)]],"")</f>
        <v/>
      </c>
    </row>
    <row r="60" spans="1:163">
      <c r="A60" s="133">
        <f t="shared" si="161"/>
        <v>45800</v>
      </c>
      <c r="B60" s="138">
        <f>YEAR(RD[[#This Row],[Date]])+IF(MONTH(RD[[#This Row],[Date]])&gt;=4,1,0)</f>
        <v>2026</v>
      </c>
      <c r="C60" s="138">
        <f>YEAR(RD[[#This Row],[Date]])</f>
        <v>2025</v>
      </c>
      <c r="D60" s="139">
        <f t="shared" si="162"/>
        <v>45778</v>
      </c>
      <c r="E60" s="138">
        <f>DAY(EOMONTH(RD[[#This Row],[Date]],0))</f>
        <v>31</v>
      </c>
      <c r="F60" s="152">
        <v>0.27430555555555558</v>
      </c>
      <c r="G60" s="162">
        <v>0.74722222222222223</v>
      </c>
      <c r="H60" s="124">
        <v>3698</v>
      </c>
      <c r="I60" s="264">
        <v>3662</v>
      </c>
      <c r="J60" s="124">
        <v>3425</v>
      </c>
      <c r="K60" s="124">
        <v>3482</v>
      </c>
      <c r="L60" s="124">
        <v>3599</v>
      </c>
      <c r="M60" s="124">
        <v>3692</v>
      </c>
      <c r="N60" s="124">
        <v>3572</v>
      </c>
      <c r="O60" s="124">
        <v>3962</v>
      </c>
      <c r="P60" s="124">
        <v>3690</v>
      </c>
      <c r="Q60" s="124">
        <v>3605</v>
      </c>
      <c r="R60" s="124">
        <v>3788</v>
      </c>
      <c r="S60" s="266">
        <v>3775</v>
      </c>
      <c r="T60" s="124">
        <v>3909</v>
      </c>
      <c r="U60" s="124">
        <v>3877</v>
      </c>
      <c r="V60" s="124">
        <v>3841</v>
      </c>
      <c r="W60" s="124">
        <v>3612.7</v>
      </c>
      <c r="X60" s="266">
        <v>5211.8</v>
      </c>
      <c r="Y60" s="203">
        <v>5991.3</v>
      </c>
      <c r="Z60" s="203">
        <v>4971</v>
      </c>
      <c r="AA60" s="203">
        <v>5206.5</v>
      </c>
      <c r="AB60" s="266">
        <v>6011.3</v>
      </c>
      <c r="AC60" s="203">
        <v>3711</v>
      </c>
      <c r="AD60" s="203">
        <v>5555</v>
      </c>
      <c r="AE60" s="203">
        <v>5675</v>
      </c>
      <c r="AF60" s="266">
        <v>5490.5</v>
      </c>
      <c r="AG60" s="203">
        <v>5436.5</v>
      </c>
      <c r="AH60" s="203">
        <v>5471</v>
      </c>
      <c r="AI60" s="266">
        <v>5523</v>
      </c>
      <c r="AJ60" s="203">
        <v>4689</v>
      </c>
      <c r="AK60" s="266">
        <v>4791</v>
      </c>
      <c r="AL60" s="203">
        <v>4690</v>
      </c>
      <c r="AM60" s="266">
        <v>4742.1000000000004</v>
      </c>
      <c r="AN60" s="203">
        <v>4691</v>
      </c>
      <c r="AO60" s="266">
        <v>4866</v>
      </c>
      <c r="AP60" s="203">
        <v>4778</v>
      </c>
      <c r="AQ60" s="266">
        <v>4733</v>
      </c>
      <c r="AR60" s="203">
        <v>3790</v>
      </c>
      <c r="AS60" s="266">
        <v>3820</v>
      </c>
      <c r="AT60" s="203">
        <v>3815</v>
      </c>
      <c r="AU60" s="266">
        <v>3663</v>
      </c>
      <c r="AV60" s="203">
        <v>3898</v>
      </c>
      <c r="AW60" s="203">
        <v>3847</v>
      </c>
      <c r="AX60" s="203">
        <v>5452.5</v>
      </c>
      <c r="AY60" s="203">
        <v>6159.3</v>
      </c>
      <c r="AZ60" s="203">
        <v>4422</v>
      </c>
      <c r="BA60" s="203">
        <v>5390</v>
      </c>
      <c r="BB60" s="203">
        <v>5123</v>
      </c>
      <c r="BC60" s="203">
        <v>4278</v>
      </c>
      <c r="BD60" s="203">
        <v>3611</v>
      </c>
      <c r="BE60" s="203">
        <v>4833</v>
      </c>
      <c r="BF60" s="203">
        <v>5850</v>
      </c>
      <c r="BG60" s="203">
        <v>2090</v>
      </c>
      <c r="BH60" s="203">
        <v>0</v>
      </c>
      <c r="BI60" s="203">
        <v>0</v>
      </c>
      <c r="BJ60" s="203">
        <v>3431</v>
      </c>
      <c r="BK60" s="203">
        <v>2321</v>
      </c>
      <c r="BL60" s="203">
        <v>3290</v>
      </c>
      <c r="BM60" s="203">
        <v>3255</v>
      </c>
      <c r="BN60" s="203">
        <v>3589</v>
      </c>
      <c r="BO60" s="203">
        <v>3402</v>
      </c>
      <c r="BP60" s="203">
        <v>3756</v>
      </c>
      <c r="BQ60" s="203">
        <v>3285</v>
      </c>
      <c r="BR60" s="203">
        <v>8405</v>
      </c>
      <c r="BS60" s="203">
        <v>8164</v>
      </c>
      <c r="BT60" s="203">
        <v>1756</v>
      </c>
      <c r="BU60" s="203">
        <v>2936</v>
      </c>
      <c r="BV60" s="203"/>
      <c r="BW60" s="203"/>
      <c r="BX60" s="203"/>
      <c r="BY60" s="203"/>
      <c r="BZ60" s="203">
        <v>484</v>
      </c>
      <c r="CA60" s="203">
        <v>401</v>
      </c>
      <c r="CB60" s="203">
        <v>2086</v>
      </c>
      <c r="CC60" s="203">
        <v>3529</v>
      </c>
      <c r="CD60" s="261">
        <v>2.5162932999999974</v>
      </c>
      <c r="CE60" s="261">
        <v>2.768553383333336</v>
      </c>
      <c r="CF60" s="261">
        <v>2.5669880166666639</v>
      </c>
      <c r="CG60" s="261">
        <v>2.8246211500000022</v>
      </c>
      <c r="CH60" s="261">
        <v>0.26283025000000004</v>
      </c>
      <c r="CI60" s="261">
        <v>0.32832750000000055</v>
      </c>
      <c r="CJ60" s="261">
        <v>0.36693244999999974</v>
      </c>
      <c r="CK60" s="261">
        <v>0.37569235000000001</v>
      </c>
      <c r="CL60" s="261">
        <v>28.353896604938356</v>
      </c>
      <c r="CM60" s="261">
        <v>28.093466872110884</v>
      </c>
      <c r="CN60" s="261">
        <v>38.075337191358059</v>
      </c>
      <c r="CO60" s="261">
        <v>36.421890600924456</v>
      </c>
      <c r="CP60" s="261">
        <v>80.236417438271801</v>
      </c>
      <c r="CQ60" s="261">
        <v>81.469250385208014</v>
      </c>
      <c r="CR60" s="261">
        <v>0</v>
      </c>
      <c r="CS60" s="261">
        <v>0</v>
      </c>
      <c r="CT60" s="261">
        <v>0.68925540123456808</v>
      </c>
      <c r="CU60" s="261">
        <v>0.7137704160246533</v>
      </c>
      <c r="CV60" s="261">
        <v>2.0489999999999999</v>
      </c>
      <c r="CW60" s="261">
        <v>2.016</v>
      </c>
      <c r="CX60" s="204">
        <f>IFERROR(AVERAGEIF(RD[[#This Row],[IS1POA1 (KWh/m2)]:[IS7POA2 (KWh/m2)]],"&lt;&gt;0",RD[[#This Row],[IS1POA1 (KWh/m2)]:[IS7POA2 (KWh/m2)]]),"")</f>
        <v>2.6424233416666665</v>
      </c>
      <c r="CY60" s="204">
        <f>IFERROR(AVERAGEIF(RD[[#This Row],[IS1GHI1 (KWh/m2)]:[IS7GHI2 (KWh/m2)]],"&lt;&gt;0",RD[[#This Row],[IS1GHI1 (KWh/m2)]:[IS7GHI2 (KWh/m2)]]),"")</f>
        <v>2.6958045833333331</v>
      </c>
      <c r="CZ60" s="204">
        <f>IFERROR(AVERAGEIF(RD[[#This Row],[IS1POA_BS1 (KWh/m2)]:[IS7POA_BS2 (KWh/m2)]],"&lt;&gt;0",RD[[#This Row],[IS1POA_BS1 (KWh/m2)]:[IS7POA_BS2 (KWh/m2)]]),"")</f>
        <v>0.2955788750000003</v>
      </c>
      <c r="DA60" s="204">
        <f>IFERROR(AVERAGEIF(RD[[#This Row],[IS1GHI_BS1 (KWh/m2)]:[IS1GHI_BS1 (KWh/m2)2]],"&lt;&gt;0",RD[[#This Row],[IS1GHI_BS1 (KWh/m2)]:[IS1GHI_BS1 (KWh/m2)2]]),"")</f>
        <v>0.37131239999999988</v>
      </c>
      <c r="DB60" s="204">
        <f>IFERROR(AVERAGEIF(RD[[#This Row],[IS1AT1 (°C)]:[IS7AT2 (°C)]],"&lt;&gt;0",RD[[#This Row],[IS1AT1 (°C)]:[IS7AT2 (°C)]]),"")</f>
        <v>28.223681738524618</v>
      </c>
      <c r="DC60" s="204">
        <f>IFERROR(AVERAGEIF(RD[[#This Row],[IS1MT1 (°C)]:[IS7MT2 (°C)]],"&lt;&gt;0",RD[[#This Row],[IS1MT1 (°C)]:[IS7MT2 (°C)]]),"")</f>
        <v>37.248613896141258</v>
      </c>
      <c r="DD60" s="204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204">
        <f>IFERROR(AVERAGEIF(RD[[#This Row],[WS_Solar1_Avg (m/s)]:[IS7_WS_Solar1_Avg (m/s)]],"&lt;&gt;0",RD[[#This Row],[WS_Solar1_Avg (m/s)]:[IS7_WS_Solar1_Avg (m/s)]]),"")</f>
        <v>0.70151290862961069</v>
      </c>
      <c r="DG60" s="204">
        <f>IFERROR(AVERAGEIF(RD[[#This Row],[WS_Solar1_Max (m/s)]:[IS7_WS_Solar1_Max (m/s)]],"&lt;&gt;0",RD[[#This Row],[WS_Solar1_Max (m/s)]:[IS7_WS_Solar1_Max (m/s)]]),"")</f>
        <v>2.0324999999999998</v>
      </c>
      <c r="DH60" s="204">
        <f>SUM(RD[[#This Row],[IS1Inv1M1]:[IS4Inv4M2]])</f>
        <v>123443.6</v>
      </c>
      <c r="DI60" s="205">
        <f>SUM(RD[[#This Row],[IS7Inv1M1]]+RD[[#This Row],[IS7Inv2M1]])</f>
        <v>7610</v>
      </c>
      <c r="DJ60" s="204">
        <f>SUM(RD[[#This Row],[IS5Inv1M1]:[IS5Inv2M2]])</f>
        <v>18912.099999999999</v>
      </c>
      <c r="DK60" s="204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86">
        <f>SUM(RD[[#This Row],[IS12Inv1M1]:[IS12Inv1M4]])</f>
        <v>14032</v>
      </c>
      <c r="DO60" s="286">
        <f>SUM(RD[[#This Row],[IS13Inv1M1]:[IS13Inv2M2]])</f>
        <v>21261</v>
      </c>
      <c r="DP60" s="204">
        <f>SUM(RD[[#This Row],[O2R15]:[O2R26]])</f>
        <v>285555.5</v>
      </c>
      <c r="DQ60" s="164">
        <v>40850.300000000003</v>
      </c>
      <c r="DR60" s="168">
        <v>212.9</v>
      </c>
      <c r="DS60" s="164">
        <v>35411.800000000003</v>
      </c>
      <c r="DT60" s="164">
        <v>225.1</v>
      </c>
      <c r="DU60" s="168">
        <v>41280.800000000003</v>
      </c>
      <c r="DV60" s="168">
        <v>403.6</v>
      </c>
      <c r="DW60" s="164">
        <v>9160.6</v>
      </c>
      <c r="DX60" s="168">
        <v>42.3</v>
      </c>
      <c r="DY60" s="168"/>
      <c r="DZ60" s="168"/>
      <c r="EA60" s="140">
        <v>96.43</v>
      </c>
      <c r="EB60" s="241">
        <v>130040127</v>
      </c>
      <c r="EC60" s="240">
        <v>943945.34400000004</v>
      </c>
      <c r="ED60" s="241">
        <v>1133</v>
      </c>
      <c r="EE60" s="241">
        <v>124322</v>
      </c>
      <c r="EF60" s="164">
        <v>180335.4</v>
      </c>
      <c r="EG60" s="164">
        <v>1847.8</v>
      </c>
      <c r="EH60" s="146">
        <f>IF((RD[[#This Row],[33 kV_F3_Ex
Incomer1]]-DQ59)*1000&lt;0,0,(RD[[#This Row],[33 kV_F3_Ex
Incomer1]]-DQ59)*1000)</f>
        <v>63900.000000001455</v>
      </c>
      <c r="EI60" s="146">
        <f>IF((RD[[#This Row],[34 kV_F3_Im
Incomer1]]-DR59)*1000&lt;0,0,(RD[[#This Row],[34 kV_F3_Im
Incomer1]]-DR59)*1000)</f>
        <v>300.00000000001137</v>
      </c>
      <c r="EJ60" s="146">
        <f>IF((RD[[#This Row],[33 kV_F4_Ex
Incomer2]]-DS59)*1000&lt;0,0,(RD[[#This Row],[33 kV_F4_Ex
Incomer2]]-DS59)*1000)</f>
        <v>58400.000000001455</v>
      </c>
      <c r="EK60" s="146">
        <f>IF((RD[[#This Row],[34 kV_F4_Im
Incomer2]]-DT59)*1000&lt;0,0,(RD[[#This Row],[34 kV_F4_Im
Incomer2]]-DT59)*1000)</f>
        <v>400.00000000000568</v>
      </c>
      <c r="EL60" s="146">
        <f>IF((RD[[#This Row],[33 kV_F5_Ex
Incomer3]]-DU59)*1000&lt;0,0,(RD[[#This Row],[33 kV_F5_Ex
Incomer3]]-DU59)*1000)</f>
        <v>81900.000000001455</v>
      </c>
      <c r="EM60" s="146">
        <f>IF((RD[[#This Row],[34 kV_F5_Im
Incomer3]]-DV59)*1000&lt;0,0,(RD[[#This Row],[34 kV_F5_Im
Incomer3]]-DV59)*1000)</f>
        <v>600.00000000002274</v>
      </c>
      <c r="EN60" s="146">
        <f>IF((RD[[#This Row],[33 kV_F6_Ex
Incomer4]]-DW59)*1000&lt;0,0,(RD[[#This Row],[33 kV_F6_Ex
Incomer4]]-DW59)*1000)</f>
        <v>69200.000000000728</v>
      </c>
      <c r="EO60" s="146">
        <f t="shared" si="163"/>
        <v>400.00000000000568</v>
      </c>
      <c r="EP60" s="146">
        <f>IF((RD[[#This Row],[33 kV_F7_Ex
Incomer5]]-DY59)*1000&lt;0,0,(RD[[#This Row],[33 kV_F7_Ex
Incomer5]]-DY59)*1000)</f>
        <v>0</v>
      </c>
      <c r="EQ60" s="146">
        <f>IF((RD[[#This Row],[33 kV_F7_Im
Incomer5]]-DZ59)*1000&lt;0,0,(RD[[#This Row],[33 kV_F7_Im
Incomer5]]-DZ59)*1000)</f>
        <v>0</v>
      </c>
      <c r="ER60" s="146">
        <f>IF((RD[[#This Row],[33 kV_Aux Trafo]]-EA59)*1000&lt;0,0,(RD[[#This Row],[33 kV_Aux Trafo]]-EA59)*1000)</f>
        <v>250</v>
      </c>
      <c r="ES60" s="158">
        <f>IF((RD[[#This Row],[33kV_OG1_Ex_]]-EB59)*1&lt;0,0,(RD[[#This Row],[33kV_OG1_Ex_]]-EB59)*1)</f>
        <v>274162</v>
      </c>
      <c r="ET60" s="146">
        <f>IF((RD[[#This Row],[33kV_OG1_Im]]-EC59)*1&lt;0,0,(RD[[#This Row],[33kV_OG1_Im]]-EC59)*1)</f>
        <v>2723.4560000000056</v>
      </c>
      <c r="EU60" s="146">
        <f>IF((RD[[#This Row],[132kV_TX1_EX]]-ED59)*720&lt;=0,"",(RD[[#This Row],[132kV_TX1_EX]]-ED59)*720)</f>
        <v>2160</v>
      </c>
      <c r="EV60" s="146">
        <f>IF((RD[[#This Row],[132 kV_Tx1_Im]]-EE59)*720&lt;=0,0,(RD[[#This Row],[132 kV_Tx1_Im]]-EE59)*720)</f>
        <v>196560</v>
      </c>
      <c r="EW60" s="146">
        <f>IF((RD[[#This Row],[132kV_L1_Ex]]-EF59)*720&lt;=0,0,(RD[[#This Row],[132kV_L1_Ex]]-EF59)*720)</f>
        <v>273240</v>
      </c>
      <c r="EX60" s="146">
        <f>IF((RD[[#This Row],[132kV_L1_Im]]-EG59)*720&lt;=0,0,(RD[[#This Row],[132kV_L1_Im]]-EG59)*720)</f>
        <v>3311.9999999999345</v>
      </c>
      <c r="EY60" s="242">
        <f>IFERROR(RD[[#This Row],[33kV_OG1_Ex (MWh)]]+RD[[#This Row],[33kV_OG1_Im (MWh)]],"")</f>
        <v>276885.45600000001</v>
      </c>
      <c r="EZ60" s="148">
        <f>RD[[#This Row],[33kV_OG1_Ex (MWh)]]-RD[[#This Row],[33kV_OG1_Im (MWh)]]</f>
        <v>271438.54399999999</v>
      </c>
      <c r="FA60" s="148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43">
        <f>IFERROR((RD[[#This Row],[Sunset Time (POA&lt;20 W/m2)]]-RD[[#This Row],[Sunrise Time (POA&gt;20 W/m2)]])*24,0)</f>
        <v>11.35</v>
      </c>
      <c r="FD60" s="244">
        <v>118</v>
      </c>
      <c r="FE60" s="303" t="s">
        <v>290</v>
      </c>
      <c r="FG60" s="144" t="str">
        <f>IFERROR(RD[[#This Row],[E_AC (WPR)]]/RD[[#This Row],[E_DC (WPR)]],"")</f>
        <v/>
      </c>
    </row>
    <row r="61" spans="1:163">
      <c r="A61" s="133">
        <f>A60+1</f>
        <v>45801</v>
      </c>
      <c r="B61" s="138">
        <f>YEAR(RD[[#This Row],[Date]])+IF(MONTH(RD[[#This Row],[Date]])&gt;=4,1,0)</f>
        <v>2026</v>
      </c>
      <c r="C61" s="138">
        <f>YEAR(RD[[#This Row],[Date]])</f>
        <v>2025</v>
      </c>
      <c r="D61" s="139">
        <f t="shared" ref="D61:D68" si="164">A61-DAY(A61)+1</f>
        <v>45778</v>
      </c>
      <c r="E61" s="138">
        <f>DAY(EOMONTH(RD[[#This Row],[Date]],0))</f>
        <v>31</v>
      </c>
      <c r="F61" s="152">
        <v>0.26250000000000001</v>
      </c>
      <c r="G61" s="162">
        <v>0.76736111111111116</v>
      </c>
      <c r="H61" s="124">
        <v>5103</v>
      </c>
      <c r="I61" s="264">
        <v>5042</v>
      </c>
      <c r="J61" s="124">
        <v>4730</v>
      </c>
      <c r="K61" s="124">
        <v>4788</v>
      </c>
      <c r="L61" s="124">
        <v>4930</v>
      </c>
      <c r="M61" s="124">
        <v>5101</v>
      </c>
      <c r="N61" s="124">
        <v>4925</v>
      </c>
      <c r="O61" s="124">
        <v>5487</v>
      </c>
      <c r="P61" s="124">
        <v>5032</v>
      </c>
      <c r="Q61" s="124">
        <v>4869</v>
      </c>
      <c r="R61" s="124">
        <v>5056</v>
      </c>
      <c r="S61" s="266">
        <v>5044</v>
      </c>
      <c r="T61" s="124">
        <v>5298</v>
      </c>
      <c r="U61" s="124">
        <v>5088</v>
      </c>
      <c r="V61" s="124">
        <v>5184</v>
      </c>
      <c r="W61" s="124">
        <v>4940</v>
      </c>
      <c r="X61" s="266">
        <v>6687</v>
      </c>
      <c r="Y61" s="203">
        <v>7565</v>
      </c>
      <c r="Z61" s="203">
        <v>6537</v>
      </c>
      <c r="AA61" s="203">
        <v>6862</v>
      </c>
      <c r="AB61" s="266">
        <v>7209</v>
      </c>
      <c r="AC61" s="203">
        <v>4482</v>
      </c>
      <c r="AD61" s="203">
        <v>6760</v>
      </c>
      <c r="AE61" s="203">
        <v>6917</v>
      </c>
      <c r="AF61" s="266">
        <v>6743</v>
      </c>
      <c r="AG61" s="203">
        <v>6703</v>
      </c>
      <c r="AH61" s="203">
        <v>6721</v>
      </c>
      <c r="AI61" s="266">
        <v>6770</v>
      </c>
      <c r="AJ61" s="203">
        <v>5830</v>
      </c>
      <c r="AK61" s="266">
        <v>5994</v>
      </c>
      <c r="AL61" s="203">
        <v>5893</v>
      </c>
      <c r="AM61" s="266">
        <v>5936</v>
      </c>
      <c r="AN61" s="203">
        <v>5873</v>
      </c>
      <c r="AO61" s="266">
        <v>6107</v>
      </c>
      <c r="AP61" s="203">
        <v>5980</v>
      </c>
      <c r="AQ61" s="266">
        <v>5934</v>
      </c>
      <c r="AR61" s="203">
        <v>4776</v>
      </c>
      <c r="AS61" s="266">
        <v>4808</v>
      </c>
      <c r="AT61" s="203">
        <v>4825</v>
      </c>
      <c r="AU61" s="266">
        <v>4789</v>
      </c>
      <c r="AV61" s="203">
        <v>4908</v>
      </c>
      <c r="AW61" s="203">
        <v>4849</v>
      </c>
      <c r="AX61" s="203">
        <v>6804</v>
      </c>
      <c r="AY61" s="203">
        <v>7712</v>
      </c>
      <c r="AZ61" s="203">
        <v>5549</v>
      </c>
      <c r="BA61" s="203">
        <v>6750</v>
      </c>
      <c r="BB61" s="203">
        <v>6514</v>
      </c>
      <c r="BC61" s="203">
        <v>5455</v>
      </c>
      <c r="BD61" s="203">
        <v>4592</v>
      </c>
      <c r="BE61" s="203">
        <v>6145</v>
      </c>
      <c r="BF61" s="203">
        <v>6065</v>
      </c>
      <c r="BG61" s="203">
        <v>2145</v>
      </c>
      <c r="BH61" s="203">
        <v>0</v>
      </c>
      <c r="BI61" s="203">
        <v>0</v>
      </c>
      <c r="BJ61" s="203">
        <v>4314</v>
      </c>
      <c r="BK61" s="203">
        <v>2958</v>
      </c>
      <c r="BL61" s="203">
        <v>4068.5</v>
      </c>
      <c r="BM61" s="203">
        <v>4120</v>
      </c>
      <c r="BN61" s="203">
        <v>4578</v>
      </c>
      <c r="BO61" s="203">
        <v>4317</v>
      </c>
      <c r="BP61" s="203">
        <v>4756</v>
      </c>
      <c r="BQ61" s="203">
        <v>4361</v>
      </c>
      <c r="BR61" s="203">
        <v>4809</v>
      </c>
      <c r="BS61" s="203">
        <v>4679</v>
      </c>
      <c r="BT61" s="203">
        <v>2492</v>
      </c>
      <c r="BU61" s="203">
        <v>4032</v>
      </c>
      <c r="BV61" s="203"/>
      <c r="BW61" s="203"/>
      <c r="BX61" s="203"/>
      <c r="BY61" s="203"/>
      <c r="BZ61" s="203">
        <v>650</v>
      </c>
      <c r="CA61" s="203">
        <v>544</v>
      </c>
      <c r="CB61" s="203">
        <v>2654</v>
      </c>
      <c r="CC61" s="203">
        <v>4427</v>
      </c>
      <c r="CD61" s="261">
        <v>3.5132229000000033</v>
      </c>
      <c r="CE61" s="261">
        <v>3.5273316833333355</v>
      </c>
      <c r="CF61" s="261">
        <v>3.6204422166666643</v>
      </c>
      <c r="CG61" s="261">
        <v>3.598386683333334</v>
      </c>
      <c r="CH61" s="261">
        <v>0.33900410000000047</v>
      </c>
      <c r="CI61" s="261">
        <v>0.44682861666666696</v>
      </c>
      <c r="CJ61" s="261">
        <v>0.5334439000000003</v>
      </c>
      <c r="CK61" s="261">
        <v>0.49315721666666701</v>
      </c>
      <c r="CL61" s="261">
        <v>27.957574536663984</v>
      </c>
      <c r="CM61" s="261">
        <v>27.889734513274334</v>
      </c>
      <c r="CN61" s="261">
        <v>38.828476228847656</v>
      </c>
      <c r="CO61" s="261">
        <v>37.020672566371687</v>
      </c>
      <c r="CP61" s="261">
        <v>74.745721192586643</v>
      </c>
      <c r="CQ61" s="261">
        <v>76.646291230893027</v>
      </c>
      <c r="CR61" s="261">
        <v>0</v>
      </c>
      <c r="CS61" s="261">
        <v>0</v>
      </c>
      <c r="CT61" s="261">
        <v>0.85523448831587323</v>
      </c>
      <c r="CU61" s="261">
        <v>0.94068704746580811</v>
      </c>
      <c r="CV61" s="261">
        <v>2.2949999999999999</v>
      </c>
      <c r="CW61" s="261">
        <v>2.274</v>
      </c>
      <c r="CX61" s="204">
        <f>IFERROR(AVERAGEIF(RD[[#This Row],[IS1POA1 (KWh/m2)]:[IS7POA2 (KWh/m2)]],"&lt;&gt;0",RD[[#This Row],[IS1POA1 (KWh/m2)]:[IS7POA2 (KWh/m2)]]),"")</f>
        <v>3.5202772916666696</v>
      </c>
      <c r="CY61" s="204">
        <f>IFERROR(AVERAGEIF(RD[[#This Row],[IS1GHI1 (KWh/m2)]:[IS7GHI2 (KWh/m2)]],"&lt;&gt;0",RD[[#This Row],[IS1GHI1 (KWh/m2)]:[IS7GHI2 (KWh/m2)]]),"")</f>
        <v>3.6094144499999992</v>
      </c>
      <c r="CZ61" s="204">
        <f>IFERROR(AVERAGEIF(RD[[#This Row],[IS1POA_BS1 (KWh/m2)]:[IS7POA_BS2 (KWh/m2)]],"&lt;&gt;0",RD[[#This Row],[IS1POA_BS1 (KWh/m2)]:[IS7POA_BS2 (KWh/m2)]]),"")</f>
        <v>0.39291635833333372</v>
      </c>
      <c r="DA61" s="204">
        <f>IFERROR(AVERAGEIF(RD[[#This Row],[IS1GHI_BS1 (KWh/m2)]:[IS1GHI_BS1 (KWh/m2)2]],"&lt;&gt;0",RD[[#This Row],[IS1GHI_BS1 (KWh/m2)]:[IS1GHI_BS1 (KWh/m2)2]]),"")</f>
        <v>0.51330055833333366</v>
      </c>
      <c r="DB61" s="204">
        <f>IFERROR(AVERAGEIF(RD[[#This Row],[IS1AT1 (°C)]:[IS7AT2 (°C)]],"&lt;&gt;0",RD[[#This Row],[IS1AT1 (°C)]:[IS7AT2 (°C)]]),"")</f>
        <v>27.923654524969159</v>
      </c>
      <c r="DC61" s="204">
        <f>IFERROR(AVERAGEIF(RD[[#This Row],[IS1MT1 (°C)]:[IS7MT2 (°C)]],"&lt;&gt;0",RD[[#This Row],[IS1MT1 (°C)]:[IS7MT2 (°C)]]),"")</f>
        <v>37.924574397609675</v>
      </c>
      <c r="DD61" s="204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204">
        <f>IFERROR(AVERAGEIF(RD[[#This Row],[WS_Solar1_Avg (m/s)]:[IS7_WS_Solar1_Avg (m/s)]],"&lt;&gt;0",RD[[#This Row],[WS_Solar1_Avg (m/s)]:[IS7_WS_Solar1_Avg (m/s)]]),"")</f>
        <v>0.89796076789084067</v>
      </c>
      <c r="DG61" s="204">
        <f>IFERROR(AVERAGEIF(RD[[#This Row],[WS_Solar1_Max (m/s)]:[IS7_WS_Solar1_Max (m/s)]],"&lt;&gt;0",RD[[#This Row],[WS_Solar1_Max (m/s)]:[IS7_WS_Solar1_Max (m/s)]]),"")</f>
        <v>2.2845</v>
      </c>
      <c r="DH61" s="204">
        <f>SUM(RD[[#This Row],[IS1Inv1M1]:[IS4Inv4M2]])</f>
        <v>160573</v>
      </c>
      <c r="DI61" s="205">
        <f>SUM(RD[[#This Row],[IS7Inv1M1]]+RD[[#This Row],[IS7Inv2M1]])</f>
        <v>9584</v>
      </c>
      <c r="DJ61" s="204">
        <f>SUM(RD[[#This Row],[IS5Inv1M1]:[IS5Inv2M2]])</f>
        <v>23653</v>
      </c>
      <c r="DK61" s="204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86">
        <f>SUM(RD[[#This Row],[IS12Inv1M1]:[IS12Inv1M4]])</f>
        <v>18012</v>
      </c>
      <c r="DO61" s="286">
        <f>SUM(RD[[#This Row],[IS13Inv1M1]:[IS13Inv2M2]])</f>
        <v>16012</v>
      </c>
      <c r="DP61" s="204">
        <f>SUM(RD[[#This Row],[O2R15]:[O2R26]])</f>
        <v>352565.5</v>
      </c>
      <c r="DQ61" s="164">
        <v>40929.9</v>
      </c>
      <c r="DR61" s="168">
        <v>213.1</v>
      </c>
      <c r="DS61" s="164">
        <v>35490.6</v>
      </c>
      <c r="DT61" s="164">
        <v>225.5</v>
      </c>
      <c r="DU61" s="168">
        <v>41383.4</v>
      </c>
      <c r="DV61" s="168">
        <v>404.3</v>
      </c>
      <c r="DW61" s="164">
        <v>9248.2999999999993</v>
      </c>
      <c r="DX61" s="168">
        <v>43.5</v>
      </c>
      <c r="DY61" s="168"/>
      <c r="DZ61" s="168"/>
      <c r="EA61" s="140">
        <v>96.68</v>
      </c>
      <c r="EB61" s="241">
        <v>130389901</v>
      </c>
      <c r="EC61" s="240">
        <v>946700.28799999994</v>
      </c>
      <c r="ED61" s="241">
        <v>1137</v>
      </c>
      <c r="EE61" s="241">
        <v>124670</v>
      </c>
      <c r="EF61" s="164">
        <v>180819.7</v>
      </c>
      <c r="EG61" s="164">
        <v>1852.4</v>
      </c>
      <c r="EH61" s="146">
        <f>IF((RD[[#This Row],[33 kV_F3_Ex
Incomer1]]-DQ60)*1000&lt;0,0,(RD[[#This Row],[33 kV_F3_Ex
Incomer1]]-DQ60)*1000)</f>
        <v>79599.999999998545</v>
      </c>
      <c r="EI61" s="146">
        <f>IF((RD[[#This Row],[34 kV_F3_Im
Incomer1]]-DR60)*1000&lt;0,0,(RD[[#This Row],[34 kV_F3_Im
Incomer1]]-DR60)*1000)</f>
        <v>199.99999999998863</v>
      </c>
      <c r="EJ61" s="146">
        <f>IF((RD[[#This Row],[33 kV_F4_Ex
Incomer2]]-DS60)*1000&lt;0,0,(RD[[#This Row],[33 kV_F4_Ex
Incomer2]]-DS60)*1000)</f>
        <v>78799.999999995634</v>
      </c>
      <c r="EK61" s="146">
        <f>IF((RD[[#This Row],[34 kV_F4_Im
Incomer2]]-DT60)*1000&lt;0,0,(RD[[#This Row],[34 kV_F4_Im
Incomer2]]-DT60)*1000)</f>
        <v>400.00000000000568</v>
      </c>
      <c r="EL61" s="146">
        <f>IF((RD[[#This Row],[33 kV_F5_Ex
Incomer3]]-DU60)*1000&lt;0,0,(RD[[#This Row],[33 kV_F5_Ex
Incomer3]]-DU60)*1000)</f>
        <v>102599.99999999854</v>
      </c>
      <c r="EM61" s="146">
        <f>IF((RD[[#This Row],[34 kV_F5_Im
Incomer3]]-DV60)*1000&lt;0,0,(RD[[#This Row],[34 kV_F5_Im
Incomer3]]-DV60)*1000)</f>
        <v>699.99999999998863</v>
      </c>
      <c r="EN61" s="146">
        <f>IF((RD[[#This Row],[33 kV_F6_Ex
Incomer4]]-DW60)*1000&lt;0,0,(RD[[#This Row],[33 kV_F6_Ex
Incomer4]]-DW60)*1000)</f>
        <v>87699.999999998909</v>
      </c>
      <c r="EO61" s="146">
        <f t="shared" si="163"/>
        <v>300.00000000001137</v>
      </c>
      <c r="EP61" s="146">
        <f>IF((RD[[#This Row],[33 kV_F7_Ex
Incomer5]]-DY60)*1000&lt;0,0,(RD[[#This Row],[33 kV_F7_Ex
Incomer5]]-DY60)*1000)</f>
        <v>0</v>
      </c>
      <c r="EQ61" s="146">
        <f>IF((RD[[#This Row],[33 kV_F7_Im
Incomer5]]-DZ60)*1000&lt;0,0,(RD[[#This Row],[33 kV_F7_Im
Incomer5]]-DZ60)*1000)</f>
        <v>0</v>
      </c>
      <c r="ER61" s="146">
        <f>IF((RD[[#This Row],[33 kV_Aux Trafo]]-EA60)*1000&lt;0,0,(RD[[#This Row],[33 kV_Aux Trafo]]-EA60)*1000)</f>
        <v>250</v>
      </c>
      <c r="ES61" s="158">
        <f>IF((RD[[#This Row],[33kV_OG1_Ex_]]-EB60)*1&lt;0,0,(RD[[#This Row],[33kV_OG1_Ex_]]-EB60)*1)</f>
        <v>349774</v>
      </c>
      <c r="ET61" s="146">
        <f>IF((RD[[#This Row],[33kV_OG1_Im]]-EC60)*1&lt;0,0,(RD[[#This Row],[33kV_OG1_Im]]-EC60)*1)</f>
        <v>2754.9439999999013</v>
      </c>
      <c r="EU61" s="146">
        <f>IF((RD[[#This Row],[132kV_TX1_EX]]-ED60)*720&lt;=0,"",(RD[[#This Row],[132kV_TX1_EX]]-ED60)*720)</f>
        <v>2880</v>
      </c>
      <c r="EV61" s="146">
        <f>IF((RD[[#This Row],[132 kV_Tx1_Im]]-EE60)*720&lt;=0,0,(RD[[#This Row],[132 kV_Tx1_Im]]-EE60)*720)</f>
        <v>250560</v>
      </c>
      <c r="EW61" s="146">
        <f>IF((RD[[#This Row],[132kV_L1_Ex]]-EF60)*720&lt;=0,0,(RD[[#This Row],[132kV_L1_Ex]]-EF60)*720)</f>
        <v>348696.00000001257</v>
      </c>
      <c r="EX61" s="146">
        <f>IF((RD[[#This Row],[132kV_L1_Im]]-EG60)*720&lt;=0,0,(RD[[#This Row],[132kV_L1_Im]]-EG60)*720)</f>
        <v>3312.0000000000982</v>
      </c>
      <c r="EY61" s="242">
        <f>IFERROR(RD[[#This Row],[33kV_OG1_Ex (MWh)]]+RD[[#This Row],[33kV_OG1_Im (MWh)]],"")</f>
        <v>352528.9439999999</v>
      </c>
      <c r="EZ61" s="148">
        <f>RD[[#This Row],[33kV_OG1_Ex (MWh)]]-RD[[#This Row],[33kV_OG1_Im (MWh)]]</f>
        <v>347019.0560000001</v>
      </c>
      <c r="FA61" s="148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43">
        <f>IFERROR((RD[[#This Row],[Sunset Time (POA&lt;20 W/m2)]]-RD[[#This Row],[Sunrise Time (POA&gt;20 W/m2)]])*24,0)</f>
        <v>12.116666666666669</v>
      </c>
      <c r="FD61" s="244">
        <v>118</v>
      </c>
      <c r="FE61" s="303" t="s">
        <v>291</v>
      </c>
      <c r="FG61" s="144" t="str">
        <f>IFERROR(RD[[#This Row],[E_AC (WPR)]]/RD[[#This Row],[E_DC (WPR)]],"")</f>
        <v/>
      </c>
    </row>
    <row r="62" spans="1:163">
      <c r="A62" s="133">
        <f t="shared" si="161"/>
        <v>45802</v>
      </c>
      <c r="B62" s="138">
        <f>YEAR(RD[[#This Row],[Date]])+IF(MONTH(RD[[#This Row],[Date]])&gt;=4,1,0)</f>
        <v>2026</v>
      </c>
      <c r="C62" s="138">
        <f>YEAR(RD[[#This Row],[Date]])</f>
        <v>2025</v>
      </c>
      <c r="D62" s="139">
        <f t="shared" si="164"/>
        <v>45778</v>
      </c>
      <c r="E62" s="138">
        <f>DAY(EOMONTH(RD[[#This Row],[Date]],0))</f>
        <v>31</v>
      </c>
      <c r="F62" s="152">
        <v>0.27500000000000002</v>
      </c>
      <c r="G62" s="162">
        <v>0.76875000000000004</v>
      </c>
      <c r="H62" s="124">
        <v>2696</v>
      </c>
      <c r="I62" s="264">
        <v>2668</v>
      </c>
      <c r="J62" s="124">
        <v>2497</v>
      </c>
      <c r="K62" s="124">
        <v>2529</v>
      </c>
      <c r="L62" s="124">
        <v>2624</v>
      </c>
      <c r="M62" s="124">
        <v>2720</v>
      </c>
      <c r="N62" s="124">
        <v>2603</v>
      </c>
      <c r="O62" s="124">
        <v>2906</v>
      </c>
      <c r="P62" s="124">
        <v>2629</v>
      </c>
      <c r="Q62" s="124">
        <v>2576</v>
      </c>
      <c r="R62" s="124">
        <v>2661</v>
      </c>
      <c r="S62" s="266">
        <v>2642</v>
      </c>
      <c r="T62" s="124">
        <v>2782</v>
      </c>
      <c r="U62" s="124">
        <v>2771</v>
      </c>
      <c r="V62" s="124">
        <v>2730</v>
      </c>
      <c r="W62" s="124">
        <v>2590</v>
      </c>
      <c r="X62" s="266">
        <v>3738</v>
      </c>
      <c r="Y62" s="203">
        <v>4240</v>
      </c>
      <c r="Z62" s="203">
        <v>3634</v>
      </c>
      <c r="AA62" s="203">
        <v>3818</v>
      </c>
      <c r="AB62" s="266">
        <v>3964</v>
      </c>
      <c r="AC62" s="203">
        <v>2485</v>
      </c>
      <c r="AD62" s="203">
        <v>3756</v>
      </c>
      <c r="AE62" s="203">
        <v>3836</v>
      </c>
      <c r="AF62" s="266">
        <v>3755</v>
      </c>
      <c r="AG62" s="203">
        <v>3741</v>
      </c>
      <c r="AH62" s="203">
        <v>3725</v>
      </c>
      <c r="AI62" s="266">
        <v>3751</v>
      </c>
      <c r="AJ62" s="203">
        <v>3388</v>
      </c>
      <c r="AK62" s="266">
        <v>3469</v>
      </c>
      <c r="AL62" s="203">
        <v>3395</v>
      </c>
      <c r="AM62" s="266">
        <v>3426</v>
      </c>
      <c r="AN62" s="203">
        <v>3389</v>
      </c>
      <c r="AO62" s="266">
        <v>3494</v>
      </c>
      <c r="AP62" s="203">
        <v>3440</v>
      </c>
      <c r="AQ62" s="266">
        <v>3390</v>
      </c>
      <c r="AR62" s="203">
        <v>2625</v>
      </c>
      <c r="AS62" s="266">
        <v>2643</v>
      </c>
      <c r="AT62" s="203">
        <v>2682</v>
      </c>
      <c r="AU62" s="266">
        <v>2674</v>
      </c>
      <c r="AV62" s="203">
        <v>2729</v>
      </c>
      <c r="AW62" s="203">
        <v>2676</v>
      </c>
      <c r="AX62" s="203">
        <v>3894</v>
      </c>
      <c r="AY62" s="203">
        <v>4348.5</v>
      </c>
      <c r="AZ62" s="203">
        <v>3086</v>
      </c>
      <c r="BA62" s="203">
        <v>3722</v>
      </c>
      <c r="BB62" s="203">
        <v>3951.8</v>
      </c>
      <c r="BC62" s="203">
        <v>3347.3</v>
      </c>
      <c r="BD62" s="203">
        <v>2828</v>
      </c>
      <c r="BE62" s="203">
        <v>3757.9</v>
      </c>
      <c r="BF62" s="203">
        <v>5855</v>
      </c>
      <c r="BG62" s="203">
        <v>2030</v>
      </c>
      <c r="BH62" s="203">
        <v>0</v>
      </c>
      <c r="BI62" s="203">
        <v>0</v>
      </c>
      <c r="BJ62" s="203">
        <v>1493</v>
      </c>
      <c r="BK62" s="203">
        <v>1046</v>
      </c>
      <c r="BL62" s="203">
        <v>1417</v>
      </c>
      <c r="BM62" s="203">
        <v>1473</v>
      </c>
      <c r="BN62" s="203">
        <v>2741</v>
      </c>
      <c r="BO62" s="203">
        <v>2605</v>
      </c>
      <c r="BP62" s="203">
        <v>2858</v>
      </c>
      <c r="BQ62" s="203">
        <v>2625</v>
      </c>
      <c r="BR62" s="203">
        <v>3056</v>
      </c>
      <c r="BS62" s="203">
        <v>2988</v>
      </c>
      <c r="BT62" s="203">
        <v>1610</v>
      </c>
      <c r="BU62" s="203">
        <v>2549</v>
      </c>
      <c r="BV62" s="203"/>
      <c r="BW62" s="203"/>
      <c r="BX62" s="203"/>
      <c r="BY62" s="203"/>
      <c r="BZ62" s="203">
        <v>342</v>
      </c>
      <c r="CA62" s="203">
        <v>278</v>
      </c>
      <c r="CB62" s="203">
        <v>1599.6</v>
      </c>
      <c r="CC62" s="203">
        <v>2721</v>
      </c>
      <c r="CD62" s="261">
        <v>1.8749469999999984</v>
      </c>
      <c r="CE62" s="261">
        <v>1.9846205000000003</v>
      </c>
      <c r="CF62" s="261">
        <v>1.9224709999999987</v>
      </c>
      <c r="CG62" s="261">
        <v>1.9907261333333333</v>
      </c>
      <c r="CH62" s="261">
        <v>0.1719139833333338</v>
      </c>
      <c r="CI62" s="261">
        <v>0.21344614999999995</v>
      </c>
      <c r="CJ62" s="261">
        <v>0.25387543333333368</v>
      </c>
      <c r="CK62" s="261">
        <v>0.24135943333333357</v>
      </c>
      <c r="CL62" s="261">
        <v>27.173444976076549</v>
      </c>
      <c r="CM62" s="261">
        <v>26.188108108108096</v>
      </c>
      <c r="CN62" s="261">
        <v>34.94104146730465</v>
      </c>
      <c r="CO62" s="261">
        <v>33.144282988871218</v>
      </c>
      <c r="CP62" s="261">
        <v>91.654728867623646</v>
      </c>
      <c r="CQ62" s="261">
        <v>91.400492845786914</v>
      </c>
      <c r="CR62" s="261">
        <v>0.61244019138756312</v>
      </c>
      <c r="CS62" s="261">
        <v>0.69634340222575641</v>
      </c>
      <c r="CT62" s="261">
        <v>0.86466028708134124</v>
      </c>
      <c r="CU62" s="261">
        <v>0.80971383147853671</v>
      </c>
      <c r="CV62" s="261">
        <v>2.5230000000000001</v>
      </c>
      <c r="CW62" s="261">
        <v>2.25</v>
      </c>
      <c r="CX62" s="204">
        <f>IFERROR(AVERAGEIF(RD[[#This Row],[IS1POA1 (KWh/m2)]:[IS7POA2 (KWh/m2)]],"&lt;&gt;0",RD[[#This Row],[IS1POA1 (KWh/m2)]:[IS7POA2 (KWh/m2)]]),"")</f>
        <v>1.9297837499999995</v>
      </c>
      <c r="CY62" s="204">
        <f>IFERROR(AVERAGEIF(RD[[#This Row],[IS1GHI1 (KWh/m2)]:[IS7GHI2 (KWh/m2)]],"&lt;&gt;0",RD[[#This Row],[IS1GHI1 (KWh/m2)]:[IS7GHI2 (KWh/m2)]]),"")</f>
        <v>1.9565985666666661</v>
      </c>
      <c r="CZ62" s="204">
        <f>IFERROR(AVERAGEIF(RD[[#This Row],[IS1POA_BS1 (KWh/m2)]:[IS7POA_BS2 (KWh/m2)]],"&lt;&gt;0",RD[[#This Row],[IS1POA_BS1 (KWh/m2)]:[IS7POA_BS2 (KWh/m2)]]),"")</f>
        <v>0.19268006666666687</v>
      </c>
      <c r="DA62" s="204">
        <f>IFERROR(AVERAGEIF(RD[[#This Row],[IS1GHI_BS1 (KWh/m2)]:[IS1GHI_BS1 (KWh/m2)2]],"&lt;&gt;0",RD[[#This Row],[IS1GHI_BS1 (KWh/m2)]:[IS1GHI_BS1 (KWh/m2)2]]),"")</f>
        <v>0.24761743333333364</v>
      </c>
      <c r="DB62" s="204">
        <f>IFERROR(AVERAGEIF(RD[[#This Row],[IS1AT1 (°C)]:[IS7AT2 (°C)]],"&lt;&gt;0",RD[[#This Row],[IS1AT1 (°C)]:[IS7AT2 (°C)]]),"")</f>
        <v>26.680776542092325</v>
      </c>
      <c r="DC62" s="204">
        <f>IFERROR(AVERAGEIF(RD[[#This Row],[IS1MT1 (°C)]:[IS7MT2 (°C)]],"&lt;&gt;0",RD[[#This Row],[IS1MT1 (°C)]:[IS7MT2 (°C)]]),"")</f>
        <v>34.042662228087934</v>
      </c>
      <c r="DD62" s="204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204">
        <f>IFERROR(AVERAGEIF(RD[[#This Row],[WS_Solar1_Avg (m/s)]:[IS7_WS_Solar1_Avg (m/s)]],"&lt;&gt;0",RD[[#This Row],[WS_Solar1_Avg (m/s)]:[IS7_WS_Solar1_Avg (m/s)]]),"")</f>
        <v>0.83718705927993897</v>
      </c>
      <c r="DG62" s="204">
        <f>IFERROR(AVERAGEIF(RD[[#This Row],[WS_Solar1_Max (m/s)]:[IS7_WS_Solar1_Max (m/s)]],"&lt;&gt;0",RD[[#This Row],[WS_Solar1_Max (m/s)]:[IS7_WS_Solar1_Max (m/s)]]),"")</f>
        <v>2.3864999999999998</v>
      </c>
      <c r="DH62" s="204">
        <f>SUM(RD[[#This Row],[IS1Inv1M1]:[IS4Inv4M2]])</f>
        <v>87067</v>
      </c>
      <c r="DI62" s="205">
        <f>SUM(RD[[#This Row],[IS7Inv1M1]]+RD[[#This Row],[IS7Inv2M1]])</f>
        <v>5268</v>
      </c>
      <c r="DJ62" s="204">
        <f>SUM(RD[[#This Row],[IS5Inv1M1]:[IS5Inv2M2]])</f>
        <v>13678</v>
      </c>
      <c r="DK62" s="204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86">
        <f>SUM(RD[[#This Row],[IS12Inv1M1]:[IS12Inv1M4]])</f>
        <v>10829</v>
      </c>
      <c r="DO62" s="286">
        <f>SUM(RD[[#This Row],[IS13Inv1M1]:[IS13Inv2M2]])</f>
        <v>10203</v>
      </c>
      <c r="DP62" s="204">
        <f>SUM(RD[[#This Row],[O2R15]:[O2R26]])</f>
        <v>198709.1</v>
      </c>
      <c r="DQ62" s="164">
        <v>40974</v>
      </c>
      <c r="DR62" s="168">
        <v>213.4</v>
      </c>
      <c r="DS62" s="164">
        <v>35532.699999999997</v>
      </c>
      <c r="DT62" s="164">
        <v>225.8</v>
      </c>
      <c r="DU62" s="168">
        <v>41441.699999999997</v>
      </c>
      <c r="DV62" s="168">
        <v>404.9</v>
      </c>
      <c r="DW62" s="164">
        <v>9298.6</v>
      </c>
      <c r="DX62" s="168">
        <v>44.5</v>
      </c>
      <c r="DY62" s="168"/>
      <c r="DZ62" s="168"/>
      <c r="EA62" s="140">
        <v>96.91</v>
      </c>
      <c r="EB62" s="241">
        <v>130585796</v>
      </c>
      <c r="EC62" s="240">
        <v>949158.52800000005</v>
      </c>
      <c r="ED62" s="241">
        <v>1140</v>
      </c>
      <c r="EE62" s="241">
        <v>124865</v>
      </c>
      <c r="EF62" s="164">
        <v>181090.7</v>
      </c>
      <c r="EG62" s="164">
        <v>1856.4</v>
      </c>
      <c r="EH62" s="146">
        <f>IF((RD[[#This Row],[33 kV_F3_Ex
Incomer1]]-DQ61)*1000&lt;0,0,(RD[[#This Row],[33 kV_F3_Ex
Incomer1]]-DQ61)*1000)</f>
        <v>44099.999999998545</v>
      </c>
      <c r="EI62" s="146">
        <f>IF((RD[[#This Row],[34 kV_F3_Im
Incomer1]]-DR61)*1000&lt;0,0,(RD[[#This Row],[34 kV_F3_Im
Incomer1]]-DR61)*1000)</f>
        <v>300.00000000001137</v>
      </c>
      <c r="EJ62" s="146">
        <f>IF((RD[[#This Row],[33 kV_F4_Ex
Incomer2]]-DS61)*1000&lt;0,0,(RD[[#This Row],[33 kV_F4_Ex
Incomer2]]-DS61)*1000)</f>
        <v>42099.999999998545</v>
      </c>
      <c r="EK62" s="146">
        <f>IF((RD[[#This Row],[34 kV_F4_Im
Incomer2]]-DT61)*1000&lt;0,0,(RD[[#This Row],[34 kV_F4_Im
Incomer2]]-DT61)*1000)</f>
        <v>300.00000000001137</v>
      </c>
      <c r="EL62" s="146">
        <f>IF((RD[[#This Row],[33 kV_F5_Ex
Incomer3]]-DU61)*1000&lt;0,0,(RD[[#This Row],[33 kV_F5_Ex
Incomer3]]-DU61)*1000)</f>
        <v>58299.999999995634</v>
      </c>
      <c r="EM62" s="146">
        <f>IF((RD[[#This Row],[34 kV_F5_Im
Incomer3]]-DV61)*1000&lt;0,0,(RD[[#This Row],[34 kV_F5_Im
Incomer3]]-DV61)*1000)</f>
        <v>599.99999999996589</v>
      </c>
      <c r="EN62" s="146">
        <f>IF((RD[[#This Row],[33 kV_F6_Ex
Incomer4]]-DW61)*1000&lt;0,0,(RD[[#This Row],[33 kV_F6_Ex
Incomer4]]-DW61)*1000)</f>
        <v>50300.000000001091</v>
      </c>
      <c r="EO62" s="146">
        <f t="shared" si="163"/>
        <v>299.99999999998295</v>
      </c>
      <c r="EP62" s="146">
        <f>IF((RD[[#This Row],[33 kV_F7_Ex
Incomer5]]-DY61)*1000&lt;0,0,(RD[[#This Row],[33 kV_F7_Ex
Incomer5]]-DY61)*1000)</f>
        <v>0</v>
      </c>
      <c r="EQ62" s="146">
        <f>IF((RD[[#This Row],[33 kV_F7_Im
Incomer5]]-DZ61)*1000&lt;0,0,(RD[[#This Row],[33 kV_F7_Im
Incomer5]]-DZ61)*1000)</f>
        <v>0</v>
      </c>
      <c r="ER62" s="146">
        <f>IF((RD[[#This Row],[33 kV_Aux Trafo]]-EA61)*1000&lt;0,0,(RD[[#This Row],[33 kV_Aux Trafo]]-EA61)*1000)</f>
        <v>229.99999999998977</v>
      </c>
      <c r="ES62" s="158">
        <f>IF((RD[[#This Row],[33kV_OG1_Ex_]]-EB61)*1&lt;0,0,(RD[[#This Row],[33kV_OG1_Ex_]]-EB61)*1)</f>
        <v>195895</v>
      </c>
      <c r="ET62" s="146">
        <f>IF((RD[[#This Row],[33kV_OG1_Im]]-EC61)*1&lt;0,0,(RD[[#This Row],[33kV_OG1_Im]]-EC61)*1)</f>
        <v>2458.2400000001071</v>
      </c>
      <c r="EU62" s="146">
        <f>IF((RD[[#This Row],[132kV_TX1_EX]]-ED61)*720&lt;=0,"",(RD[[#This Row],[132kV_TX1_EX]]-ED61)*720)</f>
        <v>2160</v>
      </c>
      <c r="EV62" s="146">
        <f>IF((RD[[#This Row],[132 kV_Tx1_Im]]-EE61)*720&lt;=0,0,(RD[[#This Row],[132 kV_Tx1_Im]]-EE61)*720)</f>
        <v>140400</v>
      </c>
      <c r="EW62" s="146">
        <f>IF((RD[[#This Row],[132kV_L1_Ex]]-EF61)*720&lt;=0,0,(RD[[#This Row],[132kV_L1_Ex]]-EF61)*720)</f>
        <v>195120</v>
      </c>
      <c r="EX62" s="146">
        <f>IF((RD[[#This Row],[132kV_L1_Im]]-EG61)*720&lt;=0,0,(RD[[#This Row],[132kV_L1_Im]]-EG61)*720)</f>
        <v>2880</v>
      </c>
      <c r="EY62" s="242">
        <f>IFERROR(RD[[#This Row],[33kV_OG1_Ex (MWh)]]+RD[[#This Row],[33kV_OG1_Im (MWh)]],"")</f>
        <v>198353.24000000011</v>
      </c>
      <c r="EZ62" s="148">
        <f>RD[[#This Row],[33kV_OG1_Ex (MWh)]]-RD[[#This Row],[33kV_OG1_Im (MWh)]]</f>
        <v>193436.75999999989</v>
      </c>
      <c r="FA62" s="148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43">
        <f>IFERROR((RD[[#This Row],[Sunset Time (POA&lt;20 W/m2)]]-RD[[#This Row],[Sunrise Time (POA&gt;20 W/m2)]])*24,0)</f>
        <v>11.850000000000001</v>
      </c>
      <c r="FD62" s="244">
        <v>120.7</v>
      </c>
      <c r="FE62" s="303" t="s">
        <v>292</v>
      </c>
      <c r="FG62" s="144" t="str">
        <f>IFERROR(RD[[#This Row],[E_AC (WPR)]]/RD[[#This Row],[E_DC (WPR)]],"")</f>
        <v/>
      </c>
    </row>
    <row r="63" spans="1:163">
      <c r="A63" s="133">
        <f t="shared" si="161"/>
        <v>45803</v>
      </c>
      <c r="B63" s="138">
        <f>YEAR(RD[[#This Row],[Date]])+IF(MONTH(RD[[#This Row],[Date]])&gt;=4,1,0)</f>
        <v>2026</v>
      </c>
      <c r="C63" s="138">
        <f>YEAR(RD[[#This Row],[Date]])</f>
        <v>2025</v>
      </c>
      <c r="D63" s="139">
        <f t="shared" si="164"/>
        <v>45778</v>
      </c>
      <c r="E63" s="138">
        <f>DAY(EOMONTH(RD[[#This Row],[Date]],0))</f>
        <v>31</v>
      </c>
      <c r="F63" s="152">
        <v>0.25208333333333333</v>
      </c>
      <c r="G63" s="162">
        <v>0.7631944444444444</v>
      </c>
      <c r="H63" s="124">
        <v>8748.4</v>
      </c>
      <c r="I63" s="268">
        <v>8695.4</v>
      </c>
      <c r="J63" s="124">
        <v>8252.2000000000007</v>
      </c>
      <c r="K63" s="124">
        <v>8345.4</v>
      </c>
      <c r="L63" s="124">
        <v>8550</v>
      </c>
      <c r="M63" s="124">
        <v>8791.2000000000007</v>
      </c>
      <c r="N63" s="124">
        <v>8606.2000000000007</v>
      </c>
      <c r="O63" s="124">
        <v>9231.4</v>
      </c>
      <c r="P63" s="124">
        <v>8224.1</v>
      </c>
      <c r="Q63" s="124">
        <v>8428.6</v>
      </c>
      <c r="R63" s="124">
        <v>8708.6</v>
      </c>
      <c r="S63" s="266">
        <v>8660.7000000000007</v>
      </c>
      <c r="T63" s="124">
        <v>9124.2999999999993</v>
      </c>
      <c r="U63" s="124">
        <v>8938.7000000000007</v>
      </c>
      <c r="V63" s="124">
        <v>8917.5</v>
      </c>
      <c r="W63" s="124">
        <v>8538.2999999999993</v>
      </c>
      <c r="X63" s="266">
        <v>12043</v>
      </c>
      <c r="Y63" s="203">
        <v>13169.1</v>
      </c>
      <c r="Z63" s="203">
        <v>11613.6</v>
      </c>
      <c r="AA63" s="203">
        <v>12032.2</v>
      </c>
      <c r="AB63" s="266">
        <v>12829.2</v>
      </c>
      <c r="AC63" s="203">
        <v>8100.3</v>
      </c>
      <c r="AD63" s="203">
        <v>12042.1</v>
      </c>
      <c r="AE63" s="203">
        <v>12238.7</v>
      </c>
      <c r="AF63" s="266">
        <v>12085.5</v>
      </c>
      <c r="AG63" s="203">
        <v>12108</v>
      </c>
      <c r="AH63" s="203">
        <v>12016.2</v>
      </c>
      <c r="AI63" s="266">
        <v>12089.8</v>
      </c>
      <c r="AJ63" s="203">
        <v>10294.5</v>
      </c>
      <c r="AK63" s="266">
        <v>10564.9</v>
      </c>
      <c r="AL63" s="203">
        <v>10369.4</v>
      </c>
      <c r="AM63" s="266">
        <v>10396.799999999999</v>
      </c>
      <c r="AN63" s="203">
        <v>10301.9</v>
      </c>
      <c r="AO63" s="266">
        <v>10598.5</v>
      </c>
      <c r="AP63" s="203">
        <v>10417.5</v>
      </c>
      <c r="AQ63" s="266">
        <v>10260.700000000001</v>
      </c>
      <c r="AR63" s="203">
        <v>8332.7000000000007</v>
      </c>
      <c r="AS63" s="266">
        <v>8399.2999999999993</v>
      </c>
      <c r="AT63" s="203">
        <v>8497.4</v>
      </c>
      <c r="AU63" s="266">
        <v>8455.2000000000007</v>
      </c>
      <c r="AV63" s="203">
        <v>8564.7000000000007</v>
      </c>
      <c r="AW63" s="203">
        <v>8269</v>
      </c>
      <c r="AX63" s="203">
        <v>11939.8</v>
      </c>
      <c r="AY63" s="203">
        <v>13085</v>
      </c>
      <c r="AZ63" s="203">
        <v>9619</v>
      </c>
      <c r="BA63" s="203">
        <v>11753</v>
      </c>
      <c r="BB63" s="203">
        <v>12273</v>
      </c>
      <c r="BC63" s="203">
        <v>10305</v>
      </c>
      <c r="BD63" s="203">
        <v>8653</v>
      </c>
      <c r="BE63" s="203">
        <v>11577</v>
      </c>
      <c r="BF63" s="203">
        <v>12355</v>
      </c>
      <c r="BG63" s="203">
        <v>2991</v>
      </c>
      <c r="BH63" s="203">
        <v>0</v>
      </c>
      <c r="BI63" s="203">
        <v>0</v>
      </c>
      <c r="BJ63" s="203">
        <v>8549</v>
      </c>
      <c r="BK63" s="203">
        <v>5288</v>
      </c>
      <c r="BL63" s="203">
        <v>6969</v>
      </c>
      <c r="BM63" s="203">
        <v>7220</v>
      </c>
      <c r="BN63" s="203">
        <v>8626</v>
      </c>
      <c r="BO63" s="203">
        <v>8365</v>
      </c>
      <c r="BP63" s="203">
        <v>8872</v>
      </c>
      <c r="BQ63" s="203">
        <v>8420</v>
      </c>
      <c r="BR63" s="203">
        <v>9473</v>
      </c>
      <c r="BS63" s="203">
        <v>9174</v>
      </c>
      <c r="BT63" s="203">
        <v>5337</v>
      </c>
      <c r="BU63" s="203">
        <v>8418</v>
      </c>
      <c r="BV63" s="203"/>
      <c r="BW63" s="203"/>
      <c r="BX63" s="203"/>
      <c r="BY63" s="203"/>
      <c r="BZ63" s="203">
        <v>1373</v>
      </c>
      <c r="CA63" s="203">
        <v>1164</v>
      </c>
      <c r="CB63" s="203">
        <v>2551</v>
      </c>
      <c r="CC63" s="203">
        <v>8649</v>
      </c>
      <c r="CD63" s="261">
        <v>6.702747316666664</v>
      </c>
      <c r="CE63" s="261">
        <v>6.7837472000000005</v>
      </c>
      <c r="CF63" s="261">
        <v>7.0625859833333262</v>
      </c>
      <c r="CG63" s="261">
        <v>7.0219317500000038</v>
      </c>
      <c r="CH63" s="261">
        <v>0.65230341666666647</v>
      </c>
      <c r="CI63" s="261">
        <v>0.73835403333333371</v>
      </c>
      <c r="CJ63" s="261">
        <v>0.9575759000000007</v>
      </c>
      <c r="CK63" s="261">
        <v>0.86848776666666716</v>
      </c>
      <c r="CL63" s="261">
        <v>30.005157013258927</v>
      </c>
      <c r="CM63" s="261">
        <v>29.21292887029292</v>
      </c>
      <c r="CN63" s="261">
        <v>44.094935799023055</v>
      </c>
      <c r="CO63" s="261">
        <v>42.154635983263624</v>
      </c>
      <c r="CP63" s="261">
        <v>77.974054431263127</v>
      </c>
      <c r="CQ63" s="261">
        <v>78.444602510460413</v>
      </c>
      <c r="CR63" s="261">
        <v>1.9999999999999985E-4</v>
      </c>
      <c r="CS63" s="261">
        <v>0</v>
      </c>
      <c r="CT63" s="261">
        <v>0.62154849965108161</v>
      </c>
      <c r="CU63" s="261">
        <v>0.65169037656903883</v>
      </c>
      <c r="CV63" s="261">
        <v>5.8470000000000004</v>
      </c>
      <c r="CW63" s="261">
        <v>4.7880000000000003</v>
      </c>
      <c r="CX63" s="204">
        <f>IFERROR(AVERAGEIF(RD[[#This Row],[IS1POA1 (KWh/m2)]:[IS7POA2 (KWh/m2)]],"&lt;&gt;0",RD[[#This Row],[IS1POA1 (KWh/m2)]:[IS7POA2 (KWh/m2)]]),"")</f>
        <v>6.7432472583333318</v>
      </c>
      <c r="CY63" s="204">
        <f>IFERROR(AVERAGEIF(RD[[#This Row],[IS1GHI1 (KWh/m2)]:[IS7GHI2 (KWh/m2)]],"&lt;&gt;0",RD[[#This Row],[IS1GHI1 (KWh/m2)]:[IS7GHI2 (KWh/m2)]]),"")</f>
        <v>7.042258866666665</v>
      </c>
      <c r="CZ63" s="204">
        <f>IFERROR(AVERAGEIF(RD[[#This Row],[IS1POA_BS1 (KWh/m2)]:[IS7POA_BS2 (KWh/m2)]],"&lt;&gt;0",RD[[#This Row],[IS1POA_BS1 (KWh/m2)]:[IS7POA_BS2 (KWh/m2)]]),"")</f>
        <v>0.69532872500000009</v>
      </c>
      <c r="DA63" s="204">
        <f>IFERROR(AVERAGEIF(RD[[#This Row],[IS1GHI_BS1 (KWh/m2)]:[IS1GHI_BS1 (KWh/m2)2]],"&lt;&gt;0",RD[[#This Row],[IS1GHI_BS1 (KWh/m2)]:[IS1GHI_BS1 (KWh/m2)2]]),"")</f>
        <v>0.91303183333333393</v>
      </c>
      <c r="DB63" s="204">
        <f>IFERROR(AVERAGEIF(RD[[#This Row],[IS1AT1 (°C)]:[IS7AT2 (°C)]],"&lt;&gt;0",RD[[#This Row],[IS1AT1 (°C)]:[IS7AT2 (°C)]]),"")</f>
        <v>29.609042941775925</v>
      </c>
      <c r="DC63" s="204">
        <f>IFERROR(AVERAGEIF(RD[[#This Row],[IS1MT1 (°C)]:[IS7MT2 (°C)]],"&lt;&gt;0",RD[[#This Row],[IS1MT1 (°C)]:[IS7MT2 (°C)]]),"")</f>
        <v>43.12478589114334</v>
      </c>
      <c r="DD63" s="204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204">
        <f>IFERROR(AVERAGEIF(RD[[#This Row],[WS_Solar1_Avg (m/s)]:[IS7_WS_Solar1_Avg (m/s)]],"&lt;&gt;0",RD[[#This Row],[WS_Solar1_Avg (m/s)]:[IS7_WS_Solar1_Avg (m/s)]]),"")</f>
        <v>0.63661943811006028</v>
      </c>
      <c r="DG63" s="204">
        <f>IFERROR(AVERAGEIF(RD[[#This Row],[WS_Solar1_Max (m/s)]:[IS7_WS_Solar1_Max (m/s)]],"&lt;&gt;0",RD[[#This Row],[WS_Solar1_Max (m/s)]:[IS7_WS_Solar1_Max (m/s)]]),"")</f>
        <v>5.3175000000000008</v>
      </c>
      <c r="DH63" s="204">
        <f>SUM(RD[[#This Row],[IS1Inv1M1]:[IS4Inv4M2]])</f>
        <v>281128.7</v>
      </c>
      <c r="DI63" s="205">
        <f>SUM(RD[[#This Row],[IS7Inv1M1]]+RD[[#This Row],[IS7Inv2M1]])</f>
        <v>16732</v>
      </c>
      <c r="DJ63" s="204">
        <f>SUM(RD[[#This Row],[IS5Inv1M1]:[IS5Inv2M2]])</f>
        <v>41625.600000000006</v>
      </c>
      <c r="DK63" s="204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86">
        <f>SUM(RD[[#This Row],[IS12Inv1M1]:[IS12Inv1M4]])</f>
        <v>34283</v>
      </c>
      <c r="DO63" s="286">
        <f>SUM(RD[[#This Row],[IS13Inv1M1]:[IS13Inv2M2]])</f>
        <v>32402</v>
      </c>
      <c r="DP63" s="204">
        <f>SUM(RD[[#This Row],[O2R15]:[O2R26]])</f>
        <v>627850</v>
      </c>
      <c r="DQ63" s="164">
        <v>41115.300000000003</v>
      </c>
      <c r="DR63" s="168">
        <v>213.8</v>
      </c>
      <c r="DS63" s="164">
        <v>35664.300000000003</v>
      </c>
      <c r="DT63" s="164">
        <v>226.2</v>
      </c>
      <c r="DU63" s="168">
        <v>41619.199999999997</v>
      </c>
      <c r="DV63" s="168">
        <v>405.8</v>
      </c>
      <c r="DW63" s="164">
        <v>9464.2999999999993</v>
      </c>
      <c r="DX63" s="168">
        <v>45.9</v>
      </c>
      <c r="DY63" s="168"/>
      <c r="DZ63" s="168"/>
      <c r="EA63" s="140">
        <v>97.23</v>
      </c>
      <c r="EB63" s="241">
        <v>131205685</v>
      </c>
      <c r="EC63" s="240">
        <v>952748.60800000001</v>
      </c>
      <c r="ED63" s="241">
        <v>1144</v>
      </c>
      <c r="EE63" s="241">
        <v>125482</v>
      </c>
      <c r="EF63" s="164">
        <v>181949</v>
      </c>
      <c r="EG63" s="164">
        <v>1862.3</v>
      </c>
      <c r="EH63" s="146">
        <f>IF((RD[[#This Row],[33 kV_F3_Ex
Incomer1]]-DQ62)*1000&lt;0,0,(RD[[#This Row],[33 kV_F3_Ex
Incomer1]]-DQ62)*1000)</f>
        <v>141300.00000000291</v>
      </c>
      <c r="EI63" s="146">
        <f>IF((RD[[#This Row],[34 kV_F3_Im
Incomer1]]-DR62)*1000&lt;0,0,(RD[[#This Row],[34 kV_F3_Im
Incomer1]]-DR62)*1000)</f>
        <v>400.00000000000568</v>
      </c>
      <c r="EJ63" s="146">
        <f>IF((RD[[#This Row],[33 kV_F4_Ex
Incomer2]]-DS62)*1000&lt;0,0,(RD[[#This Row],[33 kV_F4_Ex
Incomer2]]-DS62)*1000)</f>
        <v>131600.00000000582</v>
      </c>
      <c r="EK63" s="146">
        <f>IF((RD[[#This Row],[34 kV_F4_Im
Incomer2]]-DT62)*1000&lt;0,0,(RD[[#This Row],[34 kV_F4_Im
Incomer2]]-DT62)*1000)</f>
        <v>399.99999999997726</v>
      </c>
      <c r="EL63" s="146">
        <f>IF((RD[[#This Row],[33 kV_F5_Ex
Incomer3]]-DU62)*1000&lt;0,0,(RD[[#This Row],[33 kV_F5_Ex
Incomer3]]-DU62)*1000)</f>
        <v>177500</v>
      </c>
      <c r="EM63" s="146">
        <f>IF((RD[[#This Row],[34 kV_F5_Im
Incomer3]]-DV62)*1000&lt;0,0,(RD[[#This Row],[34 kV_F5_Im
Incomer3]]-DV62)*1000)</f>
        <v>900.00000000003411</v>
      </c>
      <c r="EN63" s="146">
        <f>IF((RD[[#This Row],[33 kV_F6_Ex
Incomer4]]-DW62)*1000&lt;0,0,(RD[[#This Row],[33 kV_F6_Ex
Incomer4]]-DW62)*1000)</f>
        <v>165699.99999999889</v>
      </c>
      <c r="EO63" s="146">
        <f t="shared" si="163"/>
        <v>400.00000000000568</v>
      </c>
      <c r="EP63" s="146">
        <f>IF((RD[[#This Row],[33 kV_F7_Ex
Incomer5]]-DY62)*1000&lt;0,0,(RD[[#This Row],[33 kV_F7_Ex
Incomer5]]-DY62)*1000)</f>
        <v>0</v>
      </c>
      <c r="EQ63" s="146">
        <f>IF((RD[[#This Row],[33 kV_F7_Im
Incomer5]]-DZ62)*1000&lt;0,0,(RD[[#This Row],[33 kV_F7_Im
Incomer5]]-DZ62)*1000)</f>
        <v>0</v>
      </c>
      <c r="ER63" s="146">
        <f>IF((RD[[#This Row],[33 kV_Aux Trafo]]-EA62)*1000&lt;0,0,(RD[[#This Row],[33 kV_Aux Trafo]]-EA62)*1000)</f>
        <v>320.00000000000739</v>
      </c>
      <c r="ES63" s="158">
        <f>IF((RD[[#This Row],[33kV_OG1_Ex_]]-EB62)*1&lt;0,0,(RD[[#This Row],[33kV_OG1_Ex_]]-EB62)*1)</f>
        <v>619889</v>
      </c>
      <c r="ET63" s="146">
        <f>IF((RD[[#This Row],[33kV_OG1_Im]]-EC62)*1&lt;0,0,(RD[[#This Row],[33kV_OG1_Im]]-EC62)*1)</f>
        <v>3590.0799999999581</v>
      </c>
      <c r="EU63" s="146">
        <f>IF((RD[[#This Row],[132kV_TX1_EX]]-ED62)*720&lt;=0,"",(RD[[#This Row],[132kV_TX1_EX]]-ED62)*720)</f>
        <v>2880</v>
      </c>
      <c r="EV63" s="146">
        <f>IF((RD[[#This Row],[132 kV_Tx1_Im]]-EE62)*720&lt;=0,0,(RD[[#This Row],[132 kV_Tx1_Im]]-EE62)*720)</f>
        <v>444240</v>
      </c>
      <c r="EW63" s="146">
        <f>IF((RD[[#This Row],[132kV_L1_Ex]]-EF62)*720&lt;=0,0,(RD[[#This Row],[132kV_L1_Ex]]-EF62)*720)</f>
        <v>617975.99999999162</v>
      </c>
      <c r="EX63" s="146">
        <f>IF((RD[[#This Row],[132kV_L1_Im]]-EG62)*720&lt;=0,0,(RD[[#This Row],[132kV_L1_Im]]-EG62)*720)</f>
        <v>4247.9999999999018</v>
      </c>
      <c r="EY63" s="242">
        <f>IFERROR(RD[[#This Row],[33kV_OG1_Ex (MWh)]]+RD[[#This Row],[33kV_OG1_Im (MWh)]],"")</f>
        <v>623479.07999999996</v>
      </c>
      <c r="EZ63" s="148">
        <f>RD[[#This Row],[33kV_OG1_Ex (MWh)]]-RD[[#This Row],[33kV_OG1_Im (MWh)]]</f>
        <v>616298.92000000004</v>
      </c>
      <c r="FA63" s="148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43">
        <f>IFERROR((RD[[#This Row],[Sunset Time (POA&lt;20 W/m2)]]-RD[[#This Row],[Sunrise Time (POA&gt;20 W/m2)]])*24,0)</f>
        <v>12.266666666666666</v>
      </c>
      <c r="FD63" s="244">
        <v>120.7</v>
      </c>
      <c r="FE63" t="s">
        <v>293</v>
      </c>
      <c r="FG63" s="144" t="str">
        <f>IFERROR(RD[[#This Row],[E_AC (WPR)]]/RD[[#This Row],[E_DC (WPR)]],"")</f>
        <v/>
      </c>
    </row>
    <row r="64" spans="1:163">
      <c r="A64" s="133">
        <f t="shared" si="161"/>
        <v>45804</v>
      </c>
      <c r="B64" s="138">
        <f>YEAR(RD[[#This Row],[Date]])+IF(MONTH(RD[[#This Row],[Date]])&gt;=4,1,0)</f>
        <v>2026</v>
      </c>
      <c r="C64" s="138">
        <f>YEAR(RD[[#This Row],[Date]])</f>
        <v>2025</v>
      </c>
      <c r="D64" s="139">
        <f t="shared" si="164"/>
        <v>45778</v>
      </c>
      <c r="E64" s="138">
        <f>DAY(EOMONTH(RD[[#This Row],[Date]],0))</f>
        <v>31</v>
      </c>
      <c r="F64" s="152">
        <v>0.25347222222222221</v>
      </c>
      <c r="G64" s="162">
        <v>0.77916666666666667</v>
      </c>
      <c r="H64" s="124">
        <v>7756.7</v>
      </c>
      <c r="I64" s="268">
        <v>7652.2</v>
      </c>
      <c r="J64" s="124">
        <v>7181.9</v>
      </c>
      <c r="K64" s="124">
        <v>7249.2</v>
      </c>
      <c r="L64" s="124">
        <v>7468.9</v>
      </c>
      <c r="M64" s="124">
        <v>7737.2</v>
      </c>
      <c r="N64" s="124">
        <v>7493.4</v>
      </c>
      <c r="O64" s="124">
        <v>8306.2999999999993</v>
      </c>
      <c r="P64" s="124">
        <v>7587</v>
      </c>
      <c r="Q64" s="124">
        <v>7362</v>
      </c>
      <c r="R64" s="124">
        <v>7728.5</v>
      </c>
      <c r="S64" s="266">
        <v>7726.5</v>
      </c>
      <c r="T64" s="124">
        <v>8160.1</v>
      </c>
      <c r="U64" s="124">
        <v>7819.2</v>
      </c>
      <c r="V64" s="124">
        <v>7924.1</v>
      </c>
      <c r="W64" s="124">
        <v>7580.6</v>
      </c>
      <c r="X64" s="266">
        <v>10555.1</v>
      </c>
      <c r="Y64" s="203">
        <v>11778.5</v>
      </c>
      <c r="Z64" s="203">
        <v>10262.299999999999</v>
      </c>
      <c r="AA64" s="203">
        <v>10761.6</v>
      </c>
      <c r="AB64" s="266">
        <v>11584.6</v>
      </c>
      <c r="AC64" s="203">
        <v>7075.7</v>
      </c>
      <c r="AD64" s="203">
        <v>10710.1</v>
      </c>
      <c r="AE64" s="203">
        <v>10927.7</v>
      </c>
      <c r="AF64" s="266">
        <v>10670.4</v>
      </c>
      <c r="AG64" s="203">
        <v>10591.4</v>
      </c>
      <c r="AH64" s="203">
        <v>10582.8</v>
      </c>
      <c r="AI64" s="266">
        <v>10647.3</v>
      </c>
      <c r="AJ64" s="203">
        <v>8709.7000000000007</v>
      </c>
      <c r="AK64" s="266">
        <v>8918.9</v>
      </c>
      <c r="AL64" s="203">
        <v>8705.7000000000007</v>
      </c>
      <c r="AM64" s="266">
        <v>8789.2999999999993</v>
      </c>
      <c r="AN64" s="203">
        <v>8732.4</v>
      </c>
      <c r="AO64" s="266">
        <v>9021.5</v>
      </c>
      <c r="AP64" s="203">
        <v>8867.9</v>
      </c>
      <c r="AQ64" s="266">
        <v>8759.2000000000007</v>
      </c>
      <c r="AR64" s="203">
        <v>7113.1</v>
      </c>
      <c r="AS64" s="266">
        <v>7155.9</v>
      </c>
      <c r="AT64" s="203">
        <v>7196.7</v>
      </c>
      <c r="AU64" s="266">
        <v>7165.2</v>
      </c>
      <c r="AV64" s="269">
        <v>7345.6</v>
      </c>
      <c r="AW64" s="203">
        <v>7064</v>
      </c>
      <c r="AX64" s="263">
        <v>10103</v>
      </c>
      <c r="AY64" s="203">
        <v>11377</v>
      </c>
      <c r="AZ64" s="203">
        <v>8152</v>
      </c>
      <c r="BA64" s="203">
        <v>9848</v>
      </c>
      <c r="BB64" s="203">
        <v>10562</v>
      </c>
      <c r="BC64" s="203">
        <v>8834</v>
      </c>
      <c r="BD64" s="203">
        <v>7441</v>
      </c>
      <c r="BE64" s="203">
        <v>9934</v>
      </c>
      <c r="BF64" s="203">
        <v>11221</v>
      </c>
      <c r="BG64" s="203">
        <v>3134</v>
      </c>
      <c r="BH64" s="203">
        <v>0</v>
      </c>
      <c r="BI64" s="203">
        <v>0</v>
      </c>
      <c r="BJ64" s="203">
        <v>6867</v>
      </c>
      <c r="BK64" s="203">
        <v>4774</v>
      </c>
      <c r="BL64" s="203">
        <v>6569</v>
      </c>
      <c r="BM64" s="203">
        <v>6702</v>
      </c>
      <c r="BN64" s="203">
        <v>7533</v>
      </c>
      <c r="BO64" s="203">
        <v>7168</v>
      </c>
      <c r="BP64" s="203">
        <v>7864</v>
      </c>
      <c r="BQ64" s="203">
        <v>7225</v>
      </c>
      <c r="BR64" s="203">
        <v>8023</v>
      </c>
      <c r="BS64" s="203">
        <v>7830</v>
      </c>
      <c r="BT64" s="203">
        <v>6314</v>
      </c>
      <c r="BU64" s="203">
        <v>7785</v>
      </c>
      <c r="BV64" s="203"/>
      <c r="BW64" s="203"/>
      <c r="BX64" s="203"/>
      <c r="BY64" s="203"/>
      <c r="BZ64" s="203">
        <v>1150</v>
      </c>
      <c r="CA64" s="203">
        <v>972</v>
      </c>
      <c r="CB64" s="203">
        <v>4479</v>
      </c>
      <c r="CC64" s="203">
        <v>7416</v>
      </c>
      <c r="CD64" s="261">
        <v>5.6310136166666656</v>
      </c>
      <c r="CE64" s="261">
        <v>5.5477525166666704</v>
      </c>
      <c r="CF64" s="261">
        <v>5.8758837500000016</v>
      </c>
      <c r="CG64" s="261">
        <v>5.6701083333333342</v>
      </c>
      <c r="CH64" s="261">
        <v>0.58254346666666668</v>
      </c>
      <c r="CI64" s="261">
        <v>0.69666298333333221</v>
      </c>
      <c r="CJ64" s="261">
        <v>0.91022528333333452</v>
      </c>
      <c r="CK64" s="261">
        <v>0.76850763333333316</v>
      </c>
      <c r="CL64" s="261">
        <v>29.727699496764924</v>
      </c>
      <c r="CM64" s="261">
        <v>29.641421392677643</v>
      </c>
      <c r="CN64" s="261">
        <v>42.09742343637663</v>
      </c>
      <c r="CO64" s="261">
        <v>39.379972720746558</v>
      </c>
      <c r="CP64" s="261">
        <v>71.276757728253131</v>
      </c>
      <c r="CQ64" s="261">
        <v>72.573625269203234</v>
      </c>
      <c r="CR64" s="261">
        <v>1.2552120776419838E-2</v>
      </c>
      <c r="CS64" s="261">
        <v>1.9727207465900915E-2</v>
      </c>
      <c r="CT64" s="261">
        <v>1.3992077641984193</v>
      </c>
      <c r="CU64" s="261">
        <v>1.4713697056712132</v>
      </c>
      <c r="CV64" s="261">
        <v>4.6769999999999996</v>
      </c>
      <c r="CW64" s="261">
        <v>4.944</v>
      </c>
      <c r="CX64" s="204">
        <f>IFERROR(AVERAGEIF(RD[[#This Row],[IS1POA1 (KWh/m2)]:[IS7POA2 (KWh/m2)]],"&lt;&gt;0",RD[[#This Row],[IS1POA1 (KWh/m2)]:[IS7POA2 (KWh/m2)]]),"")</f>
        <v>5.5893830666666684</v>
      </c>
      <c r="CY64" s="204">
        <f>IFERROR(AVERAGEIF(RD[[#This Row],[IS1GHI1 (KWh/m2)]:[IS7GHI2 (KWh/m2)]],"&lt;&gt;0",RD[[#This Row],[IS1GHI1 (KWh/m2)]:[IS7GHI2 (KWh/m2)]]),"")</f>
        <v>5.7729960416666675</v>
      </c>
      <c r="CZ64" s="204">
        <f>IFERROR(AVERAGEIF(RD[[#This Row],[IS1POA_BS1 (KWh/m2)]:[IS7POA_BS2 (KWh/m2)]],"&lt;&gt;0",RD[[#This Row],[IS1POA_BS1 (KWh/m2)]:[IS7POA_BS2 (KWh/m2)]]),"")</f>
        <v>0.63960322499999944</v>
      </c>
      <c r="DA64" s="204">
        <f>IFERROR(AVERAGEIF(RD[[#This Row],[IS1GHI_BS1 (KWh/m2)]:[IS1GHI_BS1 (KWh/m2)2]],"&lt;&gt;0",RD[[#This Row],[IS1GHI_BS1 (KWh/m2)]:[IS1GHI_BS1 (KWh/m2)2]]),"")</f>
        <v>0.83936645833333379</v>
      </c>
      <c r="DB64" s="204">
        <f>IFERROR(AVERAGEIF(RD[[#This Row],[IS1AT1 (°C)]:[IS7AT2 (°C)]],"&lt;&gt;0",RD[[#This Row],[IS1AT1 (°C)]:[IS7AT2 (°C)]]),"")</f>
        <v>29.684560444721285</v>
      </c>
      <c r="DC64" s="204">
        <f>IFERROR(AVERAGEIF(RD[[#This Row],[IS1MT1 (°C)]:[IS7MT2 (°C)]],"&lt;&gt;0",RD[[#This Row],[IS1MT1 (°C)]:[IS7MT2 (°C)]]),"")</f>
        <v>40.738698078561598</v>
      </c>
      <c r="DD64" s="204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204">
        <f>IFERROR(AVERAGEIF(RD[[#This Row],[WS_Solar1_Avg (m/s)]:[IS7_WS_Solar1_Avg (m/s)]],"&lt;&gt;0",RD[[#This Row],[WS_Solar1_Avg (m/s)]:[IS7_WS_Solar1_Avg (m/s)]]),"")</f>
        <v>1.4352887349348162</v>
      </c>
      <c r="DG64" s="204">
        <f>IFERROR(AVERAGEIF(RD[[#This Row],[WS_Solar1_Max (m/s)]:[IS7_WS_Solar1_Max (m/s)]],"&lt;&gt;0",RD[[#This Row],[WS_Solar1_Max (m/s)]:[IS7_WS_Solar1_Max (m/s)]]),"")</f>
        <v>4.8104999999999993</v>
      </c>
      <c r="DH64" s="204">
        <f>SUM(RD[[#This Row],[IS1Inv1M1]:[IS4Inv4M2]])</f>
        <v>248881.30000000002</v>
      </c>
      <c r="DI64" s="205">
        <f>SUM(RD[[#This Row],[IS7Inv1M1]]+RD[[#This Row],[IS7Inv2M1]])</f>
        <v>14269</v>
      </c>
      <c r="DJ64" s="204">
        <f>SUM(RD[[#This Row],[IS5Inv1M1]:[IS5Inv2M2]])</f>
        <v>35123.599999999999</v>
      </c>
      <c r="DK64" s="204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86">
        <f>SUM(RD[[#This Row],[IS12Inv1M1]:[IS12Inv1M4]])</f>
        <v>29790</v>
      </c>
      <c r="DO64" s="286">
        <f>SUM(RD[[#This Row],[IS13Inv1M1]:[IS13Inv2M2]])</f>
        <v>29952</v>
      </c>
      <c r="DP64" s="204">
        <f>SUM(RD[[#This Row],[O2R15]:[O2R26]])</f>
        <v>551703.4</v>
      </c>
      <c r="DQ64" s="164">
        <v>41240.699999999997</v>
      </c>
      <c r="DR64" s="168">
        <v>213.9</v>
      </c>
      <c r="DS64" s="164">
        <v>35781.599999999999</v>
      </c>
      <c r="DT64" s="164">
        <v>226.5</v>
      </c>
      <c r="DU64" s="168">
        <v>41770.400000000001</v>
      </c>
      <c r="DV64" s="168">
        <v>406.2</v>
      </c>
      <c r="DW64" s="164">
        <v>9610.2999999999993</v>
      </c>
      <c r="DX64" s="168">
        <v>46.5</v>
      </c>
      <c r="DY64" s="168"/>
      <c r="DZ64" s="168"/>
      <c r="EA64" s="140">
        <v>97.47</v>
      </c>
      <c r="EB64" s="241">
        <v>131748265</v>
      </c>
      <c r="EC64" s="240">
        <v>954327.424</v>
      </c>
      <c r="ED64" s="241">
        <v>1146</v>
      </c>
      <c r="EE64" s="241">
        <v>126023</v>
      </c>
      <c r="EF64" s="164">
        <v>182700.2</v>
      </c>
      <c r="EG64" s="164">
        <v>1865</v>
      </c>
      <c r="EH64" s="146">
        <f>IF((RD[[#This Row],[33 kV_F3_Ex
Incomer1]]-DQ63)*1000&lt;0,0,(RD[[#This Row],[33 kV_F3_Ex
Incomer1]]-DQ63)*1000)</f>
        <v>125399.99999999418</v>
      </c>
      <c r="EI64" s="146">
        <f>IF((RD[[#This Row],[34 kV_F3_Im
Incomer1]]-DR63)*1000&lt;0,0,(RD[[#This Row],[34 kV_F3_Im
Incomer1]]-DR63)*1000)</f>
        <v>99.999999999994316</v>
      </c>
      <c r="EJ64" s="146">
        <f>IF((RD[[#This Row],[33 kV_F4_Ex
Incomer2]]-DS63)*1000&lt;0,0,(RD[[#This Row],[33 kV_F4_Ex
Incomer2]]-DS63)*1000)</f>
        <v>117299.99999999563</v>
      </c>
      <c r="EK64" s="146">
        <f>IF((RD[[#This Row],[34 kV_F4_Im
Incomer2]]-DT63)*1000&lt;0,0,(RD[[#This Row],[34 kV_F4_Im
Incomer2]]-DT63)*1000)</f>
        <v>300.00000000001137</v>
      </c>
      <c r="EL64" s="146">
        <f>IF((RD[[#This Row],[33 kV_F5_Ex
Incomer3]]-DU63)*1000&lt;0,0,(RD[[#This Row],[33 kV_F5_Ex
Incomer3]]-DU63)*1000)</f>
        <v>151200.00000000437</v>
      </c>
      <c r="EM64" s="146">
        <f>IF((RD[[#This Row],[34 kV_F5_Im
Incomer3]]-DV63)*1000&lt;0,0,(RD[[#This Row],[34 kV_F5_Im
Incomer3]]-DV63)*1000)</f>
        <v>399.99999999997726</v>
      </c>
      <c r="EN64" s="146">
        <f>IF((RD[[#This Row],[33 kV_F6_Ex
Incomer4]]-DW63)*1000&lt;0,0,(RD[[#This Row],[33 kV_F6_Ex
Incomer4]]-DW63)*1000)</f>
        <v>146000</v>
      </c>
      <c r="EO64" s="146">
        <f t="shared" si="163"/>
        <v>400.00000000000568</v>
      </c>
      <c r="EP64" s="146">
        <f>IF((RD[[#This Row],[33 kV_F7_Ex
Incomer5]]-DY63)*1000&lt;0,0,(RD[[#This Row],[33 kV_F7_Ex
Incomer5]]-DY63)*1000)</f>
        <v>0</v>
      </c>
      <c r="EQ64" s="146">
        <f>IF((RD[[#This Row],[33 kV_F7_Im
Incomer5]]-DZ63)*1000&lt;0,0,(RD[[#This Row],[33 kV_F7_Im
Incomer5]]-DZ63)*1000)</f>
        <v>0</v>
      </c>
      <c r="ER64" s="146">
        <f>IF((RD[[#This Row],[33 kV_Aux Trafo]]-EA63)*1000&lt;0,0,(RD[[#This Row],[33 kV_Aux Trafo]]-EA63)*1000)</f>
        <v>239.99999999999488</v>
      </c>
      <c r="ES64" s="158">
        <f>IF((RD[[#This Row],[33kV_OG1_Ex_]]-EB63)*1&lt;0,0,(RD[[#This Row],[33kV_OG1_Ex_]]-EB63)*1)</f>
        <v>542580</v>
      </c>
      <c r="ET64" s="146">
        <f>IF((RD[[#This Row],[33kV_OG1_Im]]-EC63)*1&lt;0,0,(RD[[#This Row],[33kV_OG1_Im]]-EC63)*1)</f>
        <v>1578.8159999999916</v>
      </c>
      <c r="EU64" s="146">
        <f>IF((RD[[#This Row],[132kV_TX1_EX]]-ED63)*720&lt;=0,"",(RD[[#This Row],[132kV_TX1_EX]]-ED63)*720)</f>
        <v>1440</v>
      </c>
      <c r="EV64" s="146">
        <f>IF((RD[[#This Row],[132 kV_Tx1_Im]]-EE63)*720&lt;=0,0,(RD[[#This Row],[132 kV_Tx1_Im]]-EE63)*720)</f>
        <v>389520</v>
      </c>
      <c r="EW64" s="146">
        <f>IF((RD[[#This Row],[132kV_L1_Ex]]-EF63)*720&lt;=0,0,(RD[[#This Row],[132kV_L1_Ex]]-EF63)*720)</f>
        <v>540864.00000000838</v>
      </c>
      <c r="EX64" s="146">
        <f>IF((RD[[#This Row],[132kV_L1_Im]]-EG63)*720&lt;=0,0,(RD[[#This Row],[132kV_L1_Im]]-EG63)*720)</f>
        <v>1944.0000000000327</v>
      </c>
      <c r="EY64" s="242">
        <f>IFERROR(RD[[#This Row],[33kV_OG1_Ex (MWh)]]+RD[[#This Row],[33kV_OG1_Im (MWh)]],"")</f>
        <v>544158.81599999999</v>
      </c>
      <c r="EZ64" s="148">
        <f>RD[[#This Row],[33kV_OG1_Ex (MWh)]]-RD[[#This Row],[33kV_OG1_Im (MWh)]]</f>
        <v>541001.18400000001</v>
      </c>
      <c r="FA64" s="148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43">
        <f>IFERROR((RD[[#This Row],[Sunset Time (POA&lt;20 W/m2)]]-RD[[#This Row],[Sunrise Time (POA&gt;20 W/m2)]])*24,0)</f>
        <v>12.616666666666667</v>
      </c>
      <c r="FD64" s="244">
        <v>120.7</v>
      </c>
      <c r="FE64" t="s">
        <v>284</v>
      </c>
      <c r="FG64" s="144" t="str">
        <f>IFERROR(RD[[#This Row],[E_AC (WPR)]]/RD[[#This Row],[E_DC (WPR)]],"")</f>
        <v/>
      </c>
    </row>
    <row r="65" spans="1:163">
      <c r="A65" s="133">
        <f t="shared" si="161"/>
        <v>45805</v>
      </c>
      <c r="B65" s="138">
        <f>YEAR(RD[[#This Row],[Date]])+IF(MONTH(RD[[#This Row],[Date]])&gt;=4,1,0)</f>
        <v>2026</v>
      </c>
      <c r="C65" s="138">
        <f>YEAR(RD[[#This Row],[Date]])</f>
        <v>2025</v>
      </c>
      <c r="D65" s="139">
        <f t="shared" si="164"/>
        <v>45778</v>
      </c>
      <c r="E65" s="138">
        <f>DAY(EOMONTH(RD[[#This Row],[Date]],0))</f>
        <v>31</v>
      </c>
      <c r="F65" s="152">
        <v>0.27638888888888891</v>
      </c>
      <c r="G65" s="162">
        <v>0.75277777777777777</v>
      </c>
      <c r="H65" s="124">
        <v>3850.1</v>
      </c>
      <c r="I65" s="268">
        <v>3805.3</v>
      </c>
      <c r="J65" s="124">
        <v>3572.9</v>
      </c>
      <c r="K65" s="124">
        <v>3636.8</v>
      </c>
      <c r="L65" s="124">
        <v>3758.5</v>
      </c>
      <c r="M65" s="124">
        <v>3867.1</v>
      </c>
      <c r="N65" s="124">
        <v>3730.5</v>
      </c>
      <c r="O65" s="124">
        <v>4131.6000000000004</v>
      </c>
      <c r="P65" s="124">
        <v>3826.9</v>
      </c>
      <c r="Q65" s="124">
        <v>3735.2</v>
      </c>
      <c r="R65" s="124">
        <v>3890.4</v>
      </c>
      <c r="S65" s="266">
        <v>3882.4</v>
      </c>
      <c r="T65" s="124">
        <v>4051</v>
      </c>
      <c r="U65" s="124">
        <v>3927.4</v>
      </c>
      <c r="V65" s="124">
        <v>3964.4</v>
      </c>
      <c r="W65" s="124">
        <v>3752.6</v>
      </c>
      <c r="X65" s="266">
        <v>5368.1</v>
      </c>
      <c r="Y65" s="203">
        <v>6123.1</v>
      </c>
      <c r="Z65" s="203">
        <v>5177.8</v>
      </c>
      <c r="AA65" s="203">
        <v>5428.3</v>
      </c>
      <c r="AB65" s="266">
        <v>5278.1</v>
      </c>
      <c r="AC65" s="203">
        <v>3621.7</v>
      </c>
      <c r="AD65" s="203">
        <v>5508.4</v>
      </c>
      <c r="AE65" s="203">
        <v>5619.6</v>
      </c>
      <c r="AF65" s="266">
        <v>5498.8</v>
      </c>
      <c r="AG65" s="203">
        <v>5462.4</v>
      </c>
      <c r="AH65" s="203">
        <v>5449.7</v>
      </c>
      <c r="AI65" s="266">
        <v>5490.3</v>
      </c>
      <c r="AJ65" s="203">
        <v>4489.8</v>
      </c>
      <c r="AK65" s="266">
        <v>4607.3999999999996</v>
      </c>
      <c r="AL65" s="203">
        <v>4504.1000000000004</v>
      </c>
      <c r="AM65" s="266">
        <v>4546.3999999999996</v>
      </c>
      <c r="AN65" s="203">
        <v>4503.6000000000004</v>
      </c>
      <c r="AO65" s="266">
        <v>4673</v>
      </c>
      <c r="AP65" s="203">
        <v>4585.2</v>
      </c>
      <c r="AQ65" s="266">
        <v>4539.8999999999996</v>
      </c>
      <c r="AR65" s="203">
        <v>3617.6</v>
      </c>
      <c r="AS65" s="266">
        <v>3644.9</v>
      </c>
      <c r="AT65" s="203">
        <v>3645.6</v>
      </c>
      <c r="AU65" s="266">
        <v>3627</v>
      </c>
      <c r="AV65" s="269">
        <v>3715.1</v>
      </c>
      <c r="AW65" s="203">
        <v>3646</v>
      </c>
      <c r="AX65" s="263">
        <v>5215.8999999999996</v>
      </c>
      <c r="AY65" s="203">
        <v>5877.9</v>
      </c>
      <c r="AZ65" s="203">
        <v>4206.7</v>
      </c>
      <c r="BA65" s="203">
        <v>5128.6000000000004</v>
      </c>
      <c r="BB65" s="203">
        <v>5156</v>
      </c>
      <c r="BC65" s="203">
        <v>4334.3</v>
      </c>
      <c r="BD65" s="203">
        <v>3662.2</v>
      </c>
      <c r="BE65" s="203">
        <v>4874.8</v>
      </c>
      <c r="BF65" s="203">
        <v>5869</v>
      </c>
      <c r="BG65" s="203">
        <v>1567</v>
      </c>
      <c r="BH65" s="203">
        <v>0</v>
      </c>
      <c r="BI65" s="203">
        <v>0</v>
      </c>
      <c r="BJ65" s="203">
        <v>3470.9</v>
      </c>
      <c r="BK65" s="203">
        <v>2394.6</v>
      </c>
      <c r="BL65" s="203">
        <v>3178.4</v>
      </c>
      <c r="BM65" s="203">
        <v>3254.3</v>
      </c>
      <c r="BN65" s="203">
        <v>3649.4</v>
      </c>
      <c r="BO65" s="203">
        <v>3472.5</v>
      </c>
      <c r="BP65" s="203">
        <v>3816.1</v>
      </c>
      <c r="BQ65" s="203">
        <v>3495.7</v>
      </c>
      <c r="BR65" s="203">
        <v>3962.1</v>
      </c>
      <c r="BS65" s="203">
        <v>3886.3</v>
      </c>
      <c r="BT65" s="203">
        <v>3694.2</v>
      </c>
      <c r="BU65" s="203">
        <v>3917.2</v>
      </c>
      <c r="BV65" s="203"/>
      <c r="BW65" s="203"/>
      <c r="BX65" s="203"/>
      <c r="BY65" s="203"/>
      <c r="BZ65" s="203">
        <v>505.6</v>
      </c>
      <c r="CA65" s="203">
        <v>420.9</v>
      </c>
      <c r="CB65" s="203">
        <v>2143.9</v>
      </c>
      <c r="CC65" s="203">
        <v>3603</v>
      </c>
      <c r="CD65" s="261">
        <v>2.6615388666666693</v>
      </c>
      <c r="CE65" s="261">
        <v>2.6957281499999977</v>
      </c>
      <c r="CF65" s="261">
        <v>2.7082277166666655</v>
      </c>
      <c r="CG65" s="261">
        <v>2.6881618499999962</v>
      </c>
      <c r="CH65" s="261">
        <v>0.22399478333333311</v>
      </c>
      <c r="CI65" s="261">
        <v>0.28848265000000001</v>
      </c>
      <c r="CJ65" s="261">
        <v>0.37205835000000032</v>
      </c>
      <c r="CK65" s="261">
        <v>0.31896305000000014</v>
      </c>
      <c r="CL65" s="261">
        <v>26.414406639004127</v>
      </c>
      <c r="CM65" s="261">
        <v>25.814458229942066</v>
      </c>
      <c r="CN65" s="261">
        <v>35.918674688796692</v>
      </c>
      <c r="CO65" s="261">
        <v>33.550726220016514</v>
      </c>
      <c r="CP65" s="261">
        <v>87.353344398340312</v>
      </c>
      <c r="CQ65" s="261">
        <v>87.573879239040522</v>
      </c>
      <c r="CR65" s="261">
        <v>0.14346887966804961</v>
      </c>
      <c r="CS65" s="261">
        <v>0.12893300248138934</v>
      </c>
      <c r="CT65" s="261">
        <v>1.2075684647302907</v>
      </c>
      <c r="CU65" s="261">
        <v>1.2820595533498764</v>
      </c>
      <c r="CV65" s="261">
        <v>3.3809999999999998</v>
      </c>
      <c r="CW65" s="261">
        <v>2.8740000000000001</v>
      </c>
      <c r="CX65" s="204">
        <f>IFERROR(AVERAGEIF(RD[[#This Row],[IS1POA1 (KWh/m2)]:[IS7POA2 (KWh/m2)]],"&lt;&gt;0",RD[[#This Row],[IS1POA1 (KWh/m2)]:[IS7POA2 (KWh/m2)]]),"")</f>
        <v>2.6786335083333332</v>
      </c>
      <c r="CY65" s="204">
        <f>IFERROR(AVERAGEIF(RD[[#This Row],[IS1GHI1 (KWh/m2)]:[IS7GHI2 (KWh/m2)]],"&lt;&gt;0",RD[[#This Row],[IS1GHI1 (KWh/m2)]:[IS7GHI2 (KWh/m2)]]),"")</f>
        <v>2.6981947833333306</v>
      </c>
      <c r="CZ65" s="204">
        <f>IFERROR(AVERAGEIF(RD[[#This Row],[IS1POA_BS1 (KWh/m2)]:[IS7POA_BS2 (KWh/m2)]],"&lt;&gt;0",RD[[#This Row],[IS1POA_BS1 (KWh/m2)]:[IS7POA_BS2 (KWh/m2)]]),"")</f>
        <v>0.25623871666666653</v>
      </c>
      <c r="DA65" s="204">
        <f>IFERROR(AVERAGEIF(RD[[#This Row],[IS1GHI_BS1 (KWh/m2)]:[IS1GHI_BS1 (KWh/m2)2]],"&lt;&gt;0",RD[[#This Row],[IS1GHI_BS1 (KWh/m2)]:[IS1GHI_BS1 (KWh/m2)2]]),"")</f>
        <v>0.34551070000000023</v>
      </c>
      <c r="DB65" s="204">
        <f>IFERROR(AVERAGEIF(RD[[#This Row],[IS1AT1 (°C)]:[IS7AT2 (°C)]],"&lt;&gt;0",RD[[#This Row],[IS1AT1 (°C)]:[IS7AT2 (°C)]]),"")</f>
        <v>26.114432434473095</v>
      </c>
      <c r="DC65" s="204">
        <f>IFERROR(AVERAGEIF(RD[[#This Row],[IS1MT1 (°C)]:[IS7MT2 (°C)]],"&lt;&gt;0",RD[[#This Row],[IS1MT1 (°C)]:[IS7MT2 (°C)]]),"")</f>
        <v>34.734700454406607</v>
      </c>
      <c r="DD65" s="204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204">
        <f>IFERROR(AVERAGEIF(RD[[#This Row],[WS_Solar1_Avg (m/s)]:[IS7_WS_Solar1_Avg (m/s)]],"&lt;&gt;0",RD[[#This Row],[WS_Solar1_Avg (m/s)]:[IS7_WS_Solar1_Avg (m/s)]]),"")</f>
        <v>1.2448140090400837</v>
      </c>
      <c r="DG65" s="204">
        <f>IFERROR(AVERAGEIF(RD[[#This Row],[WS_Solar1_Max (m/s)]:[IS7_WS_Solar1_Max (m/s)]],"&lt;&gt;0",RD[[#This Row],[WS_Solar1_Max (m/s)]:[IS7_WS_Solar1_Max (m/s)]]),"")</f>
        <v>3.1274999999999999</v>
      </c>
      <c r="DH65" s="204">
        <f>SUM(RD[[#This Row],[IS1Inv1M1]:[IS4Inv4M2]])</f>
        <v>125409.40000000001</v>
      </c>
      <c r="DI65" s="205">
        <f>SUM(RD[[#This Row],[IS7Inv1M1]]+RD[[#This Row],[IS7Inv2M1]])</f>
        <v>7262.5</v>
      </c>
      <c r="DJ65" s="204">
        <f>SUM(RD[[#This Row],[IS5Inv1M1]:[IS5Inv2M2]])</f>
        <v>18147.7</v>
      </c>
      <c r="DK65" s="204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86">
        <f>SUM(RD[[#This Row],[IS12Inv1M1]:[IS12Inv1M4]])</f>
        <v>14433.7</v>
      </c>
      <c r="DO65" s="286">
        <f>SUM(RD[[#This Row],[IS13Inv1M1]:[IS13Inv2M2]])</f>
        <v>15459.8</v>
      </c>
      <c r="DP65" s="204">
        <f>SUM(RD[[#This Row],[O2R15]:[O2R26]])</f>
        <v>278512.5</v>
      </c>
      <c r="DQ65" s="164">
        <v>41304.300000000003</v>
      </c>
      <c r="DR65" s="168">
        <v>214.1</v>
      </c>
      <c r="DS65" s="164">
        <v>35842.5</v>
      </c>
      <c r="DT65" s="164">
        <v>226.8</v>
      </c>
      <c r="DU65" s="168">
        <v>41848.800000000003</v>
      </c>
      <c r="DV65" s="168">
        <v>406.8</v>
      </c>
      <c r="DW65" s="164">
        <v>9683.1</v>
      </c>
      <c r="DX65" s="168">
        <v>47.4</v>
      </c>
      <c r="DY65" s="168"/>
      <c r="DZ65" s="168"/>
      <c r="EA65" s="140">
        <v>97.7</v>
      </c>
      <c r="EB65" s="241">
        <v>132024336</v>
      </c>
      <c r="EC65" s="240">
        <v>956550.46400000004</v>
      </c>
      <c r="ED65" s="241">
        <v>1148</v>
      </c>
      <c r="EE65" s="241">
        <v>126298</v>
      </c>
      <c r="EF65" s="164">
        <v>183082.3</v>
      </c>
      <c r="EG65" s="164">
        <v>1868.8</v>
      </c>
      <c r="EH65" s="146">
        <f>IF((RD[[#This Row],[33 kV_F3_Ex
Incomer1]]-DQ64)*1000&lt;0,0,(RD[[#This Row],[33 kV_F3_Ex
Incomer1]]-DQ64)*1000)</f>
        <v>63600.000000005821</v>
      </c>
      <c r="EI65" s="146">
        <f>IF((RD[[#This Row],[34 kV_F3_Im
Incomer1]]-DR64)*1000&lt;0,0,(RD[[#This Row],[34 kV_F3_Im
Incomer1]]-DR64)*1000)</f>
        <v>199.99999999998863</v>
      </c>
      <c r="EJ65" s="146">
        <f>IF((RD[[#This Row],[33 kV_F4_Ex
Incomer2]]-DS64)*1000&lt;0,0,(RD[[#This Row],[33 kV_F4_Ex
Incomer2]]-DS64)*1000)</f>
        <v>60900.000000001455</v>
      </c>
      <c r="EK65" s="146">
        <f>IF((RD[[#This Row],[34 kV_F4_Im
Incomer2]]-DT64)*1000&lt;0,0,(RD[[#This Row],[34 kV_F4_Im
Incomer2]]-DT64)*1000)</f>
        <v>300.00000000001137</v>
      </c>
      <c r="EL65" s="146">
        <f>IF((RD[[#This Row],[33 kV_F5_Ex
Incomer3]]-DU64)*1000&lt;0,0,(RD[[#This Row],[33 kV_F5_Ex
Incomer3]]-DU64)*1000)</f>
        <v>78400.000000001455</v>
      </c>
      <c r="EM65" s="146">
        <f>IF((RD[[#This Row],[34 kV_F5_Im
Incomer3]]-DV64)*1000&lt;0,0,(RD[[#This Row],[34 kV_F5_Im
Incomer3]]-DV64)*1000)</f>
        <v>600.00000000002274</v>
      </c>
      <c r="EN65" s="146">
        <f>IF((RD[[#This Row],[33 kV_F6_Ex
Incomer4]]-DW64)*1000&lt;0,0,(RD[[#This Row],[33 kV_F6_Ex
Incomer4]]-DW64)*1000)</f>
        <v>72800.000000001091</v>
      </c>
      <c r="EO65" s="146">
        <f t="shared" si="163"/>
        <v>300.00000000001137</v>
      </c>
      <c r="EP65" s="146">
        <f>IF((RD[[#This Row],[33 kV_F7_Ex
Incomer5]]-DY64)*1000&lt;0,0,(RD[[#This Row],[33 kV_F7_Ex
Incomer5]]-DY64)*1000)</f>
        <v>0</v>
      </c>
      <c r="EQ65" s="146">
        <f>IF((RD[[#This Row],[33 kV_F7_Im
Incomer5]]-DZ64)*1000&lt;0,0,(RD[[#This Row],[33 kV_F7_Im
Incomer5]]-DZ64)*1000)</f>
        <v>0</v>
      </c>
      <c r="ER65" s="146">
        <f>IF((RD[[#This Row],[33 kV_Aux Trafo]]-EA64)*1000&lt;0,0,(RD[[#This Row],[33 kV_Aux Trafo]]-EA64)*1000)</f>
        <v>230.00000000000398</v>
      </c>
      <c r="ES65" s="158">
        <f>IF((RD[[#This Row],[33kV_OG1_Ex_]]-EB64)*1&lt;0,0,(RD[[#This Row],[33kV_OG1_Ex_]]-EB64)*1)</f>
        <v>276071</v>
      </c>
      <c r="ET65" s="146">
        <f>IF((RD[[#This Row],[33kV_OG1_Im]]-EC64)*1&lt;0,0,(RD[[#This Row],[33kV_OG1_Im]]-EC64)*1)</f>
        <v>2223.0400000000373</v>
      </c>
      <c r="EU65" s="146">
        <f>IF((RD[[#This Row],[132kV_TX1_EX]]-ED64)*720&lt;=0,"",(RD[[#This Row],[132kV_TX1_EX]]-ED64)*720)</f>
        <v>1440</v>
      </c>
      <c r="EV65" s="146">
        <f>IF((RD[[#This Row],[132 kV_Tx1_Im]]-EE64)*720&lt;=0,0,(RD[[#This Row],[132 kV_Tx1_Im]]-EE64)*720)</f>
        <v>198000</v>
      </c>
      <c r="EW65" s="146">
        <f>IF((RD[[#This Row],[132kV_L1_Ex]]-EF64)*720&lt;=0,0,(RD[[#This Row],[132kV_L1_Ex]]-EF64)*720)</f>
        <v>275111.99999998324</v>
      </c>
      <c r="EX65" s="146">
        <f>IF((RD[[#This Row],[132kV_L1_Im]]-EG64)*720&lt;=0,0,(RD[[#This Row],[132kV_L1_Im]]-EG64)*720)</f>
        <v>2735.9999999999673</v>
      </c>
      <c r="EY65" s="242">
        <f>IFERROR(RD[[#This Row],[33kV_OG1_Ex (MWh)]]+RD[[#This Row],[33kV_OG1_Im (MWh)]],"")</f>
        <v>278294.04000000004</v>
      </c>
      <c r="EZ65" s="148">
        <f>RD[[#This Row],[33kV_OG1_Ex (MWh)]]-RD[[#This Row],[33kV_OG1_Im (MWh)]]</f>
        <v>273847.95999999996</v>
      </c>
      <c r="FA65" s="148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43">
        <f>IFERROR((RD[[#This Row],[Sunset Time (POA&lt;20 W/m2)]]-RD[[#This Row],[Sunrise Time (POA&gt;20 W/m2)]])*24,0)</f>
        <v>11.433333333333334</v>
      </c>
      <c r="FD65" s="244">
        <v>120.7</v>
      </c>
      <c r="FE65" t="s">
        <v>281</v>
      </c>
      <c r="FG65" s="144" t="str">
        <f>IFERROR(RD[[#This Row],[E_AC (WPR)]]/RD[[#This Row],[E_DC (WPR)]],"")</f>
        <v/>
      </c>
    </row>
    <row r="66" spans="1:163">
      <c r="A66" s="133">
        <f t="shared" si="161"/>
        <v>45806</v>
      </c>
      <c r="B66" s="138">
        <f>YEAR(RD[[#This Row],[Date]])+IF(MONTH(RD[[#This Row],[Date]])&gt;=4,1,0)</f>
        <v>2026</v>
      </c>
      <c r="C66" s="138">
        <f>YEAR(RD[[#This Row],[Date]])</f>
        <v>2025</v>
      </c>
      <c r="D66" s="139">
        <f t="shared" si="164"/>
        <v>45778</v>
      </c>
      <c r="E66" s="138">
        <f>DAY(EOMONTH(RD[[#This Row],[Date]],0))</f>
        <v>31</v>
      </c>
      <c r="F66" s="152">
        <v>0.2638888888888889</v>
      </c>
      <c r="G66" s="162">
        <v>0.78263888888888888</v>
      </c>
      <c r="H66" s="124">
        <v>7148.8</v>
      </c>
      <c r="I66" s="268">
        <v>7100.8</v>
      </c>
      <c r="J66" s="124">
        <v>6770.9</v>
      </c>
      <c r="K66" s="124">
        <v>6893.5</v>
      </c>
      <c r="L66" s="124">
        <v>7066.2</v>
      </c>
      <c r="M66" s="124">
        <v>7237.1</v>
      </c>
      <c r="N66" s="124">
        <v>7047.4</v>
      </c>
      <c r="O66" s="124">
        <v>7547.7</v>
      </c>
      <c r="P66" s="124">
        <v>7160.1</v>
      </c>
      <c r="Q66" s="124">
        <v>6986.8</v>
      </c>
      <c r="R66" s="124">
        <v>7218.6</v>
      </c>
      <c r="S66" s="266">
        <v>7195.6</v>
      </c>
      <c r="T66" s="124">
        <v>7536.9</v>
      </c>
      <c r="U66" s="124">
        <v>7359.6</v>
      </c>
      <c r="V66" s="124">
        <v>7376.8</v>
      </c>
      <c r="W66" s="124">
        <v>7063.9</v>
      </c>
      <c r="X66" s="266">
        <v>9906.1</v>
      </c>
      <c r="Y66" s="203">
        <v>10854.5</v>
      </c>
      <c r="Z66" s="203">
        <v>9614.2000000000007</v>
      </c>
      <c r="AA66" s="203">
        <v>9975.4</v>
      </c>
      <c r="AB66" s="266">
        <v>10487.6</v>
      </c>
      <c r="AC66" s="203">
        <v>6733.2</v>
      </c>
      <c r="AD66" s="203">
        <v>10190.799999999999</v>
      </c>
      <c r="AE66" s="203">
        <v>10386.9</v>
      </c>
      <c r="AF66" s="266">
        <v>10185.4</v>
      </c>
      <c r="AG66" s="203">
        <v>10133.4</v>
      </c>
      <c r="AH66" s="203">
        <v>10119</v>
      </c>
      <c r="AI66" s="266">
        <v>10186.1</v>
      </c>
      <c r="AJ66" s="203">
        <v>8381.7000000000007</v>
      </c>
      <c r="AK66" s="266">
        <v>8629.7999999999993</v>
      </c>
      <c r="AL66" s="203">
        <v>8484.7000000000007</v>
      </c>
      <c r="AM66" s="266">
        <v>8544.2999999999993</v>
      </c>
      <c r="AN66" s="203">
        <v>8464.7000000000007</v>
      </c>
      <c r="AO66" s="266">
        <v>8776.7000000000007</v>
      </c>
      <c r="AP66" s="203">
        <v>8589.2000000000007</v>
      </c>
      <c r="AQ66" s="266">
        <v>8505.7999999999993</v>
      </c>
      <c r="AR66" s="203">
        <v>6945.2</v>
      </c>
      <c r="AS66" s="266">
        <v>7008.4</v>
      </c>
      <c r="AT66" s="203">
        <v>7010.8</v>
      </c>
      <c r="AU66" s="266">
        <v>6971.1</v>
      </c>
      <c r="AV66" s="269">
        <v>7155.7</v>
      </c>
      <c r="AW66" s="203">
        <v>7061</v>
      </c>
      <c r="AX66" s="263">
        <v>9740.2000000000007</v>
      </c>
      <c r="AY66" s="203">
        <v>10774.1</v>
      </c>
      <c r="AZ66" s="203">
        <v>7945.6</v>
      </c>
      <c r="BA66" s="203">
        <v>9633.4</v>
      </c>
      <c r="BB66" s="203">
        <v>10764</v>
      </c>
      <c r="BC66" s="203">
        <v>8939</v>
      </c>
      <c r="BD66" s="203">
        <v>6714.1</v>
      </c>
      <c r="BE66" s="203">
        <v>8891.2999999999993</v>
      </c>
      <c r="BF66" s="203">
        <v>9328</v>
      </c>
      <c r="BG66" s="203">
        <v>2202.6999999999998</v>
      </c>
      <c r="BH66" s="203">
        <v>0</v>
      </c>
      <c r="BI66" s="203">
        <v>0</v>
      </c>
      <c r="BJ66" s="203">
        <v>6204.1</v>
      </c>
      <c r="BK66" s="203">
        <v>4297.2</v>
      </c>
      <c r="BL66" s="203">
        <v>5628.8</v>
      </c>
      <c r="BM66" s="203">
        <v>5852.7</v>
      </c>
      <c r="BN66" s="203">
        <v>6333.4</v>
      </c>
      <c r="BO66" s="203">
        <v>6145.7</v>
      </c>
      <c r="BP66" s="203">
        <v>6546.3</v>
      </c>
      <c r="BQ66" s="203">
        <v>6556.6</v>
      </c>
      <c r="BR66" s="203">
        <v>7001.6</v>
      </c>
      <c r="BS66" s="203">
        <v>6810.7</v>
      </c>
      <c r="BT66" s="203">
        <v>7103.9</v>
      </c>
      <c r="BU66" s="203">
        <v>6962.5</v>
      </c>
      <c r="BV66" s="203"/>
      <c r="BW66" s="203"/>
      <c r="BX66" s="203"/>
      <c r="BY66" s="203"/>
      <c r="BZ66" s="203">
        <v>955.9</v>
      </c>
      <c r="CA66" s="203">
        <v>808</v>
      </c>
      <c r="CB66" s="203">
        <v>3809.4</v>
      </c>
      <c r="CC66" s="203">
        <v>6337</v>
      </c>
      <c r="CD66" s="261">
        <v>5.3235478999999915</v>
      </c>
      <c r="CE66" s="261">
        <v>5.4611858333333281</v>
      </c>
      <c r="CF66" s="261">
        <v>5.5170201833333241</v>
      </c>
      <c r="CG66" s="261">
        <v>5.5506481333333424</v>
      </c>
      <c r="CH66" s="261">
        <v>0.51712624999999968</v>
      </c>
      <c r="CI66" s="261">
        <v>0.66307354999999912</v>
      </c>
      <c r="CJ66" s="261">
        <v>0.81977708333333354</v>
      </c>
      <c r="CK66" s="261">
        <v>0.72870169999999945</v>
      </c>
      <c r="CL66" s="261">
        <v>30.046959737058359</v>
      </c>
      <c r="CM66" s="261">
        <v>29.942999999999998</v>
      </c>
      <c r="CN66" s="261">
        <v>43.790342645850437</v>
      </c>
      <c r="CO66" s="261">
        <v>41.069666393442574</v>
      </c>
      <c r="CP66" s="261">
        <v>73.678077239112753</v>
      </c>
      <c r="CQ66" s="261">
        <v>75.063786885246017</v>
      </c>
      <c r="CR66" s="261">
        <v>0</v>
      </c>
      <c r="CS66" s="261">
        <v>1.9672131147540971E-2</v>
      </c>
      <c r="CT66" s="261">
        <v>1.4556064092029568</v>
      </c>
      <c r="CU66" s="261">
        <v>1.531802459016393</v>
      </c>
      <c r="CV66" s="261">
        <v>3.105</v>
      </c>
      <c r="CW66" s="261">
        <v>3.516</v>
      </c>
      <c r="CX66" s="204">
        <f>IFERROR(AVERAGEIF(RD[[#This Row],[IS1POA1 (KWh/m2)]:[IS7POA2 (KWh/m2)]],"&lt;&gt;0",RD[[#This Row],[IS1POA1 (KWh/m2)]:[IS7POA2 (KWh/m2)]]),"")</f>
        <v>5.3923668666666593</v>
      </c>
      <c r="CY66" s="204">
        <f>IFERROR(AVERAGEIF(RD[[#This Row],[IS1GHI1 (KWh/m2)]:[IS7GHI2 (KWh/m2)]],"&lt;&gt;0",RD[[#This Row],[IS1GHI1 (KWh/m2)]:[IS7GHI2 (KWh/m2)]]),"")</f>
        <v>5.5338341583333328</v>
      </c>
      <c r="CZ66" s="204">
        <f>IFERROR(AVERAGEIF(RD[[#This Row],[IS1POA_BS1 (KWh/m2)]:[IS7POA_BS2 (KWh/m2)]],"&lt;&gt;0",RD[[#This Row],[IS1POA_BS1 (KWh/m2)]:[IS7POA_BS2 (KWh/m2)]]),"")</f>
        <v>0.59009989999999934</v>
      </c>
      <c r="DA66" s="204">
        <f>IFERROR(AVERAGEIF(RD[[#This Row],[IS1GHI_BS1 (KWh/m2)]:[IS1GHI_BS1 (KWh/m2)2]],"&lt;&gt;0",RD[[#This Row],[IS1GHI_BS1 (KWh/m2)]:[IS1GHI_BS1 (KWh/m2)2]]),"")</f>
        <v>0.77423939166666655</v>
      </c>
      <c r="DB66" s="204">
        <f>IFERROR(AVERAGEIF(RD[[#This Row],[IS1AT1 (°C)]:[IS7AT2 (°C)]],"&lt;&gt;0",RD[[#This Row],[IS1AT1 (°C)]:[IS7AT2 (°C)]]),"")</f>
        <v>29.994979868529178</v>
      </c>
      <c r="DC66" s="204">
        <f>IFERROR(AVERAGEIF(RD[[#This Row],[IS1MT1 (°C)]:[IS7MT2 (°C)]],"&lt;&gt;0",RD[[#This Row],[IS1MT1 (°C)]:[IS7MT2 (°C)]]),"")</f>
        <v>42.430004519646502</v>
      </c>
      <c r="DD66" s="204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204">
        <f>IFERROR(AVERAGEIF(RD[[#This Row],[WS_Solar1_Avg (m/s)]:[IS7_WS_Solar1_Avg (m/s)]],"&lt;&gt;0",RD[[#This Row],[WS_Solar1_Avg (m/s)]:[IS7_WS_Solar1_Avg (m/s)]]),"")</f>
        <v>1.493704434109675</v>
      </c>
      <c r="DG66" s="204">
        <f>IFERROR(AVERAGEIF(RD[[#This Row],[WS_Solar1_Max (m/s)]:[IS7_WS_Solar1_Max (m/s)]],"&lt;&gt;0",RD[[#This Row],[WS_Solar1_Max (m/s)]:[IS7_WS_Solar1_Max (m/s)]]),"")</f>
        <v>3.3105000000000002</v>
      </c>
      <c r="DH66" s="204">
        <f>SUM(RD[[#This Row],[IS1Inv1M1]:[IS4Inv4M2]])</f>
        <v>233483.3</v>
      </c>
      <c r="DI66" s="205">
        <f>SUM(RD[[#This Row],[IS7Inv1M1]]+RD[[#This Row],[IS7Inv2M1]])</f>
        <v>13953.599999999999</v>
      </c>
      <c r="DJ66" s="204">
        <f>SUM(RD[[#This Row],[IS5Inv1M1]:[IS5Inv2M2]])</f>
        <v>34040.5</v>
      </c>
      <c r="DK66" s="204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86">
        <f>SUM(RD[[#This Row],[IS12Inv1M1]:[IS12Inv1M4]])</f>
        <v>25582</v>
      </c>
      <c r="DO66" s="286">
        <f>SUM(RD[[#This Row],[IS13Inv1M1]:[IS13Inv2M2]])</f>
        <v>27878.699999999997</v>
      </c>
      <c r="DP66" s="204">
        <f>SUM(RD[[#This Row],[O2R15]:[O2R26]])</f>
        <v>516298.60000000003</v>
      </c>
      <c r="DQ66" s="164">
        <v>41422.300000000003</v>
      </c>
      <c r="DR66" s="168">
        <v>214.5</v>
      </c>
      <c r="DS66" s="164">
        <v>35953</v>
      </c>
      <c r="DT66" s="164">
        <v>227.1</v>
      </c>
      <c r="DU66" s="168">
        <v>41995.6</v>
      </c>
      <c r="DV66" s="168">
        <v>407.4</v>
      </c>
      <c r="DW66" s="164">
        <v>9812.7999999999993</v>
      </c>
      <c r="DX66" s="168">
        <v>48.2</v>
      </c>
      <c r="DY66" s="168"/>
      <c r="DZ66" s="168"/>
      <c r="EA66" s="140">
        <v>97.97</v>
      </c>
      <c r="EB66" s="241">
        <v>132531183</v>
      </c>
      <c r="EC66" s="240">
        <v>958852.16</v>
      </c>
      <c r="ED66" s="241">
        <v>1151</v>
      </c>
      <c r="EE66" s="241">
        <v>126803</v>
      </c>
      <c r="EF66" s="164">
        <v>183784.1</v>
      </c>
      <c r="EG66" s="164">
        <v>1872.7</v>
      </c>
      <c r="EH66" s="146">
        <f>IF((RD[[#This Row],[33 kV_F3_Ex
Incomer1]]-DQ65)*1000&lt;0,0,(RD[[#This Row],[33 kV_F3_Ex
Incomer1]]-DQ65)*1000)</f>
        <v>118000</v>
      </c>
      <c r="EI66" s="146">
        <f>IF((RD[[#This Row],[34 kV_F3_Im
Incomer1]]-DR65)*1000&lt;0,0,(RD[[#This Row],[34 kV_F3_Im
Incomer1]]-DR65)*1000)</f>
        <v>400.00000000000568</v>
      </c>
      <c r="EJ66" s="146">
        <f>IF((RD[[#This Row],[33 kV_F4_Ex
Incomer2]]-DS65)*1000&lt;0,0,(RD[[#This Row],[33 kV_F4_Ex
Incomer2]]-DS65)*1000)</f>
        <v>110500</v>
      </c>
      <c r="EK66" s="146">
        <f>IF((RD[[#This Row],[34 kV_F4_Im
Incomer2]]-DT65)*1000&lt;0,0,(RD[[#This Row],[34 kV_F4_Im
Incomer2]]-DT65)*1000)</f>
        <v>299.99999999998295</v>
      </c>
      <c r="EL66" s="146">
        <f>IF((RD[[#This Row],[33 kV_F5_Ex
Incomer3]]-DU65)*1000&lt;0,0,(RD[[#This Row],[33 kV_F5_Ex
Incomer3]]-DU65)*1000)</f>
        <v>146799.99999999563</v>
      </c>
      <c r="EM66" s="146">
        <f>IF((RD[[#This Row],[34 kV_F5_Im
Incomer3]]-DV65)*1000&lt;0,0,(RD[[#This Row],[34 kV_F5_Im
Incomer3]]-DV65)*1000)</f>
        <v>599.99999999996589</v>
      </c>
      <c r="EN66" s="146">
        <f>IF((RD[[#This Row],[33 kV_F6_Ex
Incomer4]]-DW65)*1000&lt;0,0,(RD[[#This Row],[33 kV_F6_Ex
Incomer4]]-DW65)*1000)</f>
        <v>129699.99999999891</v>
      </c>
      <c r="EO66" s="146">
        <f t="shared" si="163"/>
        <v>399.99999999997726</v>
      </c>
      <c r="EP66" s="146">
        <f>IF((RD[[#This Row],[33 kV_F7_Ex
Incomer5]]-DY65)*1000&lt;0,0,(RD[[#This Row],[33 kV_F7_Ex
Incomer5]]-DY65)*1000)</f>
        <v>0</v>
      </c>
      <c r="EQ66" s="146">
        <f>IF((RD[[#This Row],[33 kV_F7_Im
Incomer5]]-DZ65)*1000&lt;0,0,(RD[[#This Row],[33 kV_F7_Im
Incomer5]]-DZ65)*1000)</f>
        <v>0</v>
      </c>
      <c r="ER66" s="146">
        <f>IF((RD[[#This Row],[33 kV_Aux Trafo]]-EA65)*1000&lt;0,0,(RD[[#This Row],[33 kV_Aux Trafo]]-EA65)*1000)</f>
        <v>269.99999999999602</v>
      </c>
      <c r="ES66" s="158">
        <f>IF((RD[[#This Row],[33kV_OG1_Ex_]]-EB65)*1&lt;0,0,(RD[[#This Row],[33kV_OG1_Ex_]]-EB65)*1)</f>
        <v>506847</v>
      </c>
      <c r="ET66" s="146">
        <f>IF((RD[[#This Row],[33kV_OG1_Im]]-EC65)*1&lt;0,0,(RD[[#This Row],[33kV_OG1_Im]]-EC65)*1)</f>
        <v>2301.6959999999963</v>
      </c>
      <c r="EU66" s="146">
        <f>IF((RD[[#This Row],[132kV_TX1_EX]]-ED65)*720&lt;=0,"",(RD[[#This Row],[132kV_TX1_EX]]-ED65)*720)</f>
        <v>2160</v>
      </c>
      <c r="EV66" s="146">
        <f>IF((RD[[#This Row],[132 kV_Tx1_Im]]-EE65)*720&lt;=0,0,(RD[[#This Row],[132 kV_Tx1_Im]]-EE65)*720)</f>
        <v>363600</v>
      </c>
      <c r="EW66" s="146">
        <f>IF((RD[[#This Row],[132kV_L1_Ex]]-EF65)*720&lt;=0,0,(RD[[#This Row],[132kV_L1_Ex]]-EF65)*720)</f>
        <v>505296.00000001257</v>
      </c>
      <c r="EX66" s="146">
        <f>IF((RD[[#This Row],[132kV_L1_Im]]-EG65)*720&lt;=0,0,(RD[[#This Row],[132kV_L1_Im]]-EG65)*720)</f>
        <v>2808.0000000000655</v>
      </c>
      <c r="EY66" s="242">
        <f>IFERROR(RD[[#This Row],[33kV_OG1_Ex (MWh)]]+RD[[#This Row],[33kV_OG1_Im (MWh)]],"")</f>
        <v>509148.696</v>
      </c>
      <c r="EZ66" s="148">
        <f>RD[[#This Row],[33kV_OG1_Ex (MWh)]]-RD[[#This Row],[33kV_OG1_Im (MWh)]]</f>
        <v>504545.304</v>
      </c>
      <c r="FA66" s="148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43">
        <f>IFERROR((RD[[#This Row],[Sunset Time (POA&lt;20 W/m2)]]-RD[[#This Row],[Sunrise Time (POA&gt;20 W/m2)]])*24,0)</f>
        <v>12.450000000000001</v>
      </c>
      <c r="FD66" s="244">
        <v>120.7</v>
      </c>
      <c r="FE66" t="s">
        <v>284</v>
      </c>
      <c r="FG66" s="144" t="str">
        <f>IFERROR(RD[[#This Row],[E_AC (WPR)]]/RD[[#This Row],[E_DC (WPR)]],"")</f>
        <v/>
      </c>
    </row>
    <row r="67" spans="1:163">
      <c r="A67" s="133">
        <f t="shared" si="161"/>
        <v>45807</v>
      </c>
      <c r="B67" s="138">
        <f>YEAR(RD[[#This Row],[Date]])+IF(MONTH(RD[[#This Row],[Date]])&gt;=4,1,0)</f>
        <v>2026</v>
      </c>
      <c r="C67" s="138">
        <f>YEAR(RD[[#This Row],[Date]])</f>
        <v>2025</v>
      </c>
      <c r="D67" s="139">
        <f t="shared" si="164"/>
        <v>45778</v>
      </c>
      <c r="E67" s="138">
        <f>DAY(EOMONTH(RD[[#This Row],[Date]],0))</f>
        <v>31</v>
      </c>
      <c r="F67" s="152">
        <v>0.25763888888888886</v>
      </c>
      <c r="G67" s="162">
        <v>0.77430555555555558</v>
      </c>
      <c r="H67" s="124">
        <v>7294.7</v>
      </c>
      <c r="I67" s="268">
        <v>7173.3</v>
      </c>
      <c r="J67" s="124">
        <v>6805.1</v>
      </c>
      <c r="K67" s="124">
        <v>6962.7</v>
      </c>
      <c r="L67" s="124">
        <v>7157.7</v>
      </c>
      <c r="M67" s="124">
        <v>7367.4</v>
      </c>
      <c r="N67" s="124">
        <v>7145.4</v>
      </c>
      <c r="O67" s="124">
        <v>7785.5</v>
      </c>
      <c r="P67" s="124">
        <v>7279</v>
      </c>
      <c r="Q67" s="124">
        <v>7103.5</v>
      </c>
      <c r="R67" s="124">
        <v>7409.9</v>
      </c>
      <c r="S67" s="266">
        <v>7392.4</v>
      </c>
      <c r="T67" s="124">
        <v>7679.7</v>
      </c>
      <c r="U67" s="124">
        <v>7468.7</v>
      </c>
      <c r="V67" s="124">
        <v>7493.8</v>
      </c>
      <c r="W67" s="124">
        <v>7094.4</v>
      </c>
      <c r="X67" s="266">
        <v>9986.1</v>
      </c>
      <c r="Y67" s="203">
        <v>11226.7</v>
      </c>
      <c r="Z67" s="203">
        <v>9644.5</v>
      </c>
      <c r="AA67" s="203">
        <v>10080.1</v>
      </c>
      <c r="AB67" s="266">
        <v>11079.1</v>
      </c>
      <c r="AC67" s="203">
        <v>6782.1</v>
      </c>
      <c r="AD67" s="203">
        <v>10306.4</v>
      </c>
      <c r="AE67" s="203">
        <v>10516</v>
      </c>
      <c r="AF67" s="266">
        <v>10265.700000000001</v>
      </c>
      <c r="AG67" s="203">
        <v>10162.6</v>
      </c>
      <c r="AH67" s="203">
        <v>10234.9</v>
      </c>
      <c r="AI67" s="266">
        <v>10316.1</v>
      </c>
      <c r="AJ67" s="203">
        <v>8415.9</v>
      </c>
      <c r="AK67" s="266">
        <v>8648.2000000000007</v>
      </c>
      <c r="AL67" s="203">
        <v>8476</v>
      </c>
      <c r="AM67" s="266">
        <v>8519.5</v>
      </c>
      <c r="AN67" s="203">
        <v>8507.6</v>
      </c>
      <c r="AO67" s="266">
        <v>8823.4</v>
      </c>
      <c r="AP67" s="203">
        <v>8605.1</v>
      </c>
      <c r="AQ67" s="266">
        <v>8544</v>
      </c>
      <c r="AR67" s="203">
        <v>6988.4</v>
      </c>
      <c r="AS67" s="266">
        <v>7056.7</v>
      </c>
      <c r="AT67" s="203">
        <v>7036</v>
      </c>
      <c r="AU67" s="266">
        <v>6952.5</v>
      </c>
      <c r="AV67" s="269">
        <v>7145.5</v>
      </c>
      <c r="AW67" s="203">
        <v>7078</v>
      </c>
      <c r="AX67" s="263">
        <v>9753.5</v>
      </c>
      <c r="AY67" s="203">
        <v>10885.4</v>
      </c>
      <c r="AZ67" s="203">
        <v>7872.9</v>
      </c>
      <c r="BA67" s="203">
        <v>9602.4</v>
      </c>
      <c r="BB67" s="203">
        <v>9838.4</v>
      </c>
      <c r="BC67" s="203">
        <v>8251.1</v>
      </c>
      <c r="BD67" s="203">
        <v>6939.3</v>
      </c>
      <c r="BE67" s="203">
        <v>9305.6</v>
      </c>
      <c r="BF67" s="203">
        <v>9347</v>
      </c>
      <c r="BG67" s="203">
        <v>2234</v>
      </c>
      <c r="BH67" s="203">
        <v>0</v>
      </c>
      <c r="BI67" s="203">
        <v>0</v>
      </c>
      <c r="BJ67" s="203">
        <v>6619.2</v>
      </c>
      <c r="BK67" s="203">
        <v>4625.8</v>
      </c>
      <c r="BL67" s="203">
        <v>6124.5</v>
      </c>
      <c r="BM67" s="203">
        <v>6253.2</v>
      </c>
      <c r="BN67" s="203">
        <v>6964.7</v>
      </c>
      <c r="BO67" s="203">
        <v>6703.6</v>
      </c>
      <c r="BP67" s="203">
        <v>7219.7</v>
      </c>
      <c r="BQ67" s="203">
        <v>7115</v>
      </c>
      <c r="BR67" s="203">
        <v>7468.4</v>
      </c>
      <c r="BS67" s="203">
        <v>7634.2</v>
      </c>
      <c r="BT67" s="203">
        <v>7578.3</v>
      </c>
      <c r="BU67" s="203">
        <v>7720</v>
      </c>
      <c r="BV67" s="203"/>
      <c r="BW67" s="203"/>
      <c r="BX67" s="203"/>
      <c r="BY67" s="203"/>
      <c r="BZ67" s="203">
        <v>1011.2</v>
      </c>
      <c r="CA67" s="203">
        <v>855.4</v>
      </c>
      <c r="CB67" s="203">
        <v>4014.6</v>
      </c>
      <c r="CC67" s="203">
        <v>6703.2</v>
      </c>
      <c r="CD67" s="261">
        <v>5.330911216666661</v>
      </c>
      <c r="CE67" s="261">
        <v>5.4535110666666657</v>
      </c>
      <c r="CF67" s="261">
        <v>5.5902073500000027</v>
      </c>
      <c r="CG67" s="261">
        <v>5.5915883833333346</v>
      </c>
      <c r="CH67" s="261">
        <v>0.57203045000000086</v>
      </c>
      <c r="CI67" s="261">
        <v>0.70083821666666613</v>
      </c>
      <c r="CJ67" s="261">
        <v>0.89228134999999975</v>
      </c>
      <c r="CK67" s="261">
        <v>0.76178683333333352</v>
      </c>
      <c r="CL67" s="261">
        <v>30.565907421013883</v>
      </c>
      <c r="CM67" s="261">
        <v>30.685205278592367</v>
      </c>
      <c r="CN67" s="261">
        <v>42.308822189566492</v>
      </c>
      <c r="CO67" s="261">
        <v>40.179974340175953</v>
      </c>
      <c r="CP67" s="261">
        <v>66.941623806025021</v>
      </c>
      <c r="CQ67" s="261">
        <v>68.59733137829916</v>
      </c>
      <c r="CR67" s="261">
        <v>0</v>
      </c>
      <c r="CS67" s="261">
        <v>0</v>
      </c>
      <c r="CT67" s="261">
        <v>1.620958853783981</v>
      </c>
      <c r="CU67" s="261">
        <v>1.7127382697947215</v>
      </c>
      <c r="CV67" s="261">
        <v>3.0569999999999999</v>
      </c>
      <c r="CW67" s="261">
        <v>3.492</v>
      </c>
      <c r="CX67" s="204">
        <f>IFERROR(AVERAGEIF(RD[[#This Row],[IS1POA1 (KWh/m2)]:[IS7POA2 (KWh/m2)]],"&lt;&gt;0",RD[[#This Row],[IS1POA1 (KWh/m2)]:[IS7POA2 (KWh/m2)]]),"")</f>
        <v>5.3922111416666638</v>
      </c>
      <c r="CY67" s="204">
        <f>IFERROR(AVERAGEIF(RD[[#This Row],[IS1GHI1 (KWh/m2)]:[IS7GHI2 (KWh/m2)]],"&lt;&gt;0",RD[[#This Row],[IS1GHI1 (KWh/m2)]:[IS7GHI2 (KWh/m2)]]),"")</f>
        <v>5.5908978666666691</v>
      </c>
      <c r="CZ67" s="204">
        <f>IFERROR(AVERAGEIF(RD[[#This Row],[IS1POA_BS1 (KWh/m2)]:[IS7POA_BS2 (KWh/m2)]],"&lt;&gt;0",RD[[#This Row],[IS1POA_BS1 (KWh/m2)]:[IS7POA_BS2 (KWh/m2)]]),"")</f>
        <v>0.63643433333333355</v>
      </c>
      <c r="DA67" s="204">
        <f>IFERROR(AVERAGEIF(RD[[#This Row],[IS1GHI_BS1 (KWh/m2)]:[IS1GHI_BS1 (KWh/m2)2]],"&lt;&gt;0",RD[[#This Row],[IS1GHI_BS1 (KWh/m2)]:[IS1GHI_BS1 (KWh/m2)2]]),"")</f>
        <v>0.82703409166666664</v>
      </c>
      <c r="DB67" s="204">
        <f>IFERROR(AVERAGEIF(RD[[#This Row],[IS1AT1 (°C)]:[IS7AT2 (°C)]],"&lt;&gt;0",RD[[#This Row],[IS1AT1 (°C)]:[IS7AT2 (°C)]]),"")</f>
        <v>30.625556349803126</v>
      </c>
      <c r="DC67" s="204">
        <f>IFERROR(AVERAGEIF(RD[[#This Row],[IS1MT1 (°C)]:[IS7MT2 (°C)]],"&lt;&gt;0",RD[[#This Row],[IS1MT1 (°C)]:[IS7MT2 (°C)]]),"")</f>
        <v>41.244398264871222</v>
      </c>
      <c r="DD67" s="204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204">
        <f>IFERROR(AVERAGEIF(RD[[#This Row],[WS_Solar1_Avg (m/s)]:[IS7_WS_Solar1_Avg (m/s)]],"&lt;&gt;0",RD[[#This Row],[WS_Solar1_Avg (m/s)]:[IS7_WS_Solar1_Avg (m/s)]]),"")</f>
        <v>1.6668485617893514</v>
      </c>
      <c r="DG67" s="204">
        <f>IFERROR(AVERAGEIF(RD[[#This Row],[WS_Solar1_Max (m/s)]:[IS7_WS_Solar1_Max (m/s)]],"&lt;&gt;0",RD[[#This Row],[WS_Solar1_Max (m/s)]:[IS7_WS_Solar1_Max (m/s)]]),"")</f>
        <v>3.2744999999999997</v>
      </c>
      <c r="DH67" s="204">
        <f>SUM(RD[[#This Row],[IS1Inv1M1]:[IS4Inv4M2]])</f>
        <v>237213.50000000003</v>
      </c>
      <c r="DI67" s="205">
        <f>SUM(RD[[#This Row],[IS7Inv1M1]]+RD[[#This Row],[IS7Inv2M1]])</f>
        <v>14045.099999999999</v>
      </c>
      <c r="DJ67" s="204">
        <f>SUM(RD[[#This Row],[IS5Inv1M1]:[IS5Inv2M2]])</f>
        <v>34059.599999999999</v>
      </c>
      <c r="DK67" s="204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86">
        <f>SUM(RD[[#This Row],[IS12Inv1M1]:[IS12Inv1M4]])</f>
        <v>28003</v>
      </c>
      <c r="DO67" s="286">
        <f>SUM(RD[[#This Row],[IS13Inv1M1]:[IS13Inv2M2]])</f>
        <v>30400.899999999998</v>
      </c>
      <c r="DP67" s="204">
        <f>SUM(RD[[#This Row],[O2R15]:[O2R26]])</f>
        <v>526650.9</v>
      </c>
      <c r="DQ67" s="164">
        <v>41542.1</v>
      </c>
      <c r="DR67" s="168">
        <v>214.9</v>
      </c>
      <c r="DS67" s="164">
        <v>36065.599999999999</v>
      </c>
      <c r="DT67" s="164">
        <v>227.5</v>
      </c>
      <c r="DU67" s="168">
        <v>42142.8</v>
      </c>
      <c r="DV67" s="168">
        <v>408.2</v>
      </c>
      <c r="DW67" s="164">
        <v>9951.7999999999993</v>
      </c>
      <c r="DX67" s="168">
        <v>49</v>
      </c>
      <c r="DY67" s="168"/>
      <c r="DZ67" s="168"/>
      <c r="EA67" s="140">
        <v>98.27</v>
      </c>
      <c r="EB67" s="241">
        <v>133051539</v>
      </c>
      <c r="EC67" s="240">
        <v>961587.52</v>
      </c>
      <c r="ED67" s="241">
        <v>1155</v>
      </c>
      <c r="EE67" s="241">
        <v>127321</v>
      </c>
      <c r="EF67" s="164">
        <v>184504.5</v>
      </c>
      <c r="EG67" s="164">
        <v>1877.3</v>
      </c>
      <c r="EH67" s="146">
        <f>IF((RD[[#This Row],[33 kV_F3_Ex
Incomer1]]-DQ66)*1000&lt;0,0,(RD[[#This Row],[33 kV_F3_Ex
Incomer1]]-DQ66)*1000)</f>
        <v>119799.99999999563</v>
      </c>
      <c r="EI67" s="146">
        <f>IF((RD[[#This Row],[34 kV_F3_Im
Incomer1]]-DR66)*1000&lt;0,0,(RD[[#This Row],[34 kV_F3_Im
Incomer1]]-DR66)*1000)</f>
        <v>400.00000000000568</v>
      </c>
      <c r="EJ67" s="146">
        <f>IF((RD[[#This Row],[33 kV_F4_Ex
Incomer2]]-DS66)*1000&lt;0,0,(RD[[#This Row],[33 kV_F4_Ex
Incomer2]]-DS66)*1000)</f>
        <v>112599.99999999854</v>
      </c>
      <c r="EK67" s="146">
        <f>IF((RD[[#This Row],[34 kV_F4_Im
Incomer2]]-DT66)*1000&lt;0,0,(RD[[#This Row],[34 kV_F4_Im
Incomer2]]-DT66)*1000)</f>
        <v>400.00000000000568</v>
      </c>
      <c r="EL67" s="146">
        <f>IF((RD[[#This Row],[33 kV_F5_Ex
Incomer3]]-DU66)*1000&lt;0,0,(RD[[#This Row],[33 kV_F5_Ex
Incomer3]]-DU66)*1000)</f>
        <v>147200.00000000437</v>
      </c>
      <c r="EM67" s="146">
        <f>IF((RD[[#This Row],[34 kV_F5_Im
Incomer3]]-DV66)*1000&lt;0,0,(RD[[#This Row],[34 kV_F5_Im
Incomer3]]-DV66)*1000)</f>
        <v>800.00000000001137</v>
      </c>
      <c r="EN67" s="146">
        <f>IF((RD[[#This Row],[33 kV_F6_Ex
Incomer4]]-DW66)*1000&lt;0,0,(RD[[#This Row],[33 kV_F6_Ex
Incomer4]]-DW66)*1000)</f>
        <v>139000</v>
      </c>
      <c r="EO67" s="146">
        <f t="shared" si="163"/>
        <v>300.00000000001137</v>
      </c>
      <c r="EP67" s="146">
        <f>IF((RD[[#This Row],[33 kV_F7_Ex
Incomer5]]-DY66)*1000&lt;0,0,(RD[[#This Row],[33 kV_F7_Ex
Incomer5]]-DY66)*1000)</f>
        <v>0</v>
      </c>
      <c r="EQ67" s="146">
        <f>IF((RD[[#This Row],[33 kV_F7_Im
Incomer5]]-DZ66)*1000&lt;0,0,(RD[[#This Row],[33 kV_F7_Im
Incomer5]]-DZ66)*1000)</f>
        <v>0</v>
      </c>
      <c r="ER67" s="146">
        <f>IF((RD[[#This Row],[33 kV_Aux Trafo]]-EA66)*1000&lt;0,0,(RD[[#This Row],[33 kV_Aux Trafo]]-EA66)*1000)</f>
        <v>299.99999999999716</v>
      </c>
      <c r="ES67" s="158">
        <f>IF((RD[[#This Row],[33kV_OG1_Ex_]]-EB66)*1&lt;0,0,(RD[[#This Row],[33kV_OG1_Ex_]]-EB66)*1)</f>
        <v>520356</v>
      </c>
      <c r="ET67" s="146">
        <f>IF((RD[[#This Row],[33kV_OG1_Im]]-EC66)*1&lt;0,0,(RD[[#This Row],[33kV_OG1_Im]]-EC66)*1)</f>
        <v>2735.359999999986</v>
      </c>
      <c r="EU67" s="146">
        <f>IF((RD[[#This Row],[132kV_TX1_EX]]-ED66)*720&lt;=0,"",(RD[[#This Row],[132kV_TX1_EX]]-ED66)*720)</f>
        <v>2880</v>
      </c>
      <c r="EV67" s="146">
        <f>IF((RD[[#This Row],[132 kV_Tx1_Im]]-EE66)*720&lt;=0,0,(RD[[#This Row],[132 kV_Tx1_Im]]-EE66)*720)</f>
        <v>372960</v>
      </c>
      <c r="EW67" s="146">
        <f>IF((RD[[#This Row],[132kV_L1_Ex]]-EF66)*720&lt;=0,0,(RD[[#This Row],[132kV_L1_Ex]]-EF66)*720)</f>
        <v>518687.99999999581</v>
      </c>
      <c r="EX67" s="146">
        <f>IF((RD[[#This Row],[132kV_L1_Im]]-EG66)*720&lt;=0,0,(RD[[#This Row],[132kV_L1_Im]]-EG66)*720)</f>
        <v>3311.9999999999345</v>
      </c>
      <c r="EY67" s="242">
        <f>IFERROR(RD[[#This Row],[33kV_OG1_Ex (MWh)]]+RD[[#This Row],[33kV_OG1_Im (MWh)]],"")</f>
        <v>523091.36</v>
      </c>
      <c r="EZ67" s="148">
        <f>RD[[#This Row],[33kV_OG1_Ex (MWh)]]-RD[[#This Row],[33kV_OG1_Im (MWh)]]</f>
        <v>517620.64</v>
      </c>
      <c r="FA67" s="148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43">
        <f>IFERROR((RD[[#This Row],[Sunset Time (POA&lt;20 W/m2)]]-RD[[#This Row],[Sunrise Time (POA&gt;20 W/m2)]])*24,0)</f>
        <v>12.400000000000002</v>
      </c>
      <c r="FD67" s="244">
        <v>120.7</v>
      </c>
      <c r="FE67" t="s">
        <v>293</v>
      </c>
      <c r="FG67" s="144" t="str">
        <f>IFERROR(RD[[#This Row],[E_AC (WPR)]]/RD[[#This Row],[E_DC (WPR)]],"")</f>
        <v/>
      </c>
    </row>
    <row r="68" spans="1:163">
      <c r="A68" s="133">
        <f t="shared" si="161"/>
        <v>45808</v>
      </c>
      <c r="B68" s="138">
        <f>YEAR(RD[[#This Row],[Date]])+IF(MONTH(RD[[#This Row],[Date]])&gt;=4,1,0)</f>
        <v>2026</v>
      </c>
      <c r="C68" s="138">
        <f>YEAR(RD[[#This Row],[Date]])</f>
        <v>2025</v>
      </c>
      <c r="D68" s="139">
        <f t="shared" si="164"/>
        <v>45778</v>
      </c>
      <c r="E68" s="138">
        <f>DAY(EOMONTH(RD[[#This Row],[Date]],0))</f>
        <v>31</v>
      </c>
      <c r="F68" s="152">
        <v>0.24930555555555556</v>
      </c>
      <c r="G68" s="162">
        <v>0.78402777777777777</v>
      </c>
      <c r="H68" s="124">
        <v>9249.1</v>
      </c>
      <c r="I68" s="268">
        <v>9173.6</v>
      </c>
      <c r="J68" s="124">
        <v>8741.2000000000007</v>
      </c>
      <c r="K68" s="124">
        <v>8818.6</v>
      </c>
      <c r="L68" s="124">
        <v>9072</v>
      </c>
      <c r="M68" s="124">
        <v>9302.9</v>
      </c>
      <c r="N68" s="124">
        <v>9080</v>
      </c>
      <c r="O68" s="124">
        <v>9704.7999999999993</v>
      </c>
      <c r="P68" s="124">
        <v>9103.7000000000007</v>
      </c>
      <c r="Q68" s="124">
        <v>8943.7000000000007</v>
      </c>
      <c r="R68" s="124">
        <v>9237.5</v>
      </c>
      <c r="S68" s="266">
        <v>9211.2000000000007</v>
      </c>
      <c r="T68" s="124">
        <v>9551.7000000000007</v>
      </c>
      <c r="U68" s="124">
        <v>9287.1</v>
      </c>
      <c r="V68" s="124">
        <v>9369.1</v>
      </c>
      <c r="W68" s="124">
        <v>9115</v>
      </c>
      <c r="X68" s="266">
        <v>12638.3</v>
      </c>
      <c r="Y68" s="203">
        <v>13551.6</v>
      </c>
      <c r="Z68" s="203">
        <v>12403.7</v>
      </c>
      <c r="AA68" s="203">
        <v>12829.4</v>
      </c>
      <c r="AB68" s="266">
        <v>13639.9</v>
      </c>
      <c r="AC68" s="203">
        <v>8445</v>
      </c>
      <c r="AD68" s="203">
        <v>12908.1</v>
      </c>
      <c r="AE68" s="203">
        <v>13124.8</v>
      </c>
      <c r="AF68" s="266">
        <v>12819.9</v>
      </c>
      <c r="AG68" s="203">
        <v>12746.5</v>
      </c>
      <c r="AH68" s="203">
        <v>12835.6</v>
      </c>
      <c r="AI68" s="266">
        <v>12911.3</v>
      </c>
      <c r="AJ68" s="203">
        <v>10680.5</v>
      </c>
      <c r="AK68" s="266">
        <v>10976.6</v>
      </c>
      <c r="AL68" s="203">
        <v>10784.4</v>
      </c>
      <c r="AM68" s="266">
        <v>10871.4</v>
      </c>
      <c r="AN68" s="203">
        <v>10782.1</v>
      </c>
      <c r="AO68" s="266">
        <v>11157.5</v>
      </c>
      <c r="AP68" s="203">
        <v>10938.8</v>
      </c>
      <c r="AQ68" s="266">
        <v>10821</v>
      </c>
      <c r="AR68" s="203">
        <v>8851.6</v>
      </c>
      <c r="AS68" s="266">
        <v>8913.6</v>
      </c>
      <c r="AT68" s="203">
        <v>8926.7000000000007</v>
      </c>
      <c r="AU68" s="266">
        <v>8871.5</v>
      </c>
      <c r="AV68" s="269">
        <v>9080</v>
      </c>
      <c r="AW68" s="203">
        <v>8968</v>
      </c>
      <c r="AX68" s="263">
        <v>12487.5</v>
      </c>
      <c r="AY68" s="203">
        <v>13797.9</v>
      </c>
      <c r="AZ68" s="203">
        <v>10159.9</v>
      </c>
      <c r="BA68" s="203">
        <v>12263.7</v>
      </c>
      <c r="BB68" s="203">
        <v>12696.8</v>
      </c>
      <c r="BC68" s="203">
        <v>11047.4</v>
      </c>
      <c r="BD68" s="203">
        <v>9121.7000000000007</v>
      </c>
      <c r="BE68" s="203">
        <v>12041.5</v>
      </c>
      <c r="BF68" s="203">
        <v>11320</v>
      </c>
      <c r="BG68" s="203">
        <v>2375</v>
      </c>
      <c r="BH68" s="203">
        <v>255.7</v>
      </c>
      <c r="BI68" s="203">
        <v>241.7</v>
      </c>
      <c r="BJ68" s="203">
        <v>8675.4</v>
      </c>
      <c r="BK68" s="203">
        <v>6106.3</v>
      </c>
      <c r="BL68" s="203">
        <v>8018.1</v>
      </c>
      <c r="BM68" s="203">
        <v>8112.2</v>
      </c>
      <c r="BN68" s="203">
        <v>8816.9</v>
      </c>
      <c r="BO68" s="203">
        <v>8633.1</v>
      </c>
      <c r="BP68" s="203">
        <v>9042.9</v>
      </c>
      <c r="BQ68" s="203">
        <v>9043.1</v>
      </c>
      <c r="BR68" s="203">
        <v>9719.7999999999993</v>
      </c>
      <c r="BS68" s="203">
        <v>9881.5</v>
      </c>
      <c r="BT68" s="203">
        <v>9828.7999999999993</v>
      </c>
      <c r="BU68" s="203">
        <v>10074.799999999999</v>
      </c>
      <c r="BV68" s="203"/>
      <c r="BW68" s="203"/>
      <c r="BX68" s="203"/>
      <c r="BY68" s="203"/>
      <c r="BZ68" s="203">
        <v>1365.9</v>
      </c>
      <c r="CA68" s="203">
        <v>1159.2</v>
      </c>
      <c r="CB68" s="203">
        <v>5280.8</v>
      </c>
      <c r="CC68" s="203">
        <v>8779.6</v>
      </c>
      <c r="CD68" s="261">
        <v>6.9960679499999925</v>
      </c>
      <c r="CE68" s="261">
        <v>7.0286690833333321</v>
      </c>
      <c r="CF68" s="261">
        <v>7.3065271333333328</v>
      </c>
      <c r="CG68" s="261">
        <v>7.2285001833333293</v>
      </c>
      <c r="CH68" s="261">
        <v>0.79905140000000052</v>
      </c>
      <c r="CI68" s="261">
        <v>0.92462298333333259</v>
      </c>
      <c r="CJ68" s="261">
        <v>1.1971333499999988</v>
      </c>
      <c r="CK68" s="261">
        <v>1.0138520333333327</v>
      </c>
      <c r="CL68" s="261">
        <v>31.195616547334879</v>
      </c>
      <c r="CM68" s="261">
        <v>31.343309523809531</v>
      </c>
      <c r="CN68" s="261">
        <v>44.791287191726347</v>
      </c>
      <c r="CO68" s="261">
        <v>42.263429365079325</v>
      </c>
      <c r="CP68" s="261">
        <v>55.48245027844078</v>
      </c>
      <c r="CQ68" s="261">
        <v>56.698825396825356</v>
      </c>
      <c r="CR68" s="261">
        <v>0</v>
      </c>
      <c r="CS68" s="261">
        <v>0</v>
      </c>
      <c r="CT68" s="261">
        <v>1.8219498806682597</v>
      </c>
      <c r="CU68" s="261">
        <v>1.9286833333333349</v>
      </c>
      <c r="CV68" s="261">
        <v>3.6419999999999999</v>
      </c>
      <c r="CW68" s="261">
        <v>4.1130000000000004</v>
      </c>
      <c r="CX68" s="204">
        <f>IFERROR(AVERAGEIF(RD[[#This Row],[IS1POA1 (KWh/m2)]:[IS7POA2 (KWh/m2)]],"&lt;&gt;0",RD[[#This Row],[IS1POA1 (KWh/m2)]:[IS7POA2 (KWh/m2)]]),"")</f>
        <v>7.0123685166666618</v>
      </c>
      <c r="CY68" s="204">
        <f>IFERROR(AVERAGEIF(RD[[#This Row],[IS1GHI1 (KWh/m2)]:[IS7GHI2 (KWh/m2)]],"&lt;&gt;0",RD[[#This Row],[IS1GHI1 (KWh/m2)]:[IS7GHI2 (KWh/m2)]]),"")</f>
        <v>7.2675136583333311</v>
      </c>
      <c r="CZ68" s="204">
        <f>IFERROR(AVERAGEIF(RD[[#This Row],[IS1POA_BS1 (KWh/m2)]:[IS7POA_BS2 (KWh/m2)]],"&lt;&gt;0",RD[[#This Row],[IS1POA_BS1 (KWh/m2)]:[IS7POA_BS2 (KWh/m2)]]),"")</f>
        <v>0.8618371916666665</v>
      </c>
      <c r="DA68" s="204">
        <f>IFERROR(AVERAGEIF(RD[[#This Row],[IS1GHI_BS1 (KWh/m2)]:[IS1GHI_BS1 (KWh/m2)2]],"&lt;&gt;0",RD[[#This Row],[IS1GHI_BS1 (KWh/m2)]:[IS1GHI_BS1 (KWh/m2)2]]),"")</f>
        <v>1.1054926916666656</v>
      </c>
      <c r="DB68" s="204">
        <f>IFERROR(AVERAGEIF(RD[[#This Row],[IS1AT1 (°C)]:[IS7AT2 (°C)]],"&lt;&gt;0",RD[[#This Row],[IS1AT1 (°C)]:[IS7AT2 (°C)]]),"")</f>
        <v>31.269463035572205</v>
      </c>
      <c r="DC68" s="204">
        <f>IFERROR(AVERAGEIF(RD[[#This Row],[IS1MT1 (°C)]:[IS7MT2 (°C)]],"&lt;&gt;0",RD[[#This Row],[IS1MT1 (°C)]:[IS7MT2 (°C)]]),"")</f>
        <v>43.527358278402836</v>
      </c>
      <c r="DD68" s="204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204">
        <f>IFERROR(AVERAGEIF(RD[[#This Row],[WS_Solar1_Avg (m/s)]:[IS7_WS_Solar1_Avg (m/s)]],"&lt;&gt;0",RD[[#This Row],[WS_Solar1_Avg (m/s)]:[IS7_WS_Solar1_Avg (m/s)]]),"")</f>
        <v>1.8753166070007974</v>
      </c>
      <c r="DG68" s="204">
        <f>IFERROR(AVERAGEIF(RD[[#This Row],[WS_Solar1_Max (m/s)]:[IS7_WS_Solar1_Max (m/s)]],"&lt;&gt;0",RD[[#This Row],[WS_Solar1_Max (m/s)]:[IS7_WS_Solar1_Max (m/s)]]),"")</f>
        <v>3.8775000000000004</v>
      </c>
      <c r="DH68" s="204">
        <f>SUM(RD[[#This Row],[IS1Inv1M1]:[IS4Inv4M2]])</f>
        <v>297815.29999999993</v>
      </c>
      <c r="DI68" s="205">
        <f>SUM(RD[[#This Row],[IS7Inv1M1]]+RD[[#This Row],[IS7Inv2M1]])</f>
        <v>17765.2</v>
      </c>
      <c r="DJ68" s="204">
        <f>SUM(RD[[#This Row],[IS5Inv1M1]:[IS5Inv2M2]])</f>
        <v>43312.9</v>
      </c>
      <c r="DK68" s="204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86">
        <f>SUM(RD[[#This Row],[IS12Inv1M1]:[IS12Inv1M4]])</f>
        <v>35536</v>
      </c>
      <c r="DO68" s="286">
        <f>SUM(RD[[#This Row],[IS13Inv1M1]:[IS13Inv2M2]])</f>
        <v>39504.899999999994</v>
      </c>
      <c r="DP68" s="204">
        <f>SUM(RD[[#This Row],[O2R15]:[O2R26]])</f>
        <v>668786.20000000007</v>
      </c>
      <c r="DQ68" s="164">
        <v>41698.800000000003</v>
      </c>
      <c r="DR68" s="168">
        <v>215.1</v>
      </c>
      <c r="DS68" s="164">
        <v>36207.699999999997</v>
      </c>
      <c r="DT68" s="164">
        <v>227.9</v>
      </c>
      <c r="DU68" s="168">
        <v>42329.3</v>
      </c>
      <c r="DV68" s="168">
        <v>408.8</v>
      </c>
      <c r="DW68" s="164">
        <v>10131.700000000001</v>
      </c>
      <c r="DX68" s="168">
        <v>49.5</v>
      </c>
      <c r="DY68" s="168"/>
      <c r="DZ68" s="168"/>
      <c r="EA68" s="140">
        <v>98.53</v>
      </c>
      <c r="EB68" s="241">
        <v>133710921</v>
      </c>
      <c r="EC68" s="240">
        <v>963453.18400000001</v>
      </c>
      <c r="ED68" s="241">
        <v>1157</v>
      </c>
      <c r="EE68" s="241">
        <v>127978</v>
      </c>
      <c r="EF68" s="164">
        <v>185417.2</v>
      </c>
      <c r="EG68" s="164">
        <v>1880.5</v>
      </c>
      <c r="EH68" s="146">
        <f>IF((RD[[#This Row],[33 kV_F3_Ex
Incomer1]]-DQ67)*1000&lt;0,0,(RD[[#This Row],[33 kV_F3_Ex
Incomer1]]-DQ67)*1000)</f>
        <v>156700.00000000437</v>
      </c>
      <c r="EI68" s="146">
        <f>IF((RD[[#This Row],[34 kV_F3_Im
Incomer1]]-DR67)*1000&lt;0,0,(RD[[#This Row],[34 kV_F3_Im
Incomer1]]-DR67)*1000)</f>
        <v>199.99999999998863</v>
      </c>
      <c r="EJ68" s="146">
        <f>IF((RD[[#This Row],[33 kV_F4_Ex
Incomer2]]-DS67)*1000&lt;0,0,(RD[[#This Row],[33 kV_F4_Ex
Incomer2]]-DS67)*1000)</f>
        <v>142099.99999999854</v>
      </c>
      <c r="EK68" s="146">
        <f>IF((RD[[#This Row],[34 kV_F4_Im
Incomer2]]-DT67)*1000&lt;0,0,(RD[[#This Row],[34 kV_F4_Im
Incomer2]]-DT67)*1000)</f>
        <v>400.00000000000568</v>
      </c>
      <c r="EL68" s="146">
        <f>IF((RD[[#This Row],[33 kV_F5_Ex
Incomer3]]-DU67)*1000&lt;0,0,(RD[[#This Row],[33 kV_F5_Ex
Incomer3]]-DU67)*1000)</f>
        <v>186500</v>
      </c>
      <c r="EM68" s="146">
        <f>IF((RD[[#This Row],[34 kV_F5_Im
Incomer3]]-DV67)*1000&lt;0,0,(RD[[#This Row],[34 kV_F5_Im
Incomer3]]-DV67)*1000)</f>
        <v>600.00000000002274</v>
      </c>
      <c r="EN68" s="146">
        <f>IF((RD[[#This Row],[33 kV_F6_Ex
Incomer4]]-DW67)*1000&lt;0,0,(RD[[#This Row],[33 kV_F6_Ex
Incomer4]]-DW67)*1000)</f>
        <v>179900.00000000146</v>
      </c>
      <c r="EO68" s="146">
        <f t="shared" si="163"/>
        <v>300.00000000001137</v>
      </c>
      <c r="EP68" s="146">
        <f>IF((RD[[#This Row],[33 kV_F7_Ex
Incomer5]]-DY67)*1000&lt;0,0,(RD[[#This Row],[33 kV_F7_Ex
Incomer5]]-DY67)*1000)</f>
        <v>0</v>
      </c>
      <c r="EQ68" s="146">
        <f>IF((RD[[#This Row],[33 kV_F7_Im
Incomer5]]-DZ67)*1000&lt;0,0,(RD[[#This Row],[33 kV_F7_Im
Incomer5]]-DZ67)*1000)</f>
        <v>0</v>
      </c>
      <c r="ER68" s="146">
        <f>IF((RD[[#This Row],[33 kV_Aux Trafo]]-EA67)*1000&lt;0,0,(RD[[#This Row],[33 kV_Aux Trafo]]-EA67)*1000)</f>
        <v>260.00000000000512</v>
      </c>
      <c r="ES68" s="158">
        <f>IF((RD[[#This Row],[33kV_OG1_Ex_]]-EB67)*1&lt;0,0,(RD[[#This Row],[33kV_OG1_Ex_]]-EB67)*1)</f>
        <v>659382</v>
      </c>
      <c r="ET68" s="146">
        <f>IF((RD[[#This Row],[33kV_OG1_Im]]-EC67)*1&lt;0,0,(RD[[#This Row],[33kV_OG1_Im]]-EC67)*1)</f>
        <v>1865.6639999999898</v>
      </c>
      <c r="EU68" s="146">
        <f>IF((RD[[#This Row],[132kV_TX1_EX]]-ED67)*720&lt;=0,"",(RD[[#This Row],[132kV_TX1_EX]]-ED67)*720)</f>
        <v>1440</v>
      </c>
      <c r="EV68" s="146">
        <f>IF((RD[[#This Row],[132 kV_Tx1_Im]]-EE67)*720&lt;=0,0,(RD[[#This Row],[132 kV_Tx1_Im]]-EE67)*720)</f>
        <v>473040</v>
      </c>
      <c r="EW68" s="146">
        <f>IF((RD[[#This Row],[132kV_L1_Ex]]-EF67)*720&lt;=0,0,(RD[[#This Row],[132kV_L1_Ex]]-EF67)*720)</f>
        <v>657144.00000000838</v>
      </c>
      <c r="EX68" s="146">
        <f>IF((RD[[#This Row],[132kV_L1_Im]]-EG67)*720&lt;=0,0,(RD[[#This Row],[132kV_L1_Im]]-EG67)*720)</f>
        <v>2304.0000000000327</v>
      </c>
      <c r="EY68" s="242">
        <f>IFERROR(RD[[#This Row],[33kV_OG1_Ex (MWh)]]+RD[[#This Row],[33kV_OG1_Im (MWh)]],"")</f>
        <v>661247.66399999999</v>
      </c>
      <c r="EZ68" s="148">
        <f>RD[[#This Row],[33kV_OG1_Ex (MWh)]]-RD[[#This Row],[33kV_OG1_Im (MWh)]]</f>
        <v>657516.33600000001</v>
      </c>
      <c r="FA68" s="148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43">
        <f>IFERROR((RD[[#This Row],[Sunset Time (POA&lt;20 W/m2)]]-RD[[#This Row],[Sunrise Time (POA&gt;20 W/m2)]])*24,0)</f>
        <v>12.833333333333332</v>
      </c>
      <c r="FD68" s="244">
        <v>120.7</v>
      </c>
      <c r="FE68" t="s">
        <v>294</v>
      </c>
      <c r="FG68" s="144" t="str">
        <f>IFERROR(RD[[#This Row],[E_AC (WPR)]]/RD[[#This Row],[E_DC (WPR)]],"")</f>
        <v/>
      </c>
    </row>
    <row r="69" spans="1:163">
      <c r="A69" s="133">
        <f t="shared" si="161"/>
        <v>45809</v>
      </c>
      <c r="B69" s="138">
        <f>YEAR(RD[[#This Row],[Date]])+IF(MONTH(RD[[#This Row],[Date]])&gt;=4,1,0)</f>
        <v>2026</v>
      </c>
      <c r="C69" s="138">
        <f>YEAR(RD[[#This Row],[Date]])</f>
        <v>2025</v>
      </c>
      <c r="D69" s="139">
        <f t="shared" ref="D69:D100" si="165">A69-DAY(A69)+1</f>
        <v>45809</v>
      </c>
      <c r="E69" s="138">
        <f>DAY(EOMONTH(RD[[#This Row],[Date]],0))</f>
        <v>30</v>
      </c>
      <c r="F69" s="152">
        <v>0.25069444444444444</v>
      </c>
      <c r="G69" s="162">
        <v>0.78263888888888888</v>
      </c>
      <c r="H69" s="124">
        <v>3732.7</v>
      </c>
      <c r="I69" s="268">
        <v>3660</v>
      </c>
      <c r="J69" s="124">
        <v>3457.6</v>
      </c>
      <c r="K69" s="124">
        <v>3523</v>
      </c>
      <c r="L69" s="124">
        <v>3619.8</v>
      </c>
      <c r="M69" s="124">
        <v>3760.3</v>
      </c>
      <c r="N69" s="124">
        <v>3653.6</v>
      </c>
      <c r="O69" s="124">
        <v>4020.1</v>
      </c>
      <c r="P69" s="124">
        <v>3611.4</v>
      </c>
      <c r="Q69" s="124">
        <v>3624.2</v>
      </c>
      <c r="R69" s="124">
        <v>3770.1</v>
      </c>
      <c r="S69" s="266">
        <v>3739.2</v>
      </c>
      <c r="T69" s="124">
        <v>3865.3</v>
      </c>
      <c r="U69" s="124">
        <v>3739.5</v>
      </c>
      <c r="V69" s="124">
        <v>3809.1</v>
      </c>
      <c r="W69" s="124">
        <v>3624.1</v>
      </c>
      <c r="X69" s="266">
        <v>5168.5</v>
      </c>
      <c r="Y69" s="203">
        <v>5756.6</v>
      </c>
      <c r="Z69" s="203">
        <v>4985.8999999999996</v>
      </c>
      <c r="AA69" s="203">
        <v>5183.3</v>
      </c>
      <c r="AB69" s="266">
        <v>5632.2</v>
      </c>
      <c r="AC69" s="203">
        <v>3409.1</v>
      </c>
      <c r="AD69" s="203">
        <v>5240.8999999999996</v>
      </c>
      <c r="AE69" s="203">
        <v>5309.8</v>
      </c>
      <c r="AF69" s="266">
        <v>5175.7</v>
      </c>
      <c r="AG69" s="203">
        <v>5177</v>
      </c>
      <c r="AH69" s="203">
        <v>5166.3</v>
      </c>
      <c r="AI69" s="266">
        <v>5215.5</v>
      </c>
      <c r="AJ69" s="203">
        <v>4399.6000000000004</v>
      </c>
      <c r="AK69" s="266">
        <v>4447.1000000000004</v>
      </c>
      <c r="AL69" s="203">
        <v>4319.7</v>
      </c>
      <c r="AM69" s="266">
        <v>4366.3999999999996</v>
      </c>
      <c r="AN69" s="203">
        <v>4372.2</v>
      </c>
      <c r="AO69" s="266">
        <v>4514.3999999999996</v>
      </c>
      <c r="AP69" s="203">
        <v>4444.2</v>
      </c>
      <c r="AQ69" s="266">
        <v>4411.5</v>
      </c>
      <c r="AR69" s="203">
        <v>3547.6</v>
      </c>
      <c r="AS69" s="266">
        <v>3562.4</v>
      </c>
      <c r="AT69" s="203">
        <v>3554.4</v>
      </c>
      <c r="AU69" s="266">
        <v>3542.3</v>
      </c>
      <c r="AV69" s="203">
        <v>3629.4</v>
      </c>
      <c r="AW69" s="203">
        <v>3577.8</v>
      </c>
      <c r="AX69" s="203">
        <v>5187</v>
      </c>
      <c r="AY69" s="203">
        <v>5913</v>
      </c>
      <c r="AZ69" s="203">
        <v>4250</v>
      </c>
      <c r="BA69" s="203">
        <v>5150.7</v>
      </c>
      <c r="BB69" s="203">
        <v>4587</v>
      </c>
      <c r="BC69" s="203">
        <v>4229</v>
      </c>
      <c r="BD69" s="203">
        <v>3345</v>
      </c>
      <c r="BE69" s="203">
        <v>4320</v>
      </c>
      <c r="BF69" s="203">
        <v>9011</v>
      </c>
      <c r="BG69" s="203">
        <v>2350</v>
      </c>
      <c r="BH69" s="203">
        <v>938</v>
      </c>
      <c r="BI69" s="203">
        <v>1199</v>
      </c>
      <c r="BJ69" s="203">
        <v>3213</v>
      </c>
      <c r="BK69" s="203">
        <v>2336</v>
      </c>
      <c r="BL69" s="203">
        <v>2976</v>
      </c>
      <c r="BM69" s="203">
        <v>3020</v>
      </c>
      <c r="BN69" s="203">
        <v>3260</v>
      </c>
      <c r="BO69" s="203">
        <v>3192</v>
      </c>
      <c r="BP69" s="203">
        <v>3460</v>
      </c>
      <c r="BQ69" s="203">
        <v>3478</v>
      </c>
      <c r="BR69" s="203">
        <v>3711</v>
      </c>
      <c r="BS69" s="203">
        <v>3825</v>
      </c>
      <c r="BT69" s="203">
        <v>3764</v>
      </c>
      <c r="BU69" s="203">
        <v>3859</v>
      </c>
      <c r="BV69" s="203"/>
      <c r="BW69" s="203"/>
      <c r="BX69" s="203"/>
      <c r="BY69" s="203"/>
      <c r="BZ69" s="203">
        <v>477</v>
      </c>
      <c r="CA69" s="203">
        <v>396</v>
      </c>
      <c r="CB69" s="203">
        <v>1938</v>
      </c>
      <c r="CC69" s="203">
        <v>3273</v>
      </c>
      <c r="CD69" s="261">
        <v>6.2809782833333418</v>
      </c>
      <c r="CE69" s="261">
        <v>6.7065176666666853</v>
      </c>
      <c r="CF69" s="261">
        <v>6.6241442166666671</v>
      </c>
      <c r="CG69" s="261">
        <v>6.9143356666666627</v>
      </c>
      <c r="CH69" s="261">
        <v>0.74349878333333386</v>
      </c>
      <c r="CI69" s="261">
        <v>0.86923035000000004</v>
      </c>
      <c r="CJ69" s="261">
        <v>1.0943879166666663</v>
      </c>
      <c r="CK69" s="261">
        <v>0.98194678333333385</v>
      </c>
      <c r="CL69" s="261">
        <v>30.97924623115583</v>
      </c>
      <c r="CM69" s="261">
        <v>31.207401837928167</v>
      </c>
      <c r="CN69" s="261">
        <v>46.600147403685206</v>
      </c>
      <c r="CO69" s="261">
        <v>43.897540517961545</v>
      </c>
      <c r="CP69" s="261">
        <v>55.185309882747127</v>
      </c>
      <c r="CQ69" s="261">
        <v>56.027685881370104</v>
      </c>
      <c r="CR69" s="261">
        <v>0</v>
      </c>
      <c r="CS69" s="261">
        <v>0</v>
      </c>
      <c r="CT69" s="261">
        <v>1.675248743718591</v>
      </c>
      <c r="CU69" s="261">
        <v>1.7738295739348378</v>
      </c>
      <c r="CV69" s="261">
        <v>4.032</v>
      </c>
      <c r="CW69" s="261">
        <v>3.63</v>
      </c>
      <c r="CX69" s="204">
        <f>IFERROR(AVERAGEIF(RD[[#This Row],[IS1POA1 (KWh/m2)]:[IS7POA2 (KWh/m2)]],"&lt;&gt;0",RD[[#This Row],[IS1POA1 (KWh/m2)]:[IS7POA2 (KWh/m2)]]),"")</f>
        <v>6.493747975000014</v>
      </c>
      <c r="CY69" s="204">
        <f>IFERROR(AVERAGEIF(RD[[#This Row],[IS1GHI1 (KWh/m2)]:[IS7GHI2 (KWh/m2)]],"&lt;&gt;0",RD[[#This Row],[IS1GHI1 (KWh/m2)]:[IS7GHI2 (KWh/m2)]]),"")</f>
        <v>6.7692399416666653</v>
      </c>
      <c r="CZ69" s="204">
        <f>IFERROR(AVERAGEIF(RD[[#This Row],[IS1POA_BS1 (KWh/m2)]:[IS7POA_BS2 (KWh/m2)]],"&lt;&gt;0",RD[[#This Row],[IS1POA_BS1 (KWh/m2)]:[IS7POA_BS2 (KWh/m2)]]),"")</f>
        <v>0.806364566666667</v>
      </c>
      <c r="DA69" s="204">
        <f>IFERROR(AVERAGEIF(RD[[#This Row],[IS1GHI_BS1 (KWh/m2)]:[IS1GHI_BS1 (KWh/m2)2]],"&lt;&gt;0",RD[[#This Row],[IS1GHI_BS1 (KWh/m2)]:[IS1GHI_BS1 (KWh/m2)2]]),"")</f>
        <v>1.0381673500000002</v>
      </c>
      <c r="DB69" s="204">
        <f>IFERROR(AVERAGEIF(RD[[#This Row],[IS1AT1 (°C)]:[IS7AT2 (°C)]],"&lt;&gt;0",RD[[#This Row],[IS1AT1 (°C)]:[IS7AT2 (°C)]]),"")</f>
        <v>31.093324034542</v>
      </c>
      <c r="DC69" s="204">
        <f>IFERROR(AVERAGEIF(RD[[#This Row],[IS1MT1 (°C)]:[IS7MT2 (°C)]],"&lt;&gt;0",RD[[#This Row],[IS1MT1 (°C)]:[IS7MT2 (°C)]]),"")</f>
        <v>45.248843960823379</v>
      </c>
      <c r="DD69" s="204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204">
        <f>IFERROR(AVERAGEIF(RD[[#This Row],[WS_Solar1_Avg (m/s)]:[IS7_WS_Solar1_Avg (m/s)]],"&lt;&gt;0",RD[[#This Row],[WS_Solar1_Avg (m/s)]:[IS7_WS_Solar1_Avg (m/s)]]),"")</f>
        <v>1.7245391588267145</v>
      </c>
      <c r="DG69" s="204">
        <f>IFERROR(AVERAGEIF(RD[[#This Row],[WS_Solar1_Max (m/s)]:[IS7_WS_Solar1_Max (m/s)]],"&lt;&gt;0",RD[[#This Row],[WS_Solar1_Max (m/s)]:[IS7_WS_Solar1_Max (m/s)]]),"")</f>
        <v>3.831</v>
      </c>
      <c r="DH69" s="204">
        <f>SUM(RD[[#This Row],[IS1Inv1M1]:[IS4Inv4M2]])</f>
        <v>120630.79999999999</v>
      </c>
      <c r="DI69" s="205">
        <f>SUM(RD[[#This Row],[IS7Inv1M1]]+RD[[#This Row],[IS7Inv2M1]])</f>
        <v>7110</v>
      </c>
      <c r="DJ69" s="204">
        <f>SUM(RD[[#This Row],[IS5Inv1M1]:[IS5Inv2M2]])</f>
        <v>17532.800000000003</v>
      </c>
      <c r="DK69" s="204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86">
        <f>SUM(RD[[#This Row],[IS12Inv1M1]:[IS12Inv1M4]])</f>
        <v>13390</v>
      </c>
      <c r="DO69" s="286">
        <f>SUM(RD[[#This Row],[IS13Inv1M1]:[IS13Inv2M2]])</f>
        <v>15159</v>
      </c>
      <c r="DP69" s="204">
        <f>SUM(RD[[#This Row],[O2R15]:[O2R26]])</f>
        <v>273977.5</v>
      </c>
      <c r="DQ69" s="164">
        <v>41752.9</v>
      </c>
      <c r="DR69" s="168">
        <v>215.5</v>
      </c>
      <c r="DS69" s="164">
        <v>36265.300000000003</v>
      </c>
      <c r="DT69" s="164">
        <v>228.2</v>
      </c>
      <c r="DU69" s="168">
        <v>42405.8</v>
      </c>
      <c r="DV69" s="168">
        <v>409.4</v>
      </c>
      <c r="DW69" s="164">
        <v>10131.700000000001</v>
      </c>
      <c r="DX69" s="168">
        <v>49.5</v>
      </c>
      <c r="DY69" s="168">
        <v>61.7</v>
      </c>
      <c r="DZ69" s="168">
        <v>0.5</v>
      </c>
      <c r="EA69" s="140">
        <v>98.77</v>
      </c>
      <c r="EB69" s="241">
        <v>133976416</v>
      </c>
      <c r="EC69" s="240">
        <v>965425.53599999996</v>
      </c>
      <c r="ED69" s="241">
        <v>1160</v>
      </c>
      <c r="EE69" s="241">
        <v>128242</v>
      </c>
      <c r="EF69" s="164">
        <v>185784.7</v>
      </c>
      <c r="EG69" s="164">
        <v>1842.2</v>
      </c>
      <c r="EH69" s="146">
        <f>IF((RD[[#This Row],[33 kV_F3_Ex
Incomer1]]-DQ68)*1000&lt;0,0,(RD[[#This Row],[33 kV_F3_Ex
Incomer1]]-DQ68)*1000)</f>
        <v>54099.999999998545</v>
      </c>
      <c r="EI69" s="146">
        <f>IF((RD[[#This Row],[34 kV_F3_Im
Incomer1]]-DR68)*1000&lt;0,0,(RD[[#This Row],[34 kV_F3_Im
Incomer1]]-DR68)*1000)</f>
        <v>400.00000000000568</v>
      </c>
      <c r="EJ69" s="146">
        <f>IF((RD[[#This Row],[33 kV_F4_Ex
Incomer2]]-DS68)*1000&lt;0,0,(RD[[#This Row],[33 kV_F4_Ex
Incomer2]]-DS68)*1000)</f>
        <v>57600.000000005821</v>
      </c>
      <c r="EK69" s="146">
        <f>IF((RD[[#This Row],[34 kV_F4_Im
Incomer2]]-DT68)*1000&lt;0,0,(RD[[#This Row],[34 kV_F4_Im
Incomer2]]-DT68)*1000)</f>
        <v>299.99999999998295</v>
      </c>
      <c r="EL69" s="146">
        <f>IF((RD[[#This Row],[33 kV_F5_Ex
Incomer3]]-DU68)*1000&lt;0,0,(RD[[#This Row],[33 kV_F5_Ex
Incomer3]]-DU68)*1000)</f>
        <v>76500</v>
      </c>
      <c r="EM69" s="146">
        <f>IF((RD[[#This Row],[34 kV_F5_Im
Incomer3]]-DV68)*1000&lt;0,0,(RD[[#This Row],[34 kV_F5_Im
Incomer3]]-DV68)*1000)</f>
        <v>599.99999999996589</v>
      </c>
      <c r="EN69" s="146">
        <f>IF((RD[[#This Row],[33 kV_F6_Ex
Incomer4]]-DW68)*1000&lt;0,0,(RD[[#This Row],[33 kV_F6_Ex
Incomer4]]-DW68)*1000)</f>
        <v>0</v>
      </c>
      <c r="EO69" s="146">
        <f t="shared" si="163"/>
        <v>299.99999999998295</v>
      </c>
      <c r="EP69" s="146">
        <f>IF((RD[[#This Row],[33 kV_F7_Ex
Incomer5]]-DY68)*1000&lt;0,0,(RD[[#This Row],[33 kV_F7_Ex
Incomer5]]-DY68)*1000)</f>
        <v>61700</v>
      </c>
      <c r="EQ69" s="146">
        <f>IF((RD[[#This Row],[33 kV_F7_Im
Incomer5]]-DZ68)*1000&lt;0,0,(RD[[#This Row],[33 kV_F7_Im
Incomer5]]-DZ68)*1000)</f>
        <v>500</v>
      </c>
      <c r="ER69" s="146">
        <f>IF((RD[[#This Row],[33 kV_Aux Trafo]]-EA68)*1000&lt;0,0,(RD[[#This Row],[33 kV_Aux Trafo]]-EA68)*1000)</f>
        <v>239.99999999999488</v>
      </c>
      <c r="ES69" s="158">
        <f>IF((RD[[#This Row],[33kV_OG1_Ex_]]-EB68)*1&lt;0,0,(RD[[#This Row],[33kV_OG1_Ex_]]-EB68)*1)</f>
        <v>265495</v>
      </c>
      <c r="ET69" s="146">
        <f>IF((RD[[#This Row],[33kV_OG1_Im]]-EC68)*1&lt;0,0,(RD[[#This Row],[33kV_OG1_Im]]-EC68)*1)</f>
        <v>1972.3519999999553</v>
      </c>
      <c r="EU69" s="146">
        <f>IF((RD[[#This Row],[132kV_TX1_EX]]-ED68)*720&lt;=0,"",(RD[[#This Row],[132kV_TX1_EX]]-ED68)*720)</f>
        <v>2160</v>
      </c>
      <c r="EV69" s="146">
        <f>IF((RD[[#This Row],[132 kV_Tx1_Im]]-EE68)*720&lt;=0,0,(RD[[#This Row],[132 kV_Tx1_Im]]-EE68)*720)</f>
        <v>190080</v>
      </c>
      <c r="EW69" s="146">
        <f>IF((RD[[#This Row],[132kV_L1_Ex]]-EF68)*720&lt;=0,0,(RD[[#This Row],[132kV_L1_Ex]]-EF68)*720)</f>
        <v>264600</v>
      </c>
      <c r="EX69" s="146">
        <f>IF((RD[[#This Row],[132kV_L1_Im]]-EG68)*720&lt;=0,0,(RD[[#This Row],[132kV_L1_Im]]-EG68)*720)</f>
        <v>0</v>
      </c>
      <c r="EY69" s="242">
        <f>IFERROR(RD[[#This Row],[33kV_OG1_Ex (MWh)]]+RD[[#This Row],[33kV_OG1_Im (MWh)]],"")</f>
        <v>267467.35199999996</v>
      </c>
      <c r="EZ69" s="148">
        <f>RD[[#This Row],[33kV_OG1_Ex (MWh)]]-RD[[#This Row],[33kV_OG1_Im (MWh)]]</f>
        <v>263522.64800000004</v>
      </c>
      <c r="FA69" s="148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43">
        <f>IFERROR((RD[[#This Row],[Sunset Time (POA&lt;20 W/m2)]]-RD[[#This Row],[Sunrise Time (POA&gt;20 W/m2)]])*24,0)</f>
        <v>12.766666666666666</v>
      </c>
      <c r="FD69" s="244">
        <v>120.7</v>
      </c>
      <c r="FE69" t="s">
        <v>295</v>
      </c>
      <c r="FG69" s="144" t="str">
        <f>IFERROR(RD[[#This Row],[E_AC (WPR)]]/RD[[#This Row],[E_DC (WPR)]],"")</f>
        <v/>
      </c>
    </row>
    <row r="70" spans="1:163">
      <c r="A70" s="133">
        <f t="shared" si="161"/>
        <v>45810</v>
      </c>
      <c r="B70" s="138">
        <f>YEAR(RD[[#This Row],[Date]])+IF(MONTH(RD[[#This Row],[Date]])&gt;=4,1,0)</f>
        <v>2026</v>
      </c>
      <c r="C70" s="138">
        <f>YEAR(RD[[#This Row],[Date]])</f>
        <v>2025</v>
      </c>
      <c r="D70" s="139">
        <f t="shared" si="165"/>
        <v>45809</v>
      </c>
      <c r="E70" s="138">
        <f>DAY(EOMONTH(RD[[#This Row],[Date]],0))</f>
        <v>30</v>
      </c>
      <c r="F70" s="152">
        <v>0.25208333333333333</v>
      </c>
      <c r="G70" s="162">
        <v>0.77986111111111112</v>
      </c>
      <c r="H70" s="124">
        <v>8451.2999999999993</v>
      </c>
      <c r="I70" s="268">
        <v>8328.7000000000007</v>
      </c>
      <c r="J70" s="124">
        <v>7948.1</v>
      </c>
      <c r="K70" s="124">
        <v>7993.8</v>
      </c>
      <c r="L70" s="124">
        <v>8264.1</v>
      </c>
      <c r="M70" s="124">
        <v>8470.2999999999993</v>
      </c>
      <c r="N70" s="124">
        <v>8267.7000000000007</v>
      </c>
      <c r="O70" s="124">
        <v>8851.7000000000007</v>
      </c>
      <c r="P70" s="124">
        <v>8267.1</v>
      </c>
      <c r="Q70" s="124">
        <v>8161.6</v>
      </c>
      <c r="R70" s="124">
        <v>8406.5</v>
      </c>
      <c r="S70" s="266">
        <v>8399.5</v>
      </c>
      <c r="T70" s="124">
        <v>8725.2999999999993</v>
      </c>
      <c r="U70" s="124">
        <v>8477.1</v>
      </c>
      <c r="V70" s="124">
        <v>8601.4</v>
      </c>
      <c r="W70" s="124">
        <v>8349.2000000000007</v>
      </c>
      <c r="X70" s="266">
        <v>11615.5</v>
      </c>
      <c r="Y70" s="203">
        <v>12414.7</v>
      </c>
      <c r="Z70" s="203">
        <v>11344.9</v>
      </c>
      <c r="AA70" s="203">
        <v>11819</v>
      </c>
      <c r="AB70" s="266">
        <v>12522</v>
      </c>
      <c r="AC70" s="203">
        <v>7873.5</v>
      </c>
      <c r="AD70" s="203">
        <v>11906.3</v>
      </c>
      <c r="AE70" s="203">
        <v>12072.1</v>
      </c>
      <c r="AF70" s="266">
        <v>11763.5</v>
      </c>
      <c r="AG70" s="203">
        <v>11734.9</v>
      </c>
      <c r="AH70" s="203">
        <v>11739.1</v>
      </c>
      <c r="AI70" s="266">
        <v>11862.7</v>
      </c>
      <c r="AJ70" s="203">
        <v>10337</v>
      </c>
      <c r="AK70" s="266">
        <v>10576.2</v>
      </c>
      <c r="AL70" s="203">
        <v>10346.200000000001</v>
      </c>
      <c r="AM70" s="266">
        <v>10430.1</v>
      </c>
      <c r="AN70" s="203">
        <v>10413.200000000001</v>
      </c>
      <c r="AO70" s="266">
        <v>10765.1</v>
      </c>
      <c r="AP70" s="203">
        <v>10429.1</v>
      </c>
      <c r="AQ70" s="266">
        <v>10448.9</v>
      </c>
      <c r="AR70" s="203">
        <v>8471.7000000000007</v>
      </c>
      <c r="AS70" s="266">
        <v>8510.6</v>
      </c>
      <c r="AT70" s="203">
        <v>8514.2999999999993</v>
      </c>
      <c r="AU70" s="266">
        <v>8477.7000000000007</v>
      </c>
      <c r="AV70" s="203">
        <v>8645</v>
      </c>
      <c r="AW70" s="203">
        <v>8532.2999999999993</v>
      </c>
      <c r="AX70" s="203">
        <v>12155.5</v>
      </c>
      <c r="AY70" s="203">
        <v>13159.3</v>
      </c>
      <c r="AZ70" s="203">
        <v>9834.1</v>
      </c>
      <c r="BA70" s="203">
        <v>11840.3</v>
      </c>
      <c r="BB70" s="203">
        <v>11273</v>
      </c>
      <c r="BC70" s="203">
        <v>10663</v>
      </c>
      <c r="BD70" s="203">
        <v>9579</v>
      </c>
      <c r="BE70" s="203">
        <v>10749</v>
      </c>
      <c r="BF70" s="203">
        <v>11220</v>
      </c>
      <c r="BG70" s="203">
        <v>9124</v>
      </c>
      <c r="BH70" s="203">
        <v>11340</v>
      </c>
      <c r="BI70" s="203">
        <v>11730</v>
      </c>
      <c r="BJ70" s="203">
        <v>7899</v>
      </c>
      <c r="BK70" s="203">
        <v>6299</v>
      </c>
      <c r="BL70" s="203">
        <v>7302</v>
      </c>
      <c r="BM70" s="203">
        <v>7398</v>
      </c>
      <c r="BN70" s="203">
        <v>7845</v>
      </c>
      <c r="BO70" s="203">
        <v>7713</v>
      </c>
      <c r="BP70" s="203">
        <v>8075</v>
      </c>
      <c r="BQ70" s="203">
        <v>8131</v>
      </c>
      <c r="BR70" s="203">
        <v>8959</v>
      </c>
      <c r="BS70" s="203">
        <v>9283</v>
      </c>
      <c r="BT70" s="203">
        <v>9300</v>
      </c>
      <c r="BU70" s="203">
        <v>9432</v>
      </c>
      <c r="BV70" s="203"/>
      <c r="BW70" s="203"/>
      <c r="BX70" s="203"/>
      <c r="BY70" s="203"/>
      <c r="BZ70" s="203">
        <v>1252</v>
      </c>
      <c r="CA70" s="203">
        <v>1058</v>
      </c>
      <c r="CB70" s="203">
        <v>4849</v>
      </c>
      <c r="CC70" s="203">
        <v>7986</v>
      </c>
      <c r="CD70" s="261">
        <v>6.5451097999999908</v>
      </c>
      <c r="CE70" s="261">
        <v>6.8896765666666662</v>
      </c>
      <c r="CF70" s="261">
        <v>6.9101146833333367</v>
      </c>
      <c r="CG70" s="261">
        <v>7.133783266666673</v>
      </c>
      <c r="CH70" s="261">
        <v>0.84082736666666613</v>
      </c>
      <c r="CI70" s="261">
        <v>0.90781341666666571</v>
      </c>
      <c r="CJ70" s="261">
        <v>1.1499374166666683</v>
      </c>
      <c r="CK70" s="261">
        <v>1.0298151999999983</v>
      </c>
      <c r="CL70" s="261">
        <v>30.921530100334479</v>
      </c>
      <c r="CM70" s="261">
        <v>31.192529215358945</v>
      </c>
      <c r="CN70" s="261">
        <v>45.321191471571865</v>
      </c>
      <c r="CO70" s="261">
        <v>43.438962437395709</v>
      </c>
      <c r="CP70" s="261">
        <v>43.438962437395709</v>
      </c>
      <c r="CQ70" s="261">
        <v>53.826844741235377</v>
      </c>
      <c r="CR70" s="261">
        <v>0</v>
      </c>
      <c r="CS70" s="261">
        <v>0</v>
      </c>
      <c r="CT70" s="261">
        <v>1.582126254180602</v>
      </c>
      <c r="CU70" s="261">
        <v>1.7508681135225399</v>
      </c>
      <c r="CV70" s="261">
        <v>3.21</v>
      </c>
      <c r="CW70" s="261">
        <v>3.387</v>
      </c>
      <c r="CX70" s="204">
        <f>IFERROR(AVERAGEIF(RD[[#This Row],[IS1POA1 (KWh/m2)]:[IS7POA2 (KWh/m2)]],"&lt;&gt;0",RD[[#This Row],[IS1POA1 (KWh/m2)]:[IS7POA2 (KWh/m2)]]),"")</f>
        <v>6.7173931833333285</v>
      </c>
      <c r="CY70" s="204">
        <f>IFERROR(AVERAGEIF(RD[[#This Row],[IS1GHI1 (KWh/m2)]:[IS7GHI2 (KWh/m2)]],"&lt;&gt;0",RD[[#This Row],[IS1GHI1 (KWh/m2)]:[IS7GHI2 (KWh/m2)]]),"")</f>
        <v>7.0219489750000044</v>
      </c>
      <c r="CZ70" s="204">
        <f>IFERROR(AVERAGEIF(RD[[#This Row],[IS1POA_BS1 (KWh/m2)]:[IS7POA_BS2 (KWh/m2)]],"&lt;&gt;0",RD[[#This Row],[IS1POA_BS1 (KWh/m2)]:[IS7POA_BS2 (KWh/m2)]]),"")</f>
        <v>0.87432039166666597</v>
      </c>
      <c r="DA70" s="204">
        <f>IFERROR(AVERAGEIF(RD[[#This Row],[IS1GHI_BS1 (KWh/m2)]:[IS1GHI_BS1 (KWh/m2)2]],"&lt;&gt;0",RD[[#This Row],[IS1GHI_BS1 (KWh/m2)]:[IS1GHI_BS1 (KWh/m2)2]]),"")</f>
        <v>1.0898763083333334</v>
      </c>
      <c r="DB70" s="204">
        <f>IFERROR(AVERAGEIF(RD[[#This Row],[IS1AT1 (°C)]:[IS7AT2 (°C)]],"&lt;&gt;0",RD[[#This Row],[IS1AT1 (°C)]:[IS7AT2 (°C)]]),"")</f>
        <v>31.057029657846712</v>
      </c>
      <c r="DC70" s="204">
        <f>IFERROR(AVERAGEIF(RD[[#This Row],[IS1MT1 (°C)]:[IS7MT2 (°C)]],"&lt;&gt;0",RD[[#This Row],[IS1MT1 (°C)]:[IS7MT2 (°C)]]),"")</f>
        <v>44.380076954483783</v>
      </c>
      <c r="DD70" s="204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204">
        <f>IFERROR(AVERAGEIF(RD[[#This Row],[WS_Solar1_Avg (m/s)]:[IS7_WS_Solar1_Avg (m/s)]],"&lt;&gt;0",RD[[#This Row],[WS_Solar1_Avg (m/s)]:[IS7_WS_Solar1_Avg (m/s)]]),"")</f>
        <v>1.666497183851571</v>
      </c>
      <c r="DG70" s="204">
        <f>IFERROR(AVERAGEIF(RD[[#This Row],[WS_Solar1_Max (m/s)]:[IS7_WS_Solar1_Max (m/s)]],"&lt;&gt;0",RD[[#This Row],[WS_Solar1_Max (m/s)]:[IS7_WS_Solar1_Max (m/s)]]),"")</f>
        <v>3.2984999999999998</v>
      </c>
      <c r="DH70" s="204">
        <f>SUM(RD[[#This Row],[IS1Inv1M1]:[IS4Inv4M2]])</f>
        <v>272631.60000000003</v>
      </c>
      <c r="DI70" s="205">
        <f>SUM(RD[[#This Row],[IS7Inv1M1]]+RD[[#This Row],[IS7Inv2M1]])</f>
        <v>16982.300000000003</v>
      </c>
      <c r="DJ70" s="204">
        <f>SUM(RD[[#This Row],[IS5Inv1M1]:[IS5Inv2M2]])</f>
        <v>41689.5</v>
      </c>
      <c r="DK70" s="204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86">
        <f>SUM(RD[[#This Row],[IS12Inv1M1]:[IS12Inv1M4]])</f>
        <v>31764</v>
      </c>
      <c r="DO70" s="286">
        <f>SUM(RD[[#This Row],[IS13Inv1M1]:[IS13Inv2M2]])</f>
        <v>36974</v>
      </c>
      <c r="DP70" s="204">
        <f>SUM(RD[[#This Row],[O2R15]:[O2R26]])</f>
        <v>652977.19999999995</v>
      </c>
      <c r="DQ70" s="164">
        <v>41890.6</v>
      </c>
      <c r="DR70" s="168">
        <v>215.8</v>
      </c>
      <c r="DS70" s="164">
        <v>36395.300000000003</v>
      </c>
      <c r="DT70" s="164">
        <v>228.5</v>
      </c>
      <c r="DU70" s="168">
        <v>42585</v>
      </c>
      <c r="DV70" s="168">
        <v>410</v>
      </c>
      <c r="DW70" s="164">
        <v>10146.700000000001</v>
      </c>
      <c r="DX70" s="168">
        <v>49.7</v>
      </c>
      <c r="DY70" s="168">
        <v>219.8</v>
      </c>
      <c r="DZ70" s="168">
        <v>0.9</v>
      </c>
      <c r="EA70" s="140">
        <v>99.03</v>
      </c>
      <c r="EB70" s="241">
        <v>134618800</v>
      </c>
      <c r="EC70" s="240">
        <v>967429.63199999998</v>
      </c>
      <c r="ED70" s="241">
        <v>1162</v>
      </c>
      <c r="EE70" s="241">
        <v>128882</v>
      </c>
      <c r="EF70" s="164">
        <v>186673.8</v>
      </c>
      <c r="EG70" s="164">
        <v>1887.7</v>
      </c>
      <c r="EH70" s="146">
        <f>IF((RD[[#This Row],[33 kV_F3_Ex
Incomer1]]-DQ69)*1000&lt;0,0,(RD[[#This Row],[33 kV_F3_Ex
Incomer1]]-DQ69)*1000)</f>
        <v>137699.99999999709</v>
      </c>
      <c r="EI70" s="146">
        <f>IF((RD[[#This Row],[34 kV_F3_Im
Incomer1]]-DR69)*1000&lt;0,0,(RD[[#This Row],[34 kV_F3_Im
Incomer1]]-DR69)*1000)</f>
        <v>300.00000000001137</v>
      </c>
      <c r="EJ70" s="146">
        <f>IF((RD[[#This Row],[33 kV_F4_Ex
Incomer2]]-DS69)*1000&lt;0,0,(RD[[#This Row],[33 kV_F4_Ex
Incomer2]]-DS69)*1000)</f>
        <v>130000</v>
      </c>
      <c r="EK70" s="146">
        <f>IF((RD[[#This Row],[34 kV_F4_Im
Incomer2]]-DT69)*1000&lt;0,0,(RD[[#This Row],[34 kV_F4_Im
Incomer2]]-DT69)*1000)</f>
        <v>300.00000000001137</v>
      </c>
      <c r="EL70" s="146">
        <f>IF((RD[[#This Row],[33 kV_F5_Ex
Incomer3]]-DU69)*1000&lt;0,0,(RD[[#This Row],[33 kV_F5_Ex
Incomer3]]-DU69)*1000)</f>
        <v>179199.99999999709</v>
      </c>
      <c r="EM70" s="146">
        <f>IF((RD[[#This Row],[34 kV_F5_Im
Incomer3]]-DV69)*1000&lt;0,0,(RD[[#This Row],[34 kV_F5_Im
Incomer3]]-DV69)*1000)</f>
        <v>600.00000000002274</v>
      </c>
      <c r="EN70" s="146">
        <f>IF((RD[[#This Row],[33 kV_F6_Ex
Incomer4]]-DW69)*1000&lt;0,0,(RD[[#This Row],[33 kV_F6_Ex
Incomer4]]-DW69)*1000)</f>
        <v>15000</v>
      </c>
      <c r="EO70" s="146">
        <f t="shared" si="163"/>
        <v>400.00000000000568</v>
      </c>
      <c r="EP70" s="146">
        <f>IF((RD[[#This Row],[33 kV_F7_Ex
Incomer5]]-DY69)*1000&lt;0,0,(RD[[#This Row],[33 kV_F7_Ex
Incomer5]]-DY69)*1000)</f>
        <v>158100.00000000003</v>
      </c>
      <c r="EQ70" s="146">
        <f>IF((RD[[#This Row],[33 kV_F7_Im
Incomer5]]-DZ69)*1000&lt;0,0,(RD[[#This Row],[33 kV_F7_Im
Incomer5]]-DZ69)*1000)</f>
        <v>400</v>
      </c>
      <c r="ER70" s="146">
        <f>IF((RD[[#This Row],[33 kV_Aux Trafo]]-EA69)*1000&lt;0,0,(RD[[#This Row],[33 kV_Aux Trafo]]-EA69)*1000)</f>
        <v>260.00000000000512</v>
      </c>
      <c r="ES70" s="158">
        <f>IF((RD[[#This Row],[33kV_OG1_Ex_]]-EB69)*1&lt;0,0,(RD[[#This Row],[33kV_OG1_Ex_]]-EB69)*1)</f>
        <v>642384</v>
      </c>
      <c r="ET70" s="146">
        <f>IF((RD[[#This Row],[33kV_OG1_Im]]-EC69)*1&lt;0,0,(RD[[#This Row],[33kV_OG1_Im]]-EC69)*1)</f>
        <v>2004.0960000000196</v>
      </c>
      <c r="EU70" s="146">
        <f>IF((RD[[#This Row],[132kV_TX1_EX]]-ED69)*720&lt;=0,"",(RD[[#This Row],[132kV_TX1_EX]]-ED69)*720)</f>
        <v>1440</v>
      </c>
      <c r="EV70" s="146">
        <f>IF((RD[[#This Row],[132 kV_Tx1_Im]]-EE69)*720&lt;=0,0,(RD[[#This Row],[132 kV_Tx1_Im]]-EE69)*720)</f>
        <v>460800</v>
      </c>
      <c r="EW70" s="146">
        <f>IF((RD[[#This Row],[132kV_L1_Ex]]-EF69)*720&lt;=0,0,(RD[[#This Row],[132kV_L1_Ex]]-EF69)*720)</f>
        <v>640151.99999998324</v>
      </c>
      <c r="EX70" s="146">
        <f>IF((RD[[#This Row],[132kV_L1_Im]]-EG69)*720&lt;=0,0,(RD[[#This Row],[132kV_L1_Im]]-EG69)*720)</f>
        <v>32760</v>
      </c>
      <c r="EY70" s="242">
        <f>IFERROR(RD[[#This Row],[33kV_OG1_Ex (MWh)]]+RD[[#This Row],[33kV_OG1_Im (MWh)]],"")</f>
        <v>644388.09600000002</v>
      </c>
      <c r="EZ70" s="148">
        <f>RD[[#This Row],[33kV_OG1_Ex (MWh)]]-RD[[#This Row],[33kV_OG1_Im (MWh)]]</f>
        <v>640379.90399999998</v>
      </c>
      <c r="FA70" s="148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43">
        <f>IFERROR((RD[[#This Row],[Sunset Time (POA&lt;20 W/m2)]]-RD[[#This Row],[Sunrise Time (POA&gt;20 W/m2)]])*24,0)</f>
        <v>12.666666666666668</v>
      </c>
      <c r="FD70" s="244">
        <v>120.7</v>
      </c>
      <c r="FE70" t="s">
        <v>293</v>
      </c>
      <c r="FG70" s="144" t="str">
        <f>IFERROR(RD[[#This Row],[E_AC (WPR)]]/RD[[#This Row],[E_DC (WPR)]],"")</f>
        <v/>
      </c>
    </row>
    <row r="71" spans="1:163">
      <c r="A71" s="133">
        <f t="shared" si="161"/>
        <v>45811</v>
      </c>
      <c r="B71" s="138">
        <f>YEAR(RD[[#This Row],[Date]])+IF(MONTH(RD[[#This Row],[Date]])&gt;=4,1,0)</f>
        <v>2026</v>
      </c>
      <c r="C71" s="138">
        <f>YEAR(RD[[#This Row],[Date]])</f>
        <v>2025</v>
      </c>
      <c r="D71" s="139">
        <f t="shared" si="165"/>
        <v>45809</v>
      </c>
      <c r="E71" s="138">
        <f>DAY(EOMONTH(RD[[#This Row],[Date]],0))</f>
        <v>30</v>
      </c>
      <c r="F71" s="152">
        <v>0.25069444444444444</v>
      </c>
      <c r="G71" s="162">
        <v>0.77777777777777779</v>
      </c>
      <c r="H71" s="124">
        <v>8019.2</v>
      </c>
      <c r="I71" s="268">
        <v>7944.6</v>
      </c>
      <c r="J71" s="124">
        <v>7622.1</v>
      </c>
      <c r="K71" s="124">
        <v>7603</v>
      </c>
      <c r="L71" s="124">
        <v>7841.1</v>
      </c>
      <c r="M71" s="124">
        <v>8059.2</v>
      </c>
      <c r="N71" s="124">
        <v>7846.2</v>
      </c>
      <c r="O71" s="124">
        <v>8401</v>
      </c>
      <c r="P71" s="124">
        <v>7868.5</v>
      </c>
      <c r="Q71" s="124">
        <v>7770.8</v>
      </c>
      <c r="R71" s="124">
        <v>7980.3</v>
      </c>
      <c r="S71" s="266">
        <v>7953.3</v>
      </c>
      <c r="T71" s="124">
        <v>8282</v>
      </c>
      <c r="U71" s="124">
        <v>8023.3</v>
      </c>
      <c r="V71" s="124">
        <v>8190.1</v>
      </c>
      <c r="W71" s="124">
        <v>7911.1</v>
      </c>
      <c r="X71" s="266">
        <v>11026.5</v>
      </c>
      <c r="Y71" s="203">
        <v>11793.1</v>
      </c>
      <c r="Z71" s="203">
        <v>10788.6</v>
      </c>
      <c r="AA71" s="203">
        <v>11265</v>
      </c>
      <c r="AB71" s="266">
        <v>11804.5</v>
      </c>
      <c r="AC71" s="203">
        <v>7325.1</v>
      </c>
      <c r="AD71" s="203">
        <v>11134.6</v>
      </c>
      <c r="AE71" s="203">
        <v>11278.8</v>
      </c>
      <c r="AF71" s="266">
        <v>11032.9</v>
      </c>
      <c r="AG71" s="203">
        <v>11035</v>
      </c>
      <c r="AH71" s="203">
        <v>11009.6</v>
      </c>
      <c r="AI71" s="266">
        <v>11146.3</v>
      </c>
      <c r="AJ71" s="203">
        <v>9748</v>
      </c>
      <c r="AK71" s="266">
        <v>10017.5</v>
      </c>
      <c r="AL71" s="203">
        <v>9741.5</v>
      </c>
      <c r="AM71" s="266">
        <v>9836.2999999999993</v>
      </c>
      <c r="AN71" s="203">
        <v>9720.7999999999993</v>
      </c>
      <c r="AO71" s="266">
        <v>10035.200000000001</v>
      </c>
      <c r="AP71" s="203">
        <v>9704.1</v>
      </c>
      <c r="AQ71" s="266">
        <v>9768</v>
      </c>
      <c r="AR71" s="203">
        <v>7873.1</v>
      </c>
      <c r="AS71" s="266">
        <v>7923.4</v>
      </c>
      <c r="AT71" s="203">
        <v>7894.7</v>
      </c>
      <c r="AU71" s="266">
        <v>7871.1</v>
      </c>
      <c r="AV71" s="203">
        <v>8019.7</v>
      </c>
      <c r="AW71" s="203">
        <v>7929</v>
      </c>
      <c r="AX71" s="203">
        <v>11286.4</v>
      </c>
      <c r="AY71" s="203">
        <v>12436.7</v>
      </c>
      <c r="AZ71" s="203">
        <v>9350.2999999999993</v>
      </c>
      <c r="BA71" s="203">
        <v>11228.8</v>
      </c>
      <c r="BB71" s="203">
        <v>9081</v>
      </c>
      <c r="BC71" s="203">
        <v>8811</v>
      </c>
      <c r="BD71" s="203">
        <v>9432</v>
      </c>
      <c r="BE71" s="203">
        <v>10511</v>
      </c>
      <c r="BF71" s="203">
        <v>11124</v>
      </c>
      <c r="BG71" s="203">
        <v>10895</v>
      </c>
      <c r="BH71" s="203">
        <v>10820</v>
      </c>
      <c r="BI71" s="203">
        <v>11212</v>
      </c>
      <c r="BJ71" s="203">
        <v>7518</v>
      </c>
      <c r="BK71" s="203">
        <v>5991</v>
      </c>
      <c r="BL71" s="203">
        <v>7080</v>
      </c>
      <c r="BM71" s="203">
        <v>7094</v>
      </c>
      <c r="BN71" s="203">
        <v>7570</v>
      </c>
      <c r="BO71" s="203">
        <v>7472</v>
      </c>
      <c r="BP71" s="203">
        <v>7874</v>
      </c>
      <c r="BQ71" s="203">
        <v>7867</v>
      </c>
      <c r="BR71" s="203">
        <v>8811.9</v>
      </c>
      <c r="BS71" s="203">
        <v>9067.6</v>
      </c>
      <c r="BT71" s="203">
        <v>8988.2999999999993</v>
      </c>
      <c r="BU71" s="203">
        <v>9191.5</v>
      </c>
      <c r="BV71" s="203"/>
      <c r="BW71" s="203"/>
      <c r="BX71" s="203"/>
      <c r="BY71" s="203"/>
      <c r="BZ71" s="203">
        <v>1242</v>
      </c>
      <c r="CA71" s="203">
        <v>1050</v>
      </c>
      <c r="CB71" s="203">
        <v>4795</v>
      </c>
      <c r="CC71" s="203">
        <v>7776</v>
      </c>
      <c r="CD71" s="261">
        <v>6.1679249500000051</v>
      </c>
      <c r="CE71" s="261">
        <v>6.4307895833333291</v>
      </c>
      <c r="CF71" s="261">
        <v>6.5286647666666653</v>
      </c>
      <c r="CG71" s="261">
        <v>6.6684565833333229</v>
      </c>
      <c r="CH71" s="261">
        <v>0.79555931666666579</v>
      </c>
      <c r="CI71" s="261">
        <v>0.87134599999999884</v>
      </c>
      <c r="CJ71" s="261">
        <v>1.1012614999999994</v>
      </c>
      <c r="CK71" s="261">
        <v>0.98170606666666727</v>
      </c>
      <c r="CL71" s="261">
        <v>30.754493957703907</v>
      </c>
      <c r="CM71" s="261">
        <v>31.0156669178599</v>
      </c>
      <c r="CN71" s="261">
        <v>43.562589123867021</v>
      </c>
      <c r="CO71" s="261">
        <v>41.490225320271193</v>
      </c>
      <c r="CP71" s="261">
        <v>53.745015105740144</v>
      </c>
      <c r="CQ71" s="261">
        <v>54.611846269781473</v>
      </c>
      <c r="CR71" s="261">
        <v>0</v>
      </c>
      <c r="CS71" s="261">
        <v>0</v>
      </c>
      <c r="CT71" s="261">
        <v>1.7325113293051355</v>
      </c>
      <c r="CU71" s="261">
        <v>1.8588040693293189</v>
      </c>
      <c r="CV71" s="261">
        <v>3.4860000000000002</v>
      </c>
      <c r="CW71" s="261">
        <v>3.8159999999999998</v>
      </c>
      <c r="CX71" s="204">
        <f>IFERROR(AVERAGEIF(RD[[#This Row],[IS1POA1 (KWh/m2)]:[IS7POA2 (KWh/m2)]],"&lt;&gt;0",RD[[#This Row],[IS1POA1 (KWh/m2)]:[IS7POA2 (KWh/m2)]]),"")</f>
        <v>6.2993572666666671</v>
      </c>
      <c r="CY71" s="204">
        <f>IFERROR(AVERAGEIF(RD[[#This Row],[IS1GHI1 (KWh/m2)]:[IS7GHI2 (KWh/m2)]],"&lt;&gt;0",RD[[#This Row],[IS1GHI1 (KWh/m2)]:[IS7GHI2 (KWh/m2)]]),"")</f>
        <v>6.5985606749999945</v>
      </c>
      <c r="CZ71" s="204">
        <f>IFERROR(AVERAGEIF(RD[[#This Row],[IS1POA_BS1 (KWh/m2)]:[IS7POA_BS2 (KWh/m2)]],"&lt;&gt;0",RD[[#This Row],[IS1POA_BS1 (KWh/m2)]:[IS7POA_BS2 (KWh/m2)]]),"")</f>
        <v>0.83345265833333237</v>
      </c>
      <c r="DA71" s="204">
        <f>IFERROR(AVERAGEIF(RD[[#This Row],[IS1GHI_BS1 (KWh/m2)]:[IS1GHI_BS1 (KWh/m2)2]],"&lt;&gt;0",RD[[#This Row],[IS1GHI_BS1 (KWh/m2)]:[IS1GHI_BS1 (KWh/m2)2]]),"")</f>
        <v>1.0414837833333332</v>
      </c>
      <c r="DB71" s="204">
        <f>IFERROR(AVERAGEIF(RD[[#This Row],[IS1AT1 (°C)]:[IS7AT2 (°C)]],"&lt;&gt;0",RD[[#This Row],[IS1AT1 (°C)]:[IS7AT2 (°C)]]),"")</f>
        <v>30.885080437781902</v>
      </c>
      <c r="DC71" s="204">
        <f>IFERROR(AVERAGEIF(RD[[#This Row],[IS1MT1 (°C)]:[IS7MT2 (°C)]],"&lt;&gt;0",RD[[#This Row],[IS1MT1 (°C)]:[IS7MT2 (°C)]]),"")</f>
        <v>42.526407222069111</v>
      </c>
      <c r="DD71" s="204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204">
        <f>IFERROR(AVERAGEIF(RD[[#This Row],[WS_Solar1_Avg (m/s)]:[IS7_WS_Solar1_Avg (m/s)]],"&lt;&gt;0",RD[[#This Row],[WS_Solar1_Avg (m/s)]:[IS7_WS_Solar1_Avg (m/s)]]),"")</f>
        <v>1.7956576993172271</v>
      </c>
      <c r="DG71" s="204">
        <f>IFERROR(AVERAGEIF(RD[[#This Row],[WS_Solar1_Max (m/s)]:[IS7_WS_Solar1_Max (m/s)]],"&lt;&gt;0",RD[[#This Row],[WS_Solar1_Max (m/s)]:[IS7_WS_Solar1_Max (m/s)]]),"")</f>
        <v>3.6509999999999998</v>
      </c>
      <c r="DH71" s="204">
        <f>SUM(RD[[#This Row],[IS1Inv1M1]:[IS4Inv4M2]])</f>
        <v>257955.80000000002</v>
      </c>
      <c r="DI71" s="205">
        <f>SUM(RD[[#This Row],[IS7Inv1M1]]+RD[[#This Row],[IS7Inv2M1]])</f>
        <v>15796.5</v>
      </c>
      <c r="DJ71" s="204">
        <f>SUM(RD[[#This Row],[IS5Inv1M1]:[IS5Inv2M2]])</f>
        <v>39343.300000000003</v>
      </c>
      <c r="DK71" s="204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86">
        <f>SUM(RD[[#This Row],[IS12Inv1M1]:[IS12Inv1M4]])</f>
        <v>30783</v>
      </c>
      <c r="DO71" s="286">
        <f>SUM(RD[[#This Row],[IS13Inv1M1]:[IS13Inv2M2]])</f>
        <v>36059.300000000003</v>
      </c>
      <c r="DP71" s="204">
        <f>SUM(RD[[#This Row],[O2R15]:[O2R26]])</f>
        <v>619614.70000000007</v>
      </c>
      <c r="DQ71" s="164">
        <v>42020.3</v>
      </c>
      <c r="DR71" s="168">
        <v>216.2</v>
      </c>
      <c r="DS71" s="164">
        <v>36519.800000000003</v>
      </c>
      <c r="DT71" s="164">
        <v>228.8</v>
      </c>
      <c r="DU71" s="168">
        <v>42753.1</v>
      </c>
      <c r="DV71" s="168">
        <v>410.6</v>
      </c>
      <c r="DW71" s="164">
        <v>10161.5</v>
      </c>
      <c r="DX71" s="168">
        <v>49.9</v>
      </c>
      <c r="DY71" s="168">
        <v>372.2</v>
      </c>
      <c r="DZ71" s="168">
        <v>1.4</v>
      </c>
      <c r="EA71" s="140">
        <v>99.29</v>
      </c>
      <c r="EB71" s="241">
        <v>135229038</v>
      </c>
      <c r="EC71" s="240">
        <v>969608.576</v>
      </c>
      <c r="ED71" s="241">
        <v>1165</v>
      </c>
      <c r="EE71" s="241">
        <v>129490</v>
      </c>
      <c r="EF71" s="164">
        <v>187518.5</v>
      </c>
      <c r="EG71" s="164">
        <v>1891.3</v>
      </c>
      <c r="EH71" s="146">
        <f>IF((RD[[#This Row],[33 kV_F3_Ex
Incomer1]]-DQ70)*1000&lt;0,0,(RD[[#This Row],[33 kV_F3_Ex
Incomer1]]-DQ70)*1000)</f>
        <v>129700.00000000437</v>
      </c>
      <c r="EI71" s="146">
        <f>IF((RD[[#This Row],[34 kV_F3_Im
Incomer1]]-DR70)*1000&lt;0,0,(RD[[#This Row],[34 kV_F3_Im
Incomer1]]-DR70)*1000)</f>
        <v>399.99999999997726</v>
      </c>
      <c r="EJ71" s="146">
        <f>IF((RD[[#This Row],[33 kV_F4_Ex
Incomer2]]-DS70)*1000&lt;0,0,(RD[[#This Row],[33 kV_F4_Ex
Incomer2]]-DS70)*1000)</f>
        <v>124500</v>
      </c>
      <c r="EK71" s="146">
        <f>IF((RD[[#This Row],[34 kV_F4_Im
Incomer2]]-DT70)*1000&lt;0,0,(RD[[#This Row],[34 kV_F4_Im
Incomer2]]-DT70)*1000)</f>
        <v>300.00000000001137</v>
      </c>
      <c r="EL71" s="146">
        <f>IF((RD[[#This Row],[33 kV_F5_Ex
Incomer3]]-DU70)*1000&lt;0,0,(RD[[#This Row],[33 kV_F5_Ex
Incomer3]]-DU70)*1000)</f>
        <v>168099.99999999854</v>
      </c>
      <c r="EM71" s="146">
        <f>IF((RD[[#This Row],[34 kV_F5_Im
Incomer3]]-DV70)*1000&lt;0,0,(RD[[#This Row],[34 kV_F5_Im
Incomer3]]-DV70)*1000)</f>
        <v>600.00000000002274</v>
      </c>
      <c r="EN71" s="146">
        <f>IF((RD[[#This Row],[33 kV_F6_Ex
Incomer4]]-DW70)*1000&lt;0,0,(RD[[#This Row],[33 kV_F6_Ex
Incomer4]]-DW70)*1000)</f>
        <v>14799.999999999272</v>
      </c>
      <c r="EO71" s="146">
        <f t="shared" ref="EO71:EO119" si="166">EK68</f>
        <v>400.00000000000568</v>
      </c>
      <c r="EP71" s="146">
        <f>IF((RD[[#This Row],[33 kV_F7_Ex
Incomer5]]-DY70)*1000&lt;0,0,(RD[[#This Row],[33 kV_F7_Ex
Incomer5]]-DY70)*1000)</f>
        <v>152399.99999999997</v>
      </c>
      <c r="EQ71" s="146">
        <f>IF((RD[[#This Row],[33 kV_F7_Im
Incomer5]]-DZ70)*1000&lt;0,0,(RD[[#This Row],[33 kV_F7_Im
Incomer5]]-DZ70)*1000)</f>
        <v>499.99999999999989</v>
      </c>
      <c r="ER71" s="146">
        <f>IF((RD[[#This Row],[33 kV_Aux Trafo]]-EA70)*1000&lt;0,0,(RD[[#This Row],[33 kV_Aux Trafo]]-EA70)*1000)</f>
        <v>260.00000000000512</v>
      </c>
      <c r="ES71" s="158">
        <f>IF((RD[[#This Row],[33kV_OG1_Ex_]]-EB70)*1&lt;0,0,(RD[[#This Row],[33kV_OG1_Ex_]]-EB70)*1)</f>
        <v>610238</v>
      </c>
      <c r="ET71" s="146">
        <f>IF((RD[[#This Row],[33kV_OG1_Im]]-EC70)*1&lt;0,0,(RD[[#This Row],[33kV_OG1_Im]]-EC70)*1)</f>
        <v>2178.9440000000177</v>
      </c>
      <c r="EU71" s="146">
        <f>IF((RD[[#This Row],[132kV_TX1_EX]]-ED70)*720&lt;=0,"",(RD[[#This Row],[132kV_TX1_EX]]-ED70)*720)</f>
        <v>2160</v>
      </c>
      <c r="EV71" s="146">
        <f>IF((RD[[#This Row],[132 kV_Tx1_Im]]-EE70)*720&lt;=0,0,(RD[[#This Row],[132 kV_Tx1_Im]]-EE70)*720)</f>
        <v>437760</v>
      </c>
      <c r="EW71" s="146">
        <f>IF((RD[[#This Row],[132kV_L1_Ex]]-EF70)*720&lt;=0,0,(RD[[#This Row],[132kV_L1_Ex]]-EF70)*720)</f>
        <v>608184.00000000838</v>
      </c>
      <c r="EX71" s="146">
        <f>IF((RD[[#This Row],[132kV_L1_Im]]-EG70)*720&lt;=0,0,(RD[[#This Row],[132kV_L1_Im]]-EG70)*720)</f>
        <v>2591.9999999999345</v>
      </c>
      <c r="EY71" s="242">
        <f>IFERROR(RD[[#This Row],[33kV_OG1_Ex (MWh)]]+RD[[#This Row],[33kV_OG1_Im (MWh)]],"")</f>
        <v>612416.94400000002</v>
      </c>
      <c r="EZ71" s="148">
        <f>RD[[#This Row],[33kV_OG1_Ex (MWh)]]-RD[[#This Row],[33kV_OG1_Im (MWh)]]</f>
        <v>608059.05599999998</v>
      </c>
      <c r="FA71" s="148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43">
        <f>IFERROR((RD[[#This Row],[Sunset Time (POA&lt;20 W/m2)]]-RD[[#This Row],[Sunrise Time (POA&gt;20 W/m2)]])*24,0)</f>
        <v>12.65</v>
      </c>
      <c r="FD71" s="244">
        <v>122.7</v>
      </c>
      <c r="FE71" t="s">
        <v>293</v>
      </c>
      <c r="FG71" s="144" t="str">
        <f>IFERROR(RD[[#This Row],[E_AC (WPR)]]/RD[[#This Row],[E_DC (WPR)]],"")</f>
        <v/>
      </c>
    </row>
    <row r="72" spans="1:163">
      <c r="A72" s="133">
        <f t="shared" si="161"/>
        <v>45812</v>
      </c>
      <c r="B72" s="138">
        <f>YEAR(RD[[#This Row],[Date]])+IF(MONTH(RD[[#This Row],[Date]])&gt;=4,1,0)</f>
        <v>2026</v>
      </c>
      <c r="C72" s="138">
        <f>YEAR(RD[[#This Row],[Date]])</f>
        <v>2025</v>
      </c>
      <c r="D72" s="139">
        <f t="shared" si="165"/>
        <v>45809</v>
      </c>
      <c r="E72" s="138">
        <f>DAY(EOMONTH(RD[[#This Row],[Date]],0))</f>
        <v>30</v>
      </c>
      <c r="F72" s="152">
        <v>0.25138888888888888</v>
      </c>
      <c r="G72" s="162">
        <v>0.77847222222222223</v>
      </c>
      <c r="H72" s="124">
        <v>7632.1</v>
      </c>
      <c r="I72" s="268">
        <v>7582.8</v>
      </c>
      <c r="J72" s="124">
        <v>7210.8</v>
      </c>
      <c r="K72" s="124">
        <v>7250.3</v>
      </c>
      <c r="L72" s="124">
        <v>7450.9</v>
      </c>
      <c r="M72" s="124">
        <v>7631.9</v>
      </c>
      <c r="N72" s="124">
        <v>7436</v>
      </c>
      <c r="O72" s="124">
        <v>7898.5</v>
      </c>
      <c r="P72" s="124">
        <v>7462.1</v>
      </c>
      <c r="Q72" s="124">
        <v>7358</v>
      </c>
      <c r="R72" s="124">
        <v>7550.4</v>
      </c>
      <c r="S72" s="266">
        <v>7519.9</v>
      </c>
      <c r="T72" s="124">
        <v>7925.8</v>
      </c>
      <c r="U72" s="124">
        <v>7583.1</v>
      </c>
      <c r="V72" s="124">
        <v>7823.4</v>
      </c>
      <c r="W72" s="124">
        <v>7605.2</v>
      </c>
      <c r="X72" s="266">
        <v>10601.5</v>
      </c>
      <c r="Y72" s="203">
        <v>11403.4</v>
      </c>
      <c r="Z72" s="203">
        <v>10362.200000000001</v>
      </c>
      <c r="AA72" s="203">
        <v>10840.6</v>
      </c>
      <c r="AB72" s="266">
        <v>11327.3</v>
      </c>
      <c r="AC72" s="203">
        <v>7063.3</v>
      </c>
      <c r="AD72" s="203">
        <v>10764.3</v>
      </c>
      <c r="AE72" s="203">
        <v>10805</v>
      </c>
      <c r="AF72" s="266">
        <v>10699</v>
      </c>
      <c r="AG72" s="203">
        <v>10690</v>
      </c>
      <c r="AH72" s="203">
        <v>10609.3</v>
      </c>
      <c r="AI72" s="266">
        <v>10642.8</v>
      </c>
      <c r="AJ72" s="203">
        <v>9757.7000000000007</v>
      </c>
      <c r="AK72" s="266">
        <v>9956.9</v>
      </c>
      <c r="AL72" s="203">
        <v>9741.2999999999993</v>
      </c>
      <c r="AM72" s="266">
        <v>9822.9</v>
      </c>
      <c r="AN72" s="203">
        <v>9917.4</v>
      </c>
      <c r="AO72" s="266">
        <v>10314.200000000001</v>
      </c>
      <c r="AP72" s="203">
        <v>9975.2999999999993</v>
      </c>
      <c r="AQ72" s="266">
        <v>10036.6</v>
      </c>
      <c r="AR72" s="203">
        <v>8190.8</v>
      </c>
      <c r="AS72" s="266">
        <v>8263.5</v>
      </c>
      <c r="AT72" s="203">
        <v>8090.4</v>
      </c>
      <c r="AU72" s="266">
        <v>8011.9</v>
      </c>
      <c r="AV72" s="203">
        <v>8235.5</v>
      </c>
      <c r="AW72" s="203">
        <v>8238.7999999999993</v>
      </c>
      <c r="AX72" s="203">
        <v>11691</v>
      </c>
      <c r="AY72" s="203">
        <v>12863</v>
      </c>
      <c r="AZ72" s="203">
        <v>9585.9</v>
      </c>
      <c r="BA72" s="203">
        <v>11548.2</v>
      </c>
      <c r="BB72" s="203">
        <v>8576</v>
      </c>
      <c r="BC72" s="203">
        <v>8384</v>
      </c>
      <c r="BD72" s="203">
        <v>8705</v>
      </c>
      <c r="BE72" s="203">
        <v>9668</v>
      </c>
      <c r="BF72" s="203">
        <v>10273</v>
      </c>
      <c r="BG72" s="203">
        <v>10335</v>
      </c>
      <c r="BH72" s="203">
        <v>10176</v>
      </c>
      <c r="BI72" s="203">
        <v>10513</v>
      </c>
      <c r="BJ72" s="203">
        <v>7171</v>
      </c>
      <c r="BK72" s="203">
        <v>5724</v>
      </c>
      <c r="BL72" s="203">
        <v>6908</v>
      </c>
      <c r="BM72" s="203">
        <v>6820</v>
      </c>
      <c r="BN72" s="203">
        <v>7202</v>
      </c>
      <c r="BO72" s="203">
        <v>7068</v>
      </c>
      <c r="BP72" s="203">
        <v>7518</v>
      </c>
      <c r="BQ72" s="203">
        <v>7475</v>
      </c>
      <c r="BR72" s="203">
        <v>8620</v>
      </c>
      <c r="BS72" s="203">
        <v>8859</v>
      </c>
      <c r="BT72" s="203">
        <v>8452</v>
      </c>
      <c r="BU72" s="203">
        <v>8942</v>
      </c>
      <c r="BV72" s="203"/>
      <c r="BW72" s="203"/>
      <c r="BX72" s="203"/>
      <c r="BY72" s="203"/>
      <c r="BZ72" s="203">
        <v>1215</v>
      </c>
      <c r="CA72" s="203">
        <v>1024</v>
      </c>
      <c r="CB72" s="203">
        <v>4703</v>
      </c>
      <c r="CC72" s="203">
        <v>7639</v>
      </c>
      <c r="CD72" s="261">
        <v>5.8535785666666644</v>
      </c>
      <c r="CE72" s="261">
        <v>6.7301187833333396</v>
      </c>
      <c r="CF72" s="261">
        <v>6.1860936000000075</v>
      </c>
      <c r="CG72" s="261">
        <v>6.953709966666664</v>
      </c>
      <c r="CH72" s="261">
        <v>0.75762493333333358</v>
      </c>
      <c r="CI72" s="261">
        <v>0.90825860000000003</v>
      </c>
      <c r="CJ72" s="261">
        <v>1.0447018833333339</v>
      </c>
      <c r="CK72" s="261">
        <v>1.0297492500000009</v>
      </c>
      <c r="CL72" s="261">
        <v>30.294941471571889</v>
      </c>
      <c r="CM72" s="261">
        <v>30.269099249374449</v>
      </c>
      <c r="CN72" s="261">
        <v>44.444250836120418</v>
      </c>
      <c r="CO72" s="261">
        <v>42.723266055045826</v>
      </c>
      <c r="CP72" s="261">
        <v>57.948704013377935</v>
      </c>
      <c r="CQ72" s="261">
        <v>59.852418682235147</v>
      </c>
      <c r="CR72" s="261">
        <v>0</v>
      </c>
      <c r="CS72" s="261">
        <v>0</v>
      </c>
      <c r="CT72" s="261">
        <v>1.155366220735786</v>
      </c>
      <c r="CU72" s="261">
        <v>1.2187556296914104</v>
      </c>
      <c r="CV72" s="261">
        <v>3.0779999999999998</v>
      </c>
      <c r="CW72" s="261">
        <v>3.42</v>
      </c>
      <c r="CX72" s="204">
        <f>IFERROR(AVERAGEIF(RD[[#This Row],[IS1POA1 (KWh/m2)]:[IS7POA2 (KWh/m2)]],"&lt;&gt;0",RD[[#This Row],[IS1POA1 (KWh/m2)]:[IS7POA2 (KWh/m2)]]),"")</f>
        <v>6.2918486750000024</v>
      </c>
      <c r="CY72" s="204">
        <f>IFERROR(AVERAGEIF(RD[[#This Row],[IS1GHI1 (KWh/m2)]:[IS7GHI2 (KWh/m2)]],"&lt;&gt;0",RD[[#This Row],[IS1GHI1 (KWh/m2)]:[IS7GHI2 (KWh/m2)]]),"")</f>
        <v>6.5699017833333357</v>
      </c>
      <c r="CZ72" s="204">
        <f>IFERROR(AVERAGEIF(RD[[#This Row],[IS1POA_BS1 (KWh/m2)]:[IS7POA_BS2 (KWh/m2)]],"&lt;&gt;0",RD[[#This Row],[IS1POA_BS1 (KWh/m2)]:[IS7POA_BS2 (KWh/m2)]]),"")</f>
        <v>0.83294176666666675</v>
      </c>
      <c r="DA72" s="204">
        <f>IFERROR(AVERAGEIF(RD[[#This Row],[IS1GHI_BS1 (KWh/m2)]:[IS1GHI_BS1 (KWh/m2)2]],"&lt;&gt;0",RD[[#This Row],[IS1GHI_BS1 (KWh/m2)]:[IS1GHI_BS1 (KWh/m2)2]]),"")</f>
        <v>1.0372255666666674</v>
      </c>
      <c r="DB72" s="204">
        <f>IFERROR(AVERAGEIF(RD[[#This Row],[IS1AT1 (°C)]:[IS7AT2 (°C)]],"&lt;&gt;0",RD[[#This Row],[IS1AT1 (°C)]:[IS7AT2 (°C)]]),"")</f>
        <v>30.282020360473169</v>
      </c>
      <c r="DC72" s="204">
        <f>IFERROR(AVERAGEIF(RD[[#This Row],[IS1MT1 (°C)]:[IS7MT2 (°C)]],"&lt;&gt;0",RD[[#This Row],[IS1MT1 (°C)]:[IS7MT2 (°C)]]),"")</f>
        <v>43.583758445583122</v>
      </c>
      <c r="DD72" s="204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204">
        <f>IFERROR(AVERAGEIF(RD[[#This Row],[WS_Solar1_Avg (m/s)]:[IS7_WS_Solar1_Avg (m/s)]],"&lt;&gt;0",RD[[#This Row],[WS_Solar1_Avg (m/s)]:[IS7_WS_Solar1_Avg (m/s)]]),"")</f>
        <v>1.1870609252135982</v>
      </c>
      <c r="DG72" s="204">
        <f>IFERROR(AVERAGEIF(RD[[#This Row],[WS_Solar1_Max (m/s)]:[IS7_WS_Solar1_Max (m/s)]],"&lt;&gt;0",RD[[#This Row],[WS_Solar1_Max (m/s)]:[IS7_WS_Solar1_Max (m/s)]]),"")</f>
        <v>3.2489999999999997</v>
      </c>
      <c r="DH72" s="204">
        <f>SUM(RD[[#This Row],[IS1Inv1M1]:[IS4Inv4M2]])</f>
        <v>246729.89999999997</v>
      </c>
      <c r="DI72" s="205">
        <f>SUM(RD[[#This Row],[IS7Inv1M1]]+RD[[#This Row],[IS7Inv2M1]])</f>
        <v>16454.3</v>
      </c>
      <c r="DJ72" s="204">
        <f>SUM(RD[[#This Row],[IS5Inv1M1]:[IS5Inv2M2]])</f>
        <v>39278.799999999996</v>
      </c>
      <c r="DK72" s="204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86">
        <f>SUM(RD[[#This Row],[IS12Inv1M1]:[IS12Inv1M4]])</f>
        <v>29263</v>
      </c>
      <c r="DO72" s="286">
        <f>SUM(RD[[#This Row],[IS13Inv1M1]:[IS13Inv2M2]])</f>
        <v>34873</v>
      </c>
      <c r="DP72" s="204">
        <f>SUM(RD[[#This Row],[O2R15]:[O2R26]])</f>
        <v>602941.19999999995</v>
      </c>
      <c r="DQ72" s="164">
        <v>42145.2</v>
      </c>
      <c r="DR72" s="168">
        <v>216.6</v>
      </c>
      <c r="DS72" s="164">
        <v>36638.1</v>
      </c>
      <c r="DT72" s="164">
        <v>229.2</v>
      </c>
      <c r="DU72" s="168">
        <v>42924.9</v>
      </c>
      <c r="DV72" s="168">
        <v>411.2</v>
      </c>
      <c r="DW72" s="164">
        <v>10175.9</v>
      </c>
      <c r="DX72" s="168">
        <v>50.1</v>
      </c>
      <c r="DY72" s="168">
        <v>516.9</v>
      </c>
      <c r="DZ72" s="168">
        <v>1.9</v>
      </c>
      <c r="EA72" s="140">
        <v>99.57</v>
      </c>
      <c r="EB72" s="241">
        <v>135822893</v>
      </c>
      <c r="EC72" s="240">
        <v>971933.63199999998</v>
      </c>
      <c r="ED72" s="241">
        <v>1168</v>
      </c>
      <c r="EE72" s="241">
        <v>130001</v>
      </c>
      <c r="EF72" s="164">
        <v>188340.4</v>
      </c>
      <c r="EG72" s="164">
        <v>1895.3</v>
      </c>
      <c r="EH72" s="146">
        <f>IF((RD[[#This Row],[33 kV_F3_Ex
Incomer1]]-DQ71)*1000&lt;0,0,(RD[[#This Row],[33 kV_F3_Ex
Incomer1]]-DQ71)*1000)</f>
        <v>124899.99999999418</v>
      </c>
      <c r="EI72" s="146">
        <f>IF((RD[[#This Row],[34 kV_F3_Im
Incomer1]]-DR71)*1000&lt;0,0,(RD[[#This Row],[34 kV_F3_Im
Incomer1]]-DR71)*1000)</f>
        <v>400.00000000000568</v>
      </c>
      <c r="EJ72" s="146">
        <f>IF((RD[[#This Row],[33 kV_F4_Ex
Incomer2]]-DS71)*1000&lt;0,0,(RD[[#This Row],[33 kV_F4_Ex
Incomer2]]-DS71)*1000)</f>
        <v>118299.99999999563</v>
      </c>
      <c r="EK72" s="146">
        <f>IF((RD[[#This Row],[34 kV_F4_Im
Incomer2]]-DT71)*1000&lt;0,0,(RD[[#This Row],[34 kV_F4_Im
Incomer2]]-DT71)*1000)</f>
        <v>399.99999999997726</v>
      </c>
      <c r="EL72" s="146">
        <f>IF((RD[[#This Row],[33 kV_F5_Ex
Incomer3]]-DU71)*1000&lt;0,0,(RD[[#This Row],[33 kV_F5_Ex
Incomer3]]-DU71)*1000)</f>
        <v>171800.00000000291</v>
      </c>
      <c r="EM72" s="146">
        <f>IF((RD[[#This Row],[34 kV_F5_Im
Incomer3]]-DV71)*1000&lt;0,0,(RD[[#This Row],[34 kV_F5_Im
Incomer3]]-DV71)*1000)</f>
        <v>599.99999999996589</v>
      </c>
      <c r="EN72" s="146">
        <f>IF((RD[[#This Row],[33 kV_F6_Ex
Incomer4]]-DW71)*1000&lt;0,0,(RD[[#This Row],[33 kV_F6_Ex
Incomer4]]-DW71)*1000)</f>
        <v>14399.999999999636</v>
      </c>
      <c r="EO72" s="146">
        <f t="shared" si="166"/>
        <v>299.99999999998295</v>
      </c>
      <c r="EP72" s="146">
        <f>IF((RD[[#This Row],[33 kV_F7_Ex
Incomer5]]-DY71)*1000&lt;0,0,(RD[[#This Row],[33 kV_F7_Ex
Incomer5]]-DY71)*1000)</f>
        <v>144700</v>
      </c>
      <c r="EQ72" s="146">
        <f>IF((RD[[#This Row],[33 kV_F7_Im
Incomer5]]-DZ71)*1000&lt;0,0,(RD[[#This Row],[33 kV_F7_Im
Incomer5]]-DZ71)*1000)</f>
        <v>500</v>
      </c>
      <c r="ER72" s="146">
        <f>IF((RD[[#This Row],[33 kV_Aux Trafo]]-EA71)*1000&lt;0,0,(RD[[#This Row],[33 kV_Aux Trafo]]-EA71)*1000)</f>
        <v>279.99999999998693</v>
      </c>
      <c r="ES72" s="158">
        <f>IF((RD[[#This Row],[33kV_OG1_Ex_]]-EB71)*1&lt;0,0,(RD[[#This Row],[33kV_OG1_Ex_]]-EB71)*1)</f>
        <v>593855</v>
      </c>
      <c r="ET72" s="146">
        <f>IF((RD[[#This Row],[33kV_OG1_Im]]-EC71)*1&lt;0,0,(RD[[#This Row],[33kV_OG1_Im]]-EC71)*1)</f>
        <v>2325.0559999999823</v>
      </c>
      <c r="EU72" s="146">
        <f>IF((RD[[#This Row],[132kV_TX1_EX]]-ED71)*720&lt;=0,"",(RD[[#This Row],[132kV_TX1_EX]]-ED71)*720)</f>
        <v>2160</v>
      </c>
      <c r="EV72" s="146">
        <f>IF((RD[[#This Row],[132 kV_Tx1_Im]]-EE71)*720&lt;=0,0,(RD[[#This Row],[132 kV_Tx1_Im]]-EE71)*720)</f>
        <v>367920</v>
      </c>
      <c r="EW72" s="146">
        <f>IF((RD[[#This Row],[132kV_L1_Ex]]-EF71)*720&lt;=0,0,(RD[[#This Row],[132kV_L1_Ex]]-EF71)*720)</f>
        <v>591767.99999999581</v>
      </c>
      <c r="EX72" s="146">
        <f>IF((RD[[#This Row],[132kV_L1_Im]]-EG71)*720&lt;=0,0,(RD[[#This Row],[132kV_L1_Im]]-EG71)*720)</f>
        <v>2880</v>
      </c>
      <c r="EY72" s="242">
        <f>IFERROR(RD[[#This Row],[33kV_OG1_Ex (MWh)]]+RD[[#This Row],[33kV_OG1_Im (MWh)]],"")</f>
        <v>596180.05599999998</v>
      </c>
      <c r="EZ72" s="148">
        <f>RD[[#This Row],[33kV_OG1_Ex (MWh)]]-RD[[#This Row],[33kV_OG1_Im (MWh)]]</f>
        <v>591529.94400000002</v>
      </c>
      <c r="FA72" s="148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43">
        <f>IFERROR((RD[[#This Row],[Sunset Time (POA&lt;20 W/m2)]]-RD[[#This Row],[Sunrise Time (POA&gt;20 W/m2)]])*24,0)</f>
        <v>12.65</v>
      </c>
      <c r="FD72" s="244">
        <v>122.7</v>
      </c>
      <c r="FE72" t="s">
        <v>293</v>
      </c>
      <c r="FG72" s="144" t="str">
        <f>IFERROR(RD[[#This Row],[E_AC (WPR)]]/RD[[#This Row],[E_DC (WPR)]],"")</f>
        <v/>
      </c>
    </row>
    <row r="73" spans="1:163">
      <c r="A73" s="133">
        <f t="shared" si="161"/>
        <v>45813</v>
      </c>
      <c r="B73" s="138">
        <f>YEAR(RD[[#This Row],[Date]])+IF(MONTH(RD[[#This Row],[Date]])&gt;=4,1,0)</f>
        <v>2026</v>
      </c>
      <c r="C73" s="138">
        <f>YEAR(RD[[#This Row],[Date]])</f>
        <v>2025</v>
      </c>
      <c r="D73" s="139">
        <f t="shared" si="165"/>
        <v>45809</v>
      </c>
      <c r="E73" s="138">
        <f>DAY(EOMONTH(RD[[#This Row],[Date]],0))</f>
        <v>30</v>
      </c>
      <c r="F73" s="152">
        <v>0.25694444444444442</v>
      </c>
      <c r="G73" s="162">
        <v>0.77916666666666667</v>
      </c>
      <c r="H73" s="124">
        <v>8281.1</v>
      </c>
      <c r="I73" s="268">
        <v>8262.6</v>
      </c>
      <c r="J73" s="124">
        <v>7867.2</v>
      </c>
      <c r="K73" s="124">
        <v>7912</v>
      </c>
      <c r="L73" s="124">
        <v>8087.7</v>
      </c>
      <c r="M73" s="124">
        <v>8282.7999999999993</v>
      </c>
      <c r="N73" s="124">
        <v>8116.3</v>
      </c>
      <c r="O73" s="124">
        <v>8608.2000000000007</v>
      </c>
      <c r="P73" s="124">
        <v>8254.2000000000007</v>
      </c>
      <c r="Q73" s="124">
        <v>7977.2</v>
      </c>
      <c r="R73" s="124">
        <v>8241.2999999999993</v>
      </c>
      <c r="S73" s="266">
        <v>8310.4</v>
      </c>
      <c r="T73" s="124">
        <v>8740</v>
      </c>
      <c r="U73" s="124">
        <v>8432.2999999999993</v>
      </c>
      <c r="V73" s="124">
        <v>8480.1</v>
      </c>
      <c r="W73" s="124">
        <v>8278.4</v>
      </c>
      <c r="X73" s="266">
        <v>11671.1</v>
      </c>
      <c r="Y73" s="203">
        <v>12732.4</v>
      </c>
      <c r="Z73" s="203">
        <v>11347.5</v>
      </c>
      <c r="AA73" s="203">
        <v>11970.1</v>
      </c>
      <c r="AB73" s="266">
        <v>12469</v>
      </c>
      <c r="AC73" s="203">
        <v>7791</v>
      </c>
      <c r="AD73" s="203">
        <v>11783</v>
      </c>
      <c r="AE73" s="203">
        <v>12015.7</v>
      </c>
      <c r="AF73" s="266">
        <v>11589.4</v>
      </c>
      <c r="AG73" s="203">
        <v>11553</v>
      </c>
      <c r="AH73" s="203">
        <v>11523.8</v>
      </c>
      <c r="AI73" s="266">
        <v>11585.4</v>
      </c>
      <c r="AJ73" s="203">
        <v>9492.4</v>
      </c>
      <c r="AK73" s="266">
        <v>9743.2000000000007</v>
      </c>
      <c r="AL73" s="203">
        <v>9467.9</v>
      </c>
      <c r="AM73" s="266">
        <v>9585.9</v>
      </c>
      <c r="AN73" s="203">
        <v>9559.2000000000007</v>
      </c>
      <c r="AO73" s="266">
        <v>9907.6</v>
      </c>
      <c r="AP73" s="203">
        <v>9651.2999999999993</v>
      </c>
      <c r="AQ73" s="266">
        <v>9696.2999999999993</v>
      </c>
      <c r="AR73" s="203">
        <v>7927.7</v>
      </c>
      <c r="AS73" s="266">
        <v>8013.7</v>
      </c>
      <c r="AT73" s="203">
        <v>7801.1</v>
      </c>
      <c r="AU73" s="266">
        <v>7783.1</v>
      </c>
      <c r="AV73" s="203">
        <v>8025.1</v>
      </c>
      <c r="AW73" s="203">
        <v>8005.7</v>
      </c>
      <c r="AX73" s="203">
        <v>11323</v>
      </c>
      <c r="AY73" s="203">
        <v>12556.6</v>
      </c>
      <c r="AZ73" s="203">
        <v>9277.6</v>
      </c>
      <c r="BA73" s="203">
        <v>11220.9</v>
      </c>
      <c r="BB73" s="203">
        <v>9464</v>
      </c>
      <c r="BC73" s="203">
        <v>9272</v>
      </c>
      <c r="BD73" s="203">
        <v>9868</v>
      </c>
      <c r="BE73" s="203">
        <v>11162</v>
      </c>
      <c r="BF73" s="203">
        <v>12070</v>
      </c>
      <c r="BG73" s="203">
        <v>12149</v>
      </c>
      <c r="BH73" s="203">
        <v>11945</v>
      </c>
      <c r="BI73" s="203">
        <v>12210</v>
      </c>
      <c r="BJ73" s="203">
        <v>8216</v>
      </c>
      <c r="BK73" s="203">
        <v>6472</v>
      </c>
      <c r="BL73" s="203">
        <v>7757</v>
      </c>
      <c r="BM73" s="203">
        <v>7736</v>
      </c>
      <c r="BN73" s="203">
        <v>8205</v>
      </c>
      <c r="BO73" s="203">
        <v>7968</v>
      </c>
      <c r="BP73" s="203">
        <v>8486</v>
      </c>
      <c r="BQ73" s="203">
        <v>8427</v>
      </c>
      <c r="BR73" s="203">
        <v>9188</v>
      </c>
      <c r="BS73" s="203">
        <v>9510</v>
      </c>
      <c r="BT73" s="203">
        <v>9257</v>
      </c>
      <c r="BU73" s="203">
        <v>9582</v>
      </c>
      <c r="BV73" s="203"/>
      <c r="BW73" s="203"/>
      <c r="BX73" s="203"/>
      <c r="BY73" s="203"/>
      <c r="BZ73" s="203">
        <v>1291</v>
      </c>
      <c r="CA73" s="203">
        <v>1099</v>
      </c>
      <c r="CB73" s="203">
        <v>5018</v>
      </c>
      <c r="CC73" s="203">
        <v>8213</v>
      </c>
      <c r="CD73" s="261">
        <v>6.2057633833333297</v>
      </c>
      <c r="CE73" s="261">
        <v>6.387309466666677</v>
      </c>
      <c r="CF73" s="261">
        <v>6.5733590999999967</v>
      </c>
      <c r="CG73" s="261">
        <v>6.6100831333333367</v>
      </c>
      <c r="CH73" s="261">
        <v>0.76122695000000018</v>
      </c>
      <c r="CI73" s="261">
        <v>0.90203693333333324</v>
      </c>
      <c r="CJ73" s="261">
        <v>1.0785776500000002</v>
      </c>
      <c r="CK73" s="261">
        <v>0.97542740000000017</v>
      </c>
      <c r="CL73" s="261">
        <v>29.769476228847697</v>
      </c>
      <c r="CM73" s="261">
        <v>30.050128617363331</v>
      </c>
      <c r="CN73" s="261">
        <v>44.405913779210387</v>
      </c>
      <c r="CO73" s="261">
        <v>42.52203536977494</v>
      </c>
      <c r="CP73" s="261">
        <v>61.966430298146804</v>
      </c>
      <c r="CQ73" s="261">
        <v>61.749268488746097</v>
      </c>
      <c r="CR73" s="261">
        <v>3.4037066881547208E-2</v>
      </c>
      <c r="CS73" s="261">
        <v>9.6463022508038506E-3</v>
      </c>
      <c r="CT73" s="261">
        <v>0.9535817888799355</v>
      </c>
      <c r="CU73" s="261">
        <v>1.0194501607717033</v>
      </c>
      <c r="CV73" s="261">
        <v>2.7719999999999998</v>
      </c>
      <c r="CW73" s="261">
        <v>3.0990000000000002</v>
      </c>
      <c r="CX73" s="204">
        <f>IFERROR(AVERAGEIF(RD[[#This Row],[IS1POA1 (KWh/m2)]:[IS7POA2 (KWh/m2)]],"&lt;&gt;0",RD[[#This Row],[IS1POA1 (KWh/m2)]:[IS7POA2 (KWh/m2)]]),"")</f>
        <v>6.2965364250000029</v>
      </c>
      <c r="CY73" s="204">
        <f>IFERROR(AVERAGEIF(RD[[#This Row],[IS1GHI1 (KWh/m2)]:[IS7GHI2 (KWh/m2)]],"&lt;&gt;0",RD[[#This Row],[IS1GHI1 (KWh/m2)]:[IS7GHI2 (KWh/m2)]]),"")</f>
        <v>6.5917211166666672</v>
      </c>
      <c r="CZ73" s="204">
        <f>IFERROR(AVERAGEIF(RD[[#This Row],[IS1POA_BS1 (KWh/m2)]:[IS7POA_BS2 (KWh/m2)]],"&lt;&gt;0",RD[[#This Row],[IS1POA_BS1 (KWh/m2)]:[IS7POA_BS2 (KWh/m2)]]),"")</f>
        <v>0.83163194166666665</v>
      </c>
      <c r="DA73" s="204">
        <f>IFERROR(AVERAGEIF(RD[[#This Row],[IS1GHI_BS1 (KWh/m2)]:[IS1GHI_BS1 (KWh/m2)2]],"&lt;&gt;0",RD[[#This Row],[IS1GHI_BS1 (KWh/m2)]:[IS1GHI_BS1 (KWh/m2)2]]),"")</f>
        <v>1.0270025250000001</v>
      </c>
      <c r="DB73" s="204">
        <f>IFERROR(AVERAGEIF(RD[[#This Row],[IS1AT1 (°C)]:[IS7AT2 (°C)]],"&lt;&gt;0",RD[[#This Row],[IS1AT1 (°C)]:[IS7AT2 (°C)]]),"")</f>
        <v>29.909802423105514</v>
      </c>
      <c r="DC73" s="204">
        <f>IFERROR(AVERAGEIF(RD[[#This Row],[IS1MT1 (°C)]:[IS7MT2 (°C)]],"&lt;&gt;0",RD[[#This Row],[IS1MT1 (°C)]:[IS7MT2 (°C)]]),"")</f>
        <v>43.463974574492667</v>
      </c>
      <c r="DD73" s="204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204">
        <f>IFERROR(AVERAGEIF(RD[[#This Row],[WS_Solar1_Avg (m/s)]:[IS7_WS_Solar1_Avg (m/s)]],"&lt;&gt;0",RD[[#This Row],[WS_Solar1_Avg (m/s)]:[IS7_WS_Solar1_Avg (m/s)]]),"")</f>
        <v>0.98651597482581943</v>
      </c>
      <c r="DG73" s="204">
        <f>IFERROR(AVERAGEIF(RD[[#This Row],[WS_Solar1_Max (m/s)]:[IS7_WS_Solar1_Max (m/s)]],"&lt;&gt;0",RD[[#This Row],[WS_Solar1_Max (m/s)]:[IS7_WS_Solar1_Max (m/s)]]),"")</f>
        <v>2.9355000000000002</v>
      </c>
      <c r="DH73" s="204">
        <f>SUM(RD[[#This Row],[IS1Inv1M1]:[IS4Inv4M2]])</f>
        <v>270163.20000000001</v>
      </c>
      <c r="DI73" s="205">
        <f>SUM(RD[[#This Row],[IS7Inv1M1]]+RD[[#This Row],[IS7Inv2M1]])</f>
        <v>15941.4</v>
      </c>
      <c r="DJ73" s="204">
        <f>SUM(RD[[#This Row],[IS5Inv1M1]:[IS5Inv2M2]])</f>
        <v>38289.4</v>
      </c>
      <c r="DK73" s="204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86">
        <f>SUM(RD[[#This Row],[IS12Inv1M1]:[IS12Inv1M4]])</f>
        <v>33086</v>
      </c>
      <c r="DO73" s="286">
        <f>SUM(RD[[#This Row],[IS13Inv1M1]:[IS13Inv2M2]])</f>
        <v>37537</v>
      </c>
      <c r="DP73" s="204">
        <f>SUM(RD[[#This Row],[O2R15]:[O2R26]])</f>
        <v>643766.5</v>
      </c>
      <c r="DQ73" s="164">
        <v>42282.3</v>
      </c>
      <c r="DR73" s="168">
        <v>216.9</v>
      </c>
      <c r="DS73" s="164">
        <v>36766.5</v>
      </c>
      <c r="DT73" s="164">
        <v>229.5</v>
      </c>
      <c r="DU73" s="168">
        <v>43091.5</v>
      </c>
      <c r="DV73" s="168">
        <v>411.8</v>
      </c>
      <c r="DW73" s="164">
        <v>10191.4</v>
      </c>
      <c r="DX73" s="168">
        <v>50.3</v>
      </c>
      <c r="DY73" s="168">
        <v>679</v>
      </c>
      <c r="DZ73" s="168">
        <v>2.4</v>
      </c>
      <c r="EA73" s="140">
        <v>99.84</v>
      </c>
      <c r="EB73" s="241">
        <v>136456110</v>
      </c>
      <c r="EC73" s="240">
        <v>974043.45600000001</v>
      </c>
      <c r="ED73" s="241">
        <v>1171</v>
      </c>
      <c r="EE73" s="241">
        <v>130712</v>
      </c>
      <c r="EF73" s="164">
        <v>189217</v>
      </c>
      <c r="EG73" s="164">
        <v>1898.9</v>
      </c>
      <c r="EH73" s="146">
        <f>IF((RD[[#This Row],[33 kV_F3_Ex
Incomer1]]-DQ72)*1000&lt;0,0,(RD[[#This Row],[33 kV_F3_Ex
Incomer1]]-DQ72)*1000)</f>
        <v>137100.00000000582</v>
      </c>
      <c r="EI73" s="146">
        <f>IF((RD[[#This Row],[34 kV_F3_Im
Incomer1]]-DR72)*1000&lt;0,0,(RD[[#This Row],[34 kV_F3_Im
Incomer1]]-DR72)*1000)</f>
        <v>300.00000000001137</v>
      </c>
      <c r="EJ73" s="146">
        <f>IF((RD[[#This Row],[33 kV_F4_Ex
Incomer2]]-DS72)*1000&lt;0,0,(RD[[#This Row],[33 kV_F4_Ex
Incomer2]]-DS72)*1000)</f>
        <v>128400.00000000146</v>
      </c>
      <c r="EK73" s="146">
        <f>IF((RD[[#This Row],[34 kV_F4_Im
Incomer2]]-DT72)*1000&lt;0,0,(RD[[#This Row],[34 kV_F4_Im
Incomer2]]-DT72)*1000)</f>
        <v>300.00000000001137</v>
      </c>
      <c r="EL73" s="146">
        <f>IF((RD[[#This Row],[33 kV_F5_Ex
Incomer3]]-DU72)*1000&lt;0,0,(RD[[#This Row],[33 kV_F5_Ex
Incomer3]]-DU72)*1000)</f>
        <v>166599.99999999854</v>
      </c>
      <c r="EM73" s="146">
        <f>IF((RD[[#This Row],[34 kV_F5_Im
Incomer3]]-DV72)*1000&lt;0,0,(RD[[#This Row],[34 kV_F5_Im
Incomer3]]-DV72)*1000)</f>
        <v>600.00000000002274</v>
      </c>
      <c r="EN73" s="146">
        <f>IF((RD[[#This Row],[33 kV_F6_Ex
Incomer4]]-DW72)*1000&lt;0,0,(RD[[#This Row],[33 kV_F6_Ex
Incomer4]]-DW72)*1000)</f>
        <v>15500</v>
      </c>
      <c r="EO73" s="146">
        <f t="shared" si="166"/>
        <v>300.00000000001137</v>
      </c>
      <c r="EP73" s="146">
        <f>IF((RD[[#This Row],[33 kV_F7_Ex
Incomer5]]-DY72)*1000&lt;0,0,(RD[[#This Row],[33 kV_F7_Ex
Incomer5]]-DY72)*1000)</f>
        <v>162100.00000000003</v>
      </c>
      <c r="EQ73" s="146">
        <f>IF((RD[[#This Row],[33 kV_F7_Im
Incomer5]]-DZ72)*1000&lt;0,0,(RD[[#This Row],[33 kV_F7_Im
Incomer5]]-DZ72)*1000)</f>
        <v>500</v>
      </c>
      <c r="ER73" s="146">
        <f>IF((RD[[#This Row],[33 kV_Aux Trafo]]-EA72)*1000&lt;0,0,(RD[[#This Row],[33 kV_Aux Trafo]]-EA72)*1000)</f>
        <v>270.00000000001023</v>
      </c>
      <c r="ES73" s="158">
        <f>IF((RD[[#This Row],[33kV_OG1_Ex_]]-EB72)*1&lt;0,0,(RD[[#This Row],[33kV_OG1_Ex_]]-EB72)*1)</f>
        <v>633217</v>
      </c>
      <c r="ET73" s="146">
        <f>IF((RD[[#This Row],[33kV_OG1_Im]]-EC72)*1&lt;0,0,(RD[[#This Row],[33kV_OG1_Im]]-EC72)*1)</f>
        <v>2109.8240000000224</v>
      </c>
      <c r="EU73" s="146">
        <f>IF((RD[[#This Row],[132kV_TX1_EX]]-ED72)*720&lt;=0,"",(RD[[#This Row],[132kV_TX1_EX]]-ED72)*720)</f>
        <v>2160</v>
      </c>
      <c r="EV73" s="146">
        <f>IF((RD[[#This Row],[132 kV_Tx1_Im]]-EE72)*720&lt;=0,0,(RD[[#This Row],[132 kV_Tx1_Im]]-EE72)*720)</f>
        <v>511920</v>
      </c>
      <c r="EW73" s="146">
        <f>IF((RD[[#This Row],[132kV_L1_Ex]]-EF72)*720&lt;=0,0,(RD[[#This Row],[132kV_L1_Ex]]-EF72)*720)</f>
        <v>631152.00000000419</v>
      </c>
      <c r="EX73" s="146">
        <f>IF((RD[[#This Row],[132kV_L1_Im]]-EG72)*720&lt;=0,0,(RD[[#This Row],[132kV_L1_Im]]-EG72)*720)</f>
        <v>2592.0000000000982</v>
      </c>
      <c r="EY73" s="242">
        <f>IFERROR(RD[[#This Row],[33kV_OG1_Ex (MWh)]]+RD[[#This Row],[33kV_OG1_Im (MWh)]],"")</f>
        <v>635326.82400000002</v>
      </c>
      <c r="EZ73" s="148">
        <f>RD[[#This Row],[33kV_OG1_Ex (MWh)]]-RD[[#This Row],[33kV_OG1_Im (MWh)]]</f>
        <v>631107.17599999998</v>
      </c>
      <c r="FA73" s="148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43">
        <f>IFERROR((RD[[#This Row],[Sunset Time (POA&lt;20 W/m2)]]-RD[[#This Row],[Sunrise Time (POA&gt;20 W/m2)]])*24,0)</f>
        <v>12.533333333333335</v>
      </c>
      <c r="FD73" s="244">
        <v>122.7</v>
      </c>
      <c r="FE73" t="s">
        <v>293</v>
      </c>
      <c r="FG73" s="144" t="str">
        <f>IFERROR(RD[[#This Row],[E_AC (WPR)]]/RD[[#This Row],[E_DC (WPR)]],"")</f>
        <v/>
      </c>
    </row>
    <row r="74" spans="1:163">
      <c r="A74" s="133">
        <f t="shared" si="161"/>
        <v>45814</v>
      </c>
      <c r="B74" s="138">
        <f>YEAR(RD[[#This Row],[Date]])+IF(MONTH(RD[[#This Row],[Date]])&gt;=4,1,0)</f>
        <v>2026</v>
      </c>
      <c r="C74" s="138">
        <f>YEAR(RD[[#This Row],[Date]])</f>
        <v>2025</v>
      </c>
      <c r="D74" s="139">
        <f t="shared" si="165"/>
        <v>45809</v>
      </c>
      <c r="E74" s="138">
        <f>DAY(EOMONTH(RD[[#This Row],[Date]],0))</f>
        <v>30</v>
      </c>
      <c r="F74" s="152">
        <v>0.25277777777777777</v>
      </c>
      <c r="G74" s="162">
        <v>0.7729166666666667</v>
      </c>
      <c r="H74" s="124">
        <v>8084.3</v>
      </c>
      <c r="I74" s="268">
        <v>7928.7</v>
      </c>
      <c r="J74" s="124">
        <v>7489.5</v>
      </c>
      <c r="K74" s="124">
        <v>7685.5</v>
      </c>
      <c r="L74" s="124">
        <v>7962.5</v>
      </c>
      <c r="M74" s="124">
        <v>8215.6</v>
      </c>
      <c r="N74" s="124">
        <v>7907.7</v>
      </c>
      <c r="O74" s="124">
        <v>8590</v>
      </c>
      <c r="P74" s="124">
        <v>7898.9</v>
      </c>
      <c r="Q74" s="124">
        <v>7809.3</v>
      </c>
      <c r="R74" s="124">
        <v>8123.4</v>
      </c>
      <c r="S74" s="266">
        <v>8102.8</v>
      </c>
      <c r="T74" s="124">
        <v>8327.1</v>
      </c>
      <c r="U74" s="124">
        <v>8232.7999999999993</v>
      </c>
      <c r="V74" s="124">
        <v>8169.1</v>
      </c>
      <c r="W74" s="124">
        <v>7825.5</v>
      </c>
      <c r="X74" s="266">
        <v>11133.8</v>
      </c>
      <c r="Y74" s="203">
        <v>12222.2</v>
      </c>
      <c r="Z74" s="203">
        <v>10708</v>
      </c>
      <c r="AA74" s="203">
        <v>11205.4</v>
      </c>
      <c r="AB74" s="266">
        <v>12104</v>
      </c>
      <c r="AC74" s="203">
        <v>7353.6</v>
      </c>
      <c r="AD74" s="203">
        <v>11306.6</v>
      </c>
      <c r="AE74" s="203">
        <v>11537.1</v>
      </c>
      <c r="AF74" s="266">
        <v>11164.4</v>
      </c>
      <c r="AG74" s="203">
        <v>11106</v>
      </c>
      <c r="AH74" s="203">
        <v>11124</v>
      </c>
      <c r="AI74" s="266">
        <v>11243.4</v>
      </c>
      <c r="AJ74" s="203">
        <v>9626.6</v>
      </c>
      <c r="AK74" s="266">
        <v>9863.2999999999993</v>
      </c>
      <c r="AL74" s="203">
        <v>9669.2000000000007</v>
      </c>
      <c r="AM74" s="266">
        <v>9692.7999999999993</v>
      </c>
      <c r="AN74" s="203">
        <v>9743.1</v>
      </c>
      <c r="AO74" s="266">
        <v>10070.6</v>
      </c>
      <c r="AP74" s="203">
        <v>9897.2999999999993</v>
      </c>
      <c r="AQ74" s="266">
        <v>9799.7999999999993</v>
      </c>
      <c r="AR74" s="203">
        <v>8031.9</v>
      </c>
      <c r="AS74" s="266">
        <v>8107.7</v>
      </c>
      <c r="AT74" s="203">
        <v>8053.3</v>
      </c>
      <c r="AU74" s="266">
        <v>7966.1</v>
      </c>
      <c r="AV74" s="203">
        <v>8223.7000000000007</v>
      </c>
      <c r="AW74" s="203">
        <v>8134.2</v>
      </c>
      <c r="AX74" s="203">
        <v>11357.5</v>
      </c>
      <c r="AY74" s="203">
        <v>12721.3</v>
      </c>
      <c r="AZ74" s="203">
        <v>9299.7999999999993</v>
      </c>
      <c r="BA74" s="203">
        <v>11318.6</v>
      </c>
      <c r="BB74" s="203">
        <v>9769</v>
      </c>
      <c r="BC74" s="203">
        <v>9550</v>
      </c>
      <c r="BD74" s="203">
        <v>9904</v>
      </c>
      <c r="BE74" s="203">
        <v>11220</v>
      </c>
      <c r="BF74" s="203">
        <v>12372</v>
      </c>
      <c r="BG74" s="203">
        <v>12395</v>
      </c>
      <c r="BH74" s="203">
        <v>12041</v>
      </c>
      <c r="BI74" s="203">
        <v>12292</v>
      </c>
      <c r="BJ74" s="203">
        <v>8155</v>
      </c>
      <c r="BK74" s="203">
        <v>6577</v>
      </c>
      <c r="BL74" s="203">
        <v>7458</v>
      </c>
      <c r="BM74" s="203">
        <v>7701</v>
      </c>
      <c r="BN74" s="203">
        <v>8563</v>
      </c>
      <c r="BO74" s="203">
        <v>8204</v>
      </c>
      <c r="BP74" s="203">
        <v>8756</v>
      </c>
      <c r="BQ74" s="203">
        <v>8779</v>
      </c>
      <c r="BR74" s="203">
        <v>8897</v>
      </c>
      <c r="BS74" s="203">
        <v>9163</v>
      </c>
      <c r="BT74" s="203">
        <v>9052</v>
      </c>
      <c r="BU74" s="203">
        <v>9439</v>
      </c>
      <c r="BV74" s="203"/>
      <c r="BW74" s="203"/>
      <c r="BX74" s="203"/>
      <c r="BY74" s="203"/>
      <c r="BZ74" s="203">
        <v>1232</v>
      </c>
      <c r="CA74" s="203">
        <v>1044</v>
      </c>
      <c r="CB74" s="203">
        <v>4787</v>
      </c>
      <c r="CC74" s="203">
        <v>7999</v>
      </c>
      <c r="CD74" s="261">
        <v>6.1054593333333464</v>
      </c>
      <c r="CE74" s="261">
        <v>6.4430678833333204</v>
      </c>
      <c r="CF74" s="261">
        <v>6.4355745999999954</v>
      </c>
      <c r="CG74" s="261">
        <v>6.6994924999999892</v>
      </c>
      <c r="CH74" s="261">
        <v>0.78388908333333429</v>
      </c>
      <c r="CI74" s="261">
        <v>6.4430678833333204</v>
      </c>
      <c r="CJ74" s="261">
        <v>1.087846399999999</v>
      </c>
      <c r="CK74" s="261">
        <v>1.014569033333333</v>
      </c>
      <c r="CL74" s="261">
        <v>31.874053231939119</v>
      </c>
      <c r="CM74" s="261">
        <v>32.140728862973845</v>
      </c>
      <c r="CN74" s="261">
        <v>45.226208365018962</v>
      </c>
      <c r="CO74" s="261">
        <v>43.342778425655951</v>
      </c>
      <c r="CP74" s="261">
        <v>51.926783269961987</v>
      </c>
      <c r="CQ74" s="261">
        <v>52.110430029154571</v>
      </c>
      <c r="CR74" s="261">
        <v>0</v>
      </c>
      <c r="CS74" s="261">
        <v>0</v>
      </c>
      <c r="CT74" s="261">
        <v>1.2547756653992401</v>
      </c>
      <c r="CU74" s="261">
        <v>1.2394919825072883</v>
      </c>
      <c r="CV74" s="261">
        <v>2.7570000000000001</v>
      </c>
      <c r="CW74" s="261">
        <v>2.8860000000000001</v>
      </c>
      <c r="CX74" s="204">
        <f>IFERROR(AVERAGEIF(RD[[#This Row],[IS1POA1 (KWh/m2)]:[IS7POA2 (KWh/m2)]],"&lt;&gt;0",RD[[#This Row],[IS1POA1 (KWh/m2)]:[IS7POA2 (KWh/m2)]]),"")</f>
        <v>6.2742636083333334</v>
      </c>
      <c r="CY74" s="204">
        <f>IFERROR(AVERAGEIF(RD[[#This Row],[IS1GHI1 (KWh/m2)]:[IS7GHI2 (KWh/m2)]],"&lt;&gt;0",RD[[#This Row],[IS1GHI1 (KWh/m2)]:[IS7GHI2 (KWh/m2)]]),"")</f>
        <v>6.5675335499999923</v>
      </c>
      <c r="CZ74" s="204">
        <f>IFERROR(AVERAGEIF(RD[[#This Row],[IS1POA_BS1 (KWh/m2)]:[IS7POA_BS2 (KWh/m2)]],"&lt;&gt;0",RD[[#This Row],[IS1POA_BS1 (KWh/m2)]:[IS7POA_BS2 (KWh/m2)]]),"")</f>
        <v>3.6134784833333273</v>
      </c>
      <c r="DA74" s="204">
        <f>IFERROR(AVERAGEIF(RD[[#This Row],[IS1GHI_BS1 (KWh/m2)]:[IS1GHI_BS1 (KWh/m2)2]],"&lt;&gt;0",RD[[#This Row],[IS1GHI_BS1 (KWh/m2)]:[IS1GHI_BS1 (KWh/m2)2]]),"")</f>
        <v>1.051207716666666</v>
      </c>
      <c r="DB74" s="204">
        <f>IFERROR(AVERAGEIF(RD[[#This Row],[IS1AT1 (°C)]:[IS7AT2 (°C)]],"&lt;&gt;0",RD[[#This Row],[IS1AT1 (°C)]:[IS7AT2 (°C)]]),"")</f>
        <v>32.00739104745648</v>
      </c>
      <c r="DC74" s="204">
        <f>IFERROR(AVERAGEIF(RD[[#This Row],[IS1MT1 (°C)]:[IS7MT2 (°C)]],"&lt;&gt;0",RD[[#This Row],[IS1MT1 (°C)]:[IS7MT2 (°C)]]),"")</f>
        <v>44.284493395337456</v>
      </c>
      <c r="DD74" s="204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204">
        <f>IFERROR(AVERAGEIF(RD[[#This Row],[WS_Solar1_Avg (m/s)]:[IS7_WS_Solar1_Avg (m/s)]],"&lt;&gt;0",RD[[#This Row],[WS_Solar1_Avg (m/s)]:[IS7_WS_Solar1_Avg (m/s)]]),"")</f>
        <v>1.2471338239532641</v>
      </c>
      <c r="DG74" s="204">
        <f>IFERROR(AVERAGEIF(RD[[#This Row],[WS_Solar1_Max (m/s)]:[IS7_WS_Solar1_Max (m/s)]],"&lt;&gt;0",RD[[#This Row],[WS_Solar1_Max (m/s)]:[IS7_WS_Solar1_Max (m/s)]]),"")</f>
        <v>2.8215000000000003</v>
      </c>
      <c r="DH74" s="204">
        <f>SUM(RD[[#This Row],[IS1Inv1M1]:[IS4Inv4M2]])</f>
        <v>260561.2</v>
      </c>
      <c r="DI74" s="205">
        <f>SUM(RD[[#This Row],[IS7Inv1M1]]+RD[[#This Row],[IS7Inv2M1]])</f>
        <v>16139.599999999999</v>
      </c>
      <c r="DJ74" s="204">
        <f>SUM(RD[[#This Row],[IS5Inv1M1]:[IS5Inv2M2]])</f>
        <v>38851.9</v>
      </c>
      <c r="DK74" s="204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86">
        <f>SUM(RD[[#This Row],[IS12Inv1M1]:[IS12Inv1M4]])</f>
        <v>34302</v>
      </c>
      <c r="DO74" s="286">
        <f>SUM(RD[[#This Row],[IS13Inv1M1]:[IS13Inv2M2]])</f>
        <v>36551</v>
      </c>
      <c r="DP74" s="204">
        <f>SUM(RD[[#This Row],[O2R15]:[O2R26]])</f>
        <v>637487</v>
      </c>
      <c r="DQ74" s="164">
        <v>42413.5</v>
      </c>
      <c r="DR74" s="168">
        <v>217.3</v>
      </c>
      <c r="DS74" s="164">
        <v>36891.599999999999</v>
      </c>
      <c r="DT74" s="164">
        <v>229.9</v>
      </c>
      <c r="DU74" s="168">
        <v>43260.7</v>
      </c>
      <c r="DV74" s="168">
        <v>412.6</v>
      </c>
      <c r="DW74" s="164">
        <v>10206.299999999999</v>
      </c>
      <c r="DX74" s="168">
        <v>50.5</v>
      </c>
      <c r="DY74" s="168">
        <v>842.4</v>
      </c>
      <c r="DZ74" s="168">
        <v>2.9</v>
      </c>
      <c r="EA74" s="140">
        <v>100.13</v>
      </c>
      <c r="EB74" s="241">
        <v>137083346</v>
      </c>
      <c r="EC74" s="240">
        <v>976484.67200000002</v>
      </c>
      <c r="ED74" s="241">
        <v>1174</v>
      </c>
      <c r="EE74" s="241">
        <v>131336</v>
      </c>
      <c r="EF74" s="164">
        <v>190085.3</v>
      </c>
      <c r="EG74" s="164">
        <v>1903.1</v>
      </c>
      <c r="EH74" s="146">
        <f>IF((RD[[#This Row],[33 kV_F3_Ex
Incomer1]]-DQ73)*1000&lt;0,0,(RD[[#This Row],[33 kV_F3_Ex
Incomer1]]-DQ73)*1000)</f>
        <v>131199.99999999709</v>
      </c>
      <c r="EI74" s="146">
        <f>IF((RD[[#This Row],[34 kV_F3_Im
Incomer1]]-DR73)*1000&lt;0,0,(RD[[#This Row],[34 kV_F3_Im
Incomer1]]-DR73)*1000)</f>
        <v>400.00000000000568</v>
      </c>
      <c r="EJ74" s="146">
        <f>IF((RD[[#This Row],[33 kV_F4_Ex
Incomer2]]-DS73)*1000&lt;0,0,(RD[[#This Row],[33 kV_F4_Ex
Incomer2]]-DS73)*1000)</f>
        <v>125099.99999999854</v>
      </c>
      <c r="EK74" s="146">
        <f>IF((RD[[#This Row],[34 kV_F4_Im
Incomer2]]-DT73)*1000&lt;0,0,(RD[[#This Row],[34 kV_F4_Im
Incomer2]]-DT73)*1000)</f>
        <v>400.00000000000568</v>
      </c>
      <c r="EL74" s="146">
        <f>IF((RD[[#This Row],[33 kV_F5_Ex
Incomer3]]-DU73)*1000&lt;0,0,(RD[[#This Row],[33 kV_F5_Ex
Incomer3]]-DU73)*1000)</f>
        <v>169199.99999999709</v>
      </c>
      <c r="EM74" s="146">
        <f>IF((RD[[#This Row],[34 kV_F5_Im
Incomer3]]-DV73)*1000&lt;0,0,(RD[[#This Row],[34 kV_F5_Im
Incomer3]]-DV73)*1000)</f>
        <v>800.00000000001137</v>
      </c>
      <c r="EN74" s="146">
        <f>IF((RD[[#This Row],[33 kV_F6_Ex
Incomer4]]-DW73)*1000&lt;0,0,(RD[[#This Row],[33 kV_F6_Ex
Incomer4]]-DW73)*1000)</f>
        <v>14899.999999999636</v>
      </c>
      <c r="EO74" s="146">
        <f t="shared" si="166"/>
        <v>300.00000000001137</v>
      </c>
      <c r="EP74" s="146">
        <f>IF((RD[[#This Row],[33 kV_F7_Ex
Incomer5]]-DY73)*1000&lt;0,0,(RD[[#This Row],[33 kV_F7_Ex
Incomer5]]-DY73)*1000)</f>
        <v>163399.99999999997</v>
      </c>
      <c r="EQ74" s="146">
        <f>IF((RD[[#This Row],[33 kV_F7_Im
Incomer5]]-DZ73)*1000&lt;0,0,(RD[[#This Row],[33 kV_F7_Im
Incomer5]]-DZ73)*1000)</f>
        <v>500</v>
      </c>
      <c r="ER74" s="146">
        <f>IF((RD[[#This Row],[33 kV_Aux Trafo]]-EA73)*1000&lt;0,0,(RD[[#This Row],[33 kV_Aux Trafo]]-EA73)*1000)</f>
        <v>289.99999999999204</v>
      </c>
      <c r="ES74" s="158">
        <f>IF((RD[[#This Row],[33kV_OG1_Ex_]]-EB73)*1&lt;0,0,(RD[[#This Row],[33kV_OG1_Ex_]]-EB73)*1)</f>
        <v>627236</v>
      </c>
      <c r="ET74" s="146">
        <f>IF((RD[[#This Row],[33kV_OG1_Im]]-EC73)*1&lt;0,0,(RD[[#This Row],[33kV_OG1_Im]]-EC73)*1)</f>
        <v>2441.2160000000149</v>
      </c>
      <c r="EU74" s="146">
        <f>IF((RD[[#This Row],[132kV_TX1_EX]]-ED73)*720&lt;=0,"",(RD[[#This Row],[132kV_TX1_EX]]-ED73)*720)</f>
        <v>2160</v>
      </c>
      <c r="EV74" s="146">
        <f>IF((RD[[#This Row],[132 kV_Tx1_Im]]-EE73)*720&lt;=0,0,(RD[[#This Row],[132 kV_Tx1_Im]]-EE73)*720)</f>
        <v>449280</v>
      </c>
      <c r="EW74" s="146">
        <f>IF((RD[[#This Row],[132kV_L1_Ex]]-EF73)*720&lt;=0,0,(RD[[#This Row],[132kV_L1_Ex]]-EF73)*720)</f>
        <v>625175.99999999162</v>
      </c>
      <c r="EX74" s="146">
        <f>IF((RD[[#This Row],[132kV_L1_Im]]-EG73)*720&lt;=0,0,(RD[[#This Row],[132kV_L1_Im]]-EG73)*720)</f>
        <v>3023.999999999869</v>
      </c>
      <c r="EY74" s="242">
        <f>IFERROR(RD[[#This Row],[33kV_OG1_Ex (MWh)]]+RD[[#This Row],[33kV_OG1_Im (MWh)]],"")</f>
        <v>629677.21600000001</v>
      </c>
      <c r="EZ74" s="148">
        <f>RD[[#This Row],[33kV_OG1_Ex (MWh)]]-RD[[#This Row],[33kV_OG1_Im (MWh)]]</f>
        <v>624794.78399999999</v>
      </c>
      <c r="FA74" s="148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43">
        <f>IFERROR((RD[[#This Row],[Sunset Time (POA&lt;20 W/m2)]]-RD[[#This Row],[Sunrise Time (POA&gt;20 W/m2)]])*24,0)</f>
        <v>12.483333333333334</v>
      </c>
      <c r="FD74" s="244">
        <v>122.7</v>
      </c>
      <c r="FE74" t="s">
        <v>293</v>
      </c>
      <c r="FG74" s="144" t="str">
        <f>IFERROR(RD[[#This Row],[E_AC (WPR)]]/RD[[#This Row],[E_DC (WPR)]],"")</f>
        <v/>
      </c>
    </row>
    <row r="75" spans="1:163">
      <c r="A75" s="133">
        <f t="shared" si="161"/>
        <v>45815</v>
      </c>
      <c r="B75" s="138">
        <f>YEAR(RD[[#This Row],[Date]])+IF(MONTH(RD[[#This Row],[Date]])&gt;=4,1,0)</f>
        <v>2026</v>
      </c>
      <c r="C75" s="138">
        <f>YEAR(RD[[#This Row],[Date]])</f>
        <v>2025</v>
      </c>
      <c r="D75" s="139">
        <f t="shared" si="165"/>
        <v>45809</v>
      </c>
      <c r="E75" s="138">
        <f>DAY(EOMONTH(RD[[#This Row],[Date]],0))</f>
        <v>30</v>
      </c>
      <c r="F75" s="152">
        <v>0.25208333333333333</v>
      </c>
      <c r="G75" s="162">
        <v>0.77708333333333335</v>
      </c>
      <c r="H75" s="124">
        <v>7710.6</v>
      </c>
      <c r="I75" s="268">
        <v>7646.2</v>
      </c>
      <c r="J75" s="124">
        <v>7228</v>
      </c>
      <c r="K75" s="124">
        <v>7291.9</v>
      </c>
      <c r="L75" s="124">
        <v>7515.8</v>
      </c>
      <c r="M75" s="124">
        <v>7762.1</v>
      </c>
      <c r="N75" s="124">
        <v>7533.9</v>
      </c>
      <c r="O75" s="124">
        <v>8116.7</v>
      </c>
      <c r="P75" s="124">
        <v>7661.1</v>
      </c>
      <c r="Q75" s="124">
        <v>7484.4</v>
      </c>
      <c r="R75" s="124">
        <v>7806.7</v>
      </c>
      <c r="S75" s="266">
        <v>7844.5</v>
      </c>
      <c r="T75" s="124">
        <v>8078.6</v>
      </c>
      <c r="U75" s="124">
        <v>7953.7</v>
      </c>
      <c r="V75" s="124">
        <v>7910.9</v>
      </c>
      <c r="W75" s="124">
        <v>7645.5</v>
      </c>
      <c r="X75" s="266">
        <v>10817.7</v>
      </c>
      <c r="Y75" s="203">
        <v>11916.2</v>
      </c>
      <c r="Z75" s="203">
        <v>10419.5</v>
      </c>
      <c r="AA75" s="203">
        <v>10878.3</v>
      </c>
      <c r="AB75" s="266">
        <v>11961.3</v>
      </c>
      <c r="AC75" s="203">
        <v>7275.2</v>
      </c>
      <c r="AD75" s="203">
        <v>11258.2</v>
      </c>
      <c r="AE75" s="203">
        <v>11448.1</v>
      </c>
      <c r="AF75" s="266">
        <v>11162.5</v>
      </c>
      <c r="AG75" s="203">
        <v>11140</v>
      </c>
      <c r="AH75" s="203">
        <v>11111</v>
      </c>
      <c r="AI75" s="266">
        <v>11186.3</v>
      </c>
      <c r="AJ75" s="203">
        <v>9284.6</v>
      </c>
      <c r="AK75" s="266">
        <v>9512</v>
      </c>
      <c r="AL75" s="203">
        <v>9312.5</v>
      </c>
      <c r="AM75" s="266">
        <v>9375.9</v>
      </c>
      <c r="AN75" s="203">
        <v>9334.7000000000007</v>
      </c>
      <c r="AO75" s="266">
        <v>9629</v>
      </c>
      <c r="AP75" s="203">
        <v>9467.4</v>
      </c>
      <c r="AQ75" s="266">
        <v>9335</v>
      </c>
      <c r="AR75" s="203">
        <v>7604</v>
      </c>
      <c r="AS75" s="266">
        <v>7648</v>
      </c>
      <c r="AT75" s="203">
        <v>7687.7</v>
      </c>
      <c r="AU75" s="266">
        <v>7627.7</v>
      </c>
      <c r="AV75" s="203">
        <v>7815.4</v>
      </c>
      <c r="AW75" s="203">
        <v>7688.9</v>
      </c>
      <c r="AX75" s="203">
        <v>10841.4</v>
      </c>
      <c r="AY75" s="203">
        <v>12169.9</v>
      </c>
      <c r="AZ75" s="203">
        <v>8766.7999999999993</v>
      </c>
      <c r="BA75" s="203">
        <v>10532.2</v>
      </c>
      <c r="BB75" s="203">
        <v>8686.7999999999993</v>
      </c>
      <c r="BC75" s="203">
        <v>8546.1</v>
      </c>
      <c r="BD75" s="203">
        <v>8885.1</v>
      </c>
      <c r="BE75" s="203">
        <v>9868.4</v>
      </c>
      <c r="BF75" s="203">
        <v>11380</v>
      </c>
      <c r="BG75" s="203">
        <v>11288</v>
      </c>
      <c r="BH75" s="203">
        <v>10444</v>
      </c>
      <c r="BI75" s="203">
        <v>10765</v>
      </c>
      <c r="BJ75" s="203">
        <v>8070</v>
      </c>
      <c r="BK75" s="203">
        <v>6176</v>
      </c>
      <c r="BL75" s="203">
        <v>7265</v>
      </c>
      <c r="BM75" s="203">
        <v>7566</v>
      </c>
      <c r="BN75" s="203">
        <v>8377</v>
      </c>
      <c r="BO75" s="203">
        <v>8035</v>
      </c>
      <c r="BP75" s="203">
        <v>8595</v>
      </c>
      <c r="BQ75" s="203">
        <v>8698</v>
      </c>
      <c r="BR75" s="203">
        <v>8400</v>
      </c>
      <c r="BS75" s="203">
        <v>8661.4</v>
      </c>
      <c r="BT75" s="203">
        <v>8331</v>
      </c>
      <c r="BU75" s="203">
        <v>8696.9</v>
      </c>
      <c r="BV75" s="203"/>
      <c r="BW75" s="203"/>
      <c r="BX75" s="203"/>
      <c r="BY75" s="203"/>
      <c r="BZ75" s="203">
        <v>1160</v>
      </c>
      <c r="CA75" s="203">
        <v>9570</v>
      </c>
      <c r="CB75" s="203">
        <v>3820</v>
      </c>
      <c r="CC75" s="203">
        <v>6870</v>
      </c>
      <c r="CD75" s="261">
        <v>5.7960502833333338</v>
      </c>
      <c r="CE75" s="261">
        <v>6.0680984166666674</v>
      </c>
      <c r="CF75" s="261">
        <v>6.1151253499999898</v>
      </c>
      <c r="CG75" s="261">
        <v>6.2708443000000038</v>
      </c>
      <c r="CH75" s="261">
        <v>0.76153498333333347</v>
      </c>
      <c r="CI75" s="261">
        <v>0.85667150000000047</v>
      </c>
      <c r="CJ75" s="261">
        <v>1.0290000666666672</v>
      </c>
      <c r="CK75" s="261">
        <v>0.95406794999999955</v>
      </c>
      <c r="CL75" s="261">
        <v>32.622713241267306</v>
      </c>
      <c r="CM75" s="261">
        <v>33.012502024291521</v>
      </c>
      <c r="CN75" s="261">
        <v>46.200777416734311</v>
      </c>
      <c r="CO75" s="261">
        <v>44.658548987854282</v>
      </c>
      <c r="CP75" s="261">
        <v>52.244955320877345</v>
      </c>
      <c r="CQ75" s="261">
        <v>52.379692307692288</v>
      </c>
      <c r="CR75" s="261">
        <v>0</v>
      </c>
      <c r="CS75" s="261">
        <v>0</v>
      </c>
      <c r="CT75" s="261">
        <v>1.4490779853777445</v>
      </c>
      <c r="CU75" s="261">
        <v>1.544555465587045</v>
      </c>
      <c r="CV75" s="261">
        <v>3.177</v>
      </c>
      <c r="CW75" s="261">
        <v>2.94</v>
      </c>
      <c r="CX75" s="204">
        <f>IFERROR(AVERAGEIF(RD[[#This Row],[IS1POA1 (KWh/m2)]:[IS7POA2 (KWh/m2)]],"&lt;&gt;0",RD[[#This Row],[IS1POA1 (KWh/m2)]:[IS7POA2 (KWh/m2)]]),"")</f>
        <v>5.9320743500000006</v>
      </c>
      <c r="CY75" s="204">
        <f>IFERROR(AVERAGEIF(RD[[#This Row],[IS1GHI1 (KWh/m2)]:[IS7GHI2 (KWh/m2)]],"&lt;&gt;0",RD[[#This Row],[IS1GHI1 (KWh/m2)]:[IS7GHI2 (KWh/m2)]]),"")</f>
        <v>6.1929848249999964</v>
      </c>
      <c r="CZ75" s="204">
        <f>IFERROR(AVERAGEIF(RD[[#This Row],[IS1POA_BS1 (KWh/m2)]:[IS7POA_BS2 (KWh/m2)]],"&lt;&gt;0",RD[[#This Row],[IS1POA_BS1 (KWh/m2)]:[IS7POA_BS2 (KWh/m2)]]),"")</f>
        <v>0.80910324166666703</v>
      </c>
      <c r="DA75" s="204">
        <f>IFERROR(AVERAGEIF(RD[[#This Row],[IS1GHI_BS1 (KWh/m2)]:[IS1GHI_BS1 (KWh/m2)2]],"&lt;&gt;0",RD[[#This Row],[IS1GHI_BS1 (KWh/m2)]:[IS1GHI_BS1 (KWh/m2)2]]),"")</f>
        <v>0.99153400833333338</v>
      </c>
      <c r="DB75" s="204">
        <f>IFERROR(AVERAGEIF(RD[[#This Row],[IS1AT1 (°C)]:[IS7AT2 (°C)]],"&lt;&gt;0",RD[[#This Row],[IS1AT1 (°C)]:[IS7AT2 (°C)]]),"")</f>
        <v>32.817607632779414</v>
      </c>
      <c r="DC75" s="204">
        <f>IFERROR(AVERAGEIF(RD[[#This Row],[IS1MT1 (°C)]:[IS7MT2 (°C)]],"&lt;&gt;0",RD[[#This Row],[IS1MT1 (°C)]:[IS7MT2 (°C)]]),"")</f>
        <v>45.429663202294293</v>
      </c>
      <c r="DD75" s="204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204">
        <f>IFERROR(AVERAGEIF(RD[[#This Row],[WS_Solar1_Avg (m/s)]:[IS7_WS_Solar1_Avg (m/s)]],"&lt;&gt;0",RD[[#This Row],[WS_Solar1_Avg (m/s)]:[IS7_WS_Solar1_Avg (m/s)]]),"")</f>
        <v>1.4968167254823947</v>
      </c>
      <c r="DG75" s="204">
        <f>IFERROR(AVERAGEIF(RD[[#This Row],[WS_Solar1_Max (m/s)]:[IS7_WS_Solar1_Max (m/s)]],"&lt;&gt;0",RD[[#This Row],[WS_Solar1_Max (m/s)]:[IS7_WS_Solar1_Max (m/s)]]),"")</f>
        <v>3.0585</v>
      </c>
      <c r="DH75" s="204">
        <f>SUM(RD[[#This Row],[IS1Inv1M1]:[IS4Inv4M2]])</f>
        <v>253764.9</v>
      </c>
      <c r="DI75" s="205">
        <f>SUM(RD[[#This Row],[IS7Inv1M1]]+RD[[#This Row],[IS7Inv2M1]])</f>
        <v>15252</v>
      </c>
      <c r="DJ75" s="204">
        <f>SUM(RD[[#This Row],[IS5Inv1M1]:[IS5Inv2M2]])</f>
        <v>37485</v>
      </c>
      <c r="DK75" s="204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86">
        <f>SUM(RD[[#This Row],[IS12Inv1M1]:[IS12Inv1M4]])</f>
        <v>33705</v>
      </c>
      <c r="DO75" s="286">
        <f>SUM(RD[[#This Row],[IS13Inv1M1]:[IS13Inv2M2]])</f>
        <v>34089.300000000003</v>
      </c>
      <c r="DP75" s="204">
        <f>SUM(RD[[#This Row],[O2R15]:[O2R26]])</f>
        <v>615552.70000000007</v>
      </c>
      <c r="DQ75" s="164">
        <v>42543.1</v>
      </c>
      <c r="DR75" s="168">
        <v>217.7</v>
      </c>
      <c r="DS75" s="164">
        <v>37012</v>
      </c>
      <c r="DT75" s="164">
        <v>230.2</v>
      </c>
      <c r="DU75" s="168">
        <v>43422.1</v>
      </c>
      <c r="DV75" s="168">
        <v>413.1</v>
      </c>
      <c r="DW75" s="164">
        <v>10220.5</v>
      </c>
      <c r="DX75" s="168">
        <v>50.6</v>
      </c>
      <c r="DY75" s="168">
        <v>988.2</v>
      </c>
      <c r="DZ75" s="168">
        <v>3.3</v>
      </c>
      <c r="EA75" s="140">
        <v>100.39</v>
      </c>
      <c r="EB75" s="241">
        <v>137675423</v>
      </c>
      <c r="EC75" s="240">
        <v>978373.696</v>
      </c>
      <c r="ED75" s="241">
        <v>1176</v>
      </c>
      <c r="EE75" s="241">
        <v>131926</v>
      </c>
      <c r="EF75" s="164">
        <v>190904.9</v>
      </c>
      <c r="EG75" s="164">
        <v>1906.3</v>
      </c>
      <c r="EH75" s="146">
        <f>IF((RD[[#This Row],[33 kV_F3_Ex
Incomer1]]-DQ74)*1000&lt;0,0,(RD[[#This Row],[33 kV_F3_Ex
Incomer1]]-DQ74)*1000)</f>
        <v>129599.99999999854</v>
      </c>
      <c r="EI75" s="146">
        <f>IF((RD[[#This Row],[34 kV_F3_Im
Incomer1]]-DR74)*1000&lt;0,0,(RD[[#This Row],[34 kV_F3_Im
Incomer1]]-DR74)*1000)</f>
        <v>399.99999999997726</v>
      </c>
      <c r="EJ75" s="146">
        <f>IF((RD[[#This Row],[33 kV_F4_Ex
Incomer2]]-DS74)*1000&lt;0,0,(RD[[#This Row],[33 kV_F4_Ex
Incomer2]]-DS74)*1000)</f>
        <v>120400.00000000146</v>
      </c>
      <c r="EK75" s="146">
        <f>IF((RD[[#This Row],[34 kV_F4_Im
Incomer2]]-DT74)*1000&lt;0,0,(RD[[#This Row],[34 kV_F4_Im
Incomer2]]-DT74)*1000)</f>
        <v>299.99999999998295</v>
      </c>
      <c r="EL75" s="146">
        <f>IF((RD[[#This Row],[33 kV_F5_Ex
Incomer3]]-DU74)*1000&lt;0,0,(RD[[#This Row],[33 kV_F5_Ex
Incomer3]]-DU74)*1000)</f>
        <v>161400.00000000146</v>
      </c>
      <c r="EM75" s="146">
        <f>IF((RD[[#This Row],[34 kV_F5_Im
Incomer3]]-DV74)*1000&lt;0,0,(RD[[#This Row],[34 kV_F5_Im
Incomer3]]-DV74)*1000)</f>
        <v>500</v>
      </c>
      <c r="EN75" s="146">
        <f>IF((RD[[#This Row],[33 kV_F6_Ex
Incomer4]]-DW74)*1000&lt;0,0,(RD[[#This Row],[33 kV_F6_Ex
Incomer4]]-DW74)*1000)</f>
        <v>14200.000000000728</v>
      </c>
      <c r="EO75" s="146">
        <f t="shared" si="166"/>
        <v>399.99999999997726</v>
      </c>
      <c r="EP75" s="146">
        <f>IF((RD[[#This Row],[33 kV_F7_Ex
Incomer5]]-DY74)*1000&lt;0,0,(RD[[#This Row],[33 kV_F7_Ex
Incomer5]]-DY74)*1000)</f>
        <v>145800.00000000006</v>
      </c>
      <c r="EQ75" s="146">
        <f>IF((RD[[#This Row],[33 kV_F7_Im
Incomer5]]-DZ74)*1000&lt;0,0,(RD[[#This Row],[33 kV_F7_Im
Incomer5]]-DZ74)*1000)</f>
        <v>399.99999999999989</v>
      </c>
      <c r="ER75" s="146">
        <f>IF((RD[[#This Row],[33 kV_Aux Trafo]]-EA74)*1000&lt;0,0,(RD[[#This Row],[33 kV_Aux Trafo]]-EA74)*1000)</f>
        <v>260.00000000000512</v>
      </c>
      <c r="ES75" s="158">
        <f>IF((RD[[#This Row],[33kV_OG1_Ex_]]-EB74)*1&lt;0,0,(RD[[#This Row],[33kV_OG1_Ex_]]-EB74)*1)</f>
        <v>592077</v>
      </c>
      <c r="ET75" s="146">
        <f>IF((RD[[#This Row],[33kV_OG1_Im]]-EC74)*1&lt;0,0,(RD[[#This Row],[33kV_OG1_Im]]-EC74)*1)</f>
        <v>1889.0239999999758</v>
      </c>
      <c r="EU75" s="146">
        <f>IF((RD[[#This Row],[132kV_TX1_EX]]-ED74)*720&lt;=0,"",(RD[[#This Row],[132kV_TX1_EX]]-ED74)*720)</f>
        <v>1440</v>
      </c>
      <c r="EV75" s="146">
        <f>IF((RD[[#This Row],[132 kV_Tx1_Im]]-EE74)*720&lt;=0,0,(RD[[#This Row],[132 kV_Tx1_Im]]-EE74)*720)</f>
        <v>424800</v>
      </c>
      <c r="EW75" s="146">
        <f>IF((RD[[#This Row],[132kV_L1_Ex]]-EF74)*720&lt;=0,0,(RD[[#This Row],[132kV_L1_Ex]]-EF74)*720)</f>
        <v>590112.00000000419</v>
      </c>
      <c r="EX75" s="146">
        <f>IF((RD[[#This Row],[132kV_L1_Im]]-EG74)*720&lt;=0,0,(RD[[#This Row],[132kV_L1_Im]]-EG74)*720)</f>
        <v>2304.0000000000327</v>
      </c>
      <c r="EY75" s="242">
        <f>IFERROR(RD[[#This Row],[33kV_OG1_Ex (MWh)]]+RD[[#This Row],[33kV_OG1_Im (MWh)]],"")</f>
        <v>593966.02399999998</v>
      </c>
      <c r="EZ75" s="148">
        <f>RD[[#This Row],[33kV_OG1_Ex (MWh)]]-RD[[#This Row],[33kV_OG1_Im (MWh)]]</f>
        <v>590187.97600000002</v>
      </c>
      <c r="FA75" s="148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43">
        <f>IFERROR((RD[[#This Row],[Sunset Time (POA&lt;20 W/m2)]]-RD[[#This Row],[Sunrise Time (POA&gt;20 W/m2)]])*24,0)</f>
        <v>12.600000000000001</v>
      </c>
      <c r="FD75" s="244">
        <v>122.7</v>
      </c>
      <c r="FE75" t="s">
        <v>293</v>
      </c>
      <c r="FG75" s="144" t="str">
        <f>IFERROR(RD[[#This Row],[E_AC (WPR)]]/RD[[#This Row],[E_DC (WPR)]],"")</f>
        <v/>
      </c>
    </row>
    <row r="76" spans="1:163">
      <c r="A76" s="133">
        <f t="shared" si="161"/>
        <v>45816</v>
      </c>
      <c r="B76" s="138">
        <f>YEAR(RD[[#This Row],[Date]])+IF(MONTH(RD[[#This Row],[Date]])&gt;=4,1,0)</f>
        <v>2026</v>
      </c>
      <c r="C76" s="138">
        <f>YEAR(RD[[#This Row],[Date]])</f>
        <v>2025</v>
      </c>
      <c r="D76" s="139">
        <f t="shared" si="165"/>
        <v>45809</v>
      </c>
      <c r="E76" s="138">
        <f>DAY(EOMONTH(RD[[#This Row],[Date]],0))</f>
        <v>30</v>
      </c>
      <c r="F76" s="152">
        <v>0.25555555555555554</v>
      </c>
      <c r="G76" s="162">
        <v>0.78125</v>
      </c>
      <c r="H76" s="124">
        <v>8389.9</v>
      </c>
      <c r="I76" s="268">
        <v>8310</v>
      </c>
      <c r="J76" s="124">
        <v>7918.4</v>
      </c>
      <c r="K76" s="124">
        <v>7994.6</v>
      </c>
      <c r="L76" s="124">
        <v>8204.7999999999993</v>
      </c>
      <c r="M76" s="124">
        <v>8435.6</v>
      </c>
      <c r="N76" s="124">
        <v>8244.7000000000007</v>
      </c>
      <c r="O76" s="124">
        <v>8808</v>
      </c>
      <c r="P76" s="124">
        <v>8285.2000000000007</v>
      </c>
      <c r="Q76" s="124">
        <v>8135.1</v>
      </c>
      <c r="R76" s="124">
        <v>8407.5</v>
      </c>
      <c r="S76" s="266">
        <v>8421.2999999999993</v>
      </c>
      <c r="T76" s="124">
        <v>8666.5</v>
      </c>
      <c r="U76" s="124">
        <v>8414.6</v>
      </c>
      <c r="V76" s="124">
        <v>8535.7000000000007</v>
      </c>
      <c r="W76" s="124">
        <v>8323.9</v>
      </c>
      <c r="X76" s="266">
        <v>11615.2</v>
      </c>
      <c r="Y76" s="203">
        <v>12505.8</v>
      </c>
      <c r="Z76" s="203">
        <v>11333.6</v>
      </c>
      <c r="AA76" s="203">
        <v>11812.1</v>
      </c>
      <c r="AB76" s="266">
        <v>12216.1</v>
      </c>
      <c r="AC76" s="203">
        <v>7390</v>
      </c>
      <c r="AD76" s="203">
        <v>11510.8</v>
      </c>
      <c r="AE76" s="203">
        <v>11704</v>
      </c>
      <c r="AF76" s="266">
        <v>11504.9</v>
      </c>
      <c r="AG76" s="203">
        <v>11480.7</v>
      </c>
      <c r="AH76" s="203">
        <v>11476.9</v>
      </c>
      <c r="AI76" s="266">
        <v>11515.6</v>
      </c>
      <c r="AJ76" s="203">
        <v>9465.5</v>
      </c>
      <c r="AK76" s="266">
        <v>9695</v>
      </c>
      <c r="AL76" s="203">
        <v>9450.4</v>
      </c>
      <c r="AM76" s="266">
        <v>9512.4</v>
      </c>
      <c r="AN76" s="203">
        <v>9547.5</v>
      </c>
      <c r="AO76" s="266">
        <v>9870.6</v>
      </c>
      <c r="AP76" s="203">
        <v>9724.4</v>
      </c>
      <c r="AQ76" s="266">
        <v>9601.2000000000007</v>
      </c>
      <c r="AR76" s="203">
        <v>7846.6</v>
      </c>
      <c r="AS76" s="266">
        <v>7879.8</v>
      </c>
      <c r="AT76" s="203">
        <v>7842.4</v>
      </c>
      <c r="AU76" s="266">
        <v>7774.9</v>
      </c>
      <c r="AV76" s="203">
        <v>8025.5</v>
      </c>
      <c r="AW76" s="203">
        <v>7895.3</v>
      </c>
      <c r="AX76" s="203">
        <v>11175.8</v>
      </c>
      <c r="AY76" s="203">
        <v>12607.6</v>
      </c>
      <c r="AZ76" s="203">
        <v>9161.1</v>
      </c>
      <c r="BA76" s="203">
        <v>10995.6</v>
      </c>
      <c r="BB76" s="203">
        <v>9260.7999999999993</v>
      </c>
      <c r="BC76" s="203">
        <v>9087.9</v>
      </c>
      <c r="BD76" s="203">
        <v>9511.2999999999993</v>
      </c>
      <c r="BE76" s="203">
        <v>10687.8</v>
      </c>
      <c r="BF76" s="203">
        <v>11617</v>
      </c>
      <c r="BG76" s="203">
        <v>11512</v>
      </c>
      <c r="BH76" s="203">
        <v>11617</v>
      </c>
      <c r="BI76" s="203">
        <v>11513</v>
      </c>
      <c r="BJ76" s="203">
        <v>7807</v>
      </c>
      <c r="BK76" s="203">
        <v>6177.6</v>
      </c>
      <c r="BL76" s="203">
        <v>7112</v>
      </c>
      <c r="BM76" s="203">
        <v>7379.6</v>
      </c>
      <c r="BN76" s="203">
        <v>7930</v>
      </c>
      <c r="BO76" s="203">
        <v>7633</v>
      </c>
      <c r="BP76" s="203">
        <v>8226</v>
      </c>
      <c r="BQ76" s="203">
        <v>8227</v>
      </c>
      <c r="BR76" s="203">
        <v>8748</v>
      </c>
      <c r="BS76" s="203">
        <v>9000</v>
      </c>
      <c r="BT76" s="203">
        <v>8746</v>
      </c>
      <c r="BU76" s="203">
        <v>9103</v>
      </c>
      <c r="BV76" s="203"/>
      <c r="BW76" s="203"/>
      <c r="BX76" s="203"/>
      <c r="BY76" s="203"/>
      <c r="BZ76" s="203">
        <v>1216</v>
      </c>
      <c r="CA76" s="203">
        <v>1027</v>
      </c>
      <c r="CB76" s="203">
        <v>4716</v>
      </c>
      <c r="CC76" s="203">
        <v>7872</v>
      </c>
      <c r="CD76" s="261">
        <v>6.3824520500000075</v>
      </c>
      <c r="CE76" s="261">
        <v>6.2693425333333401</v>
      </c>
      <c r="CF76" s="261">
        <v>6.7276600666666715</v>
      </c>
      <c r="CG76" s="261">
        <v>6.4908055666666664</v>
      </c>
      <c r="CH76" s="261">
        <v>0.82117579999999835</v>
      </c>
      <c r="CI76" s="261">
        <v>0.88600540000000094</v>
      </c>
      <c r="CJ76" s="261">
        <v>1.1290253333333349</v>
      </c>
      <c r="CK76" s="261">
        <v>0.99116720000000058</v>
      </c>
      <c r="CL76" s="261">
        <v>32.673647441104798</v>
      </c>
      <c r="CM76" s="261">
        <v>33.067915652879144</v>
      </c>
      <c r="CN76" s="261">
        <v>46.481671811535371</v>
      </c>
      <c r="CO76" s="261">
        <v>44.290671532846808</v>
      </c>
      <c r="CP76" s="261">
        <v>54.234979691307878</v>
      </c>
      <c r="CQ76" s="261">
        <v>54.371492295214985</v>
      </c>
      <c r="CR76" s="261">
        <v>0</v>
      </c>
      <c r="CS76" s="261">
        <v>0</v>
      </c>
      <c r="CT76" s="261">
        <v>1.8531080422420818</v>
      </c>
      <c r="CU76" s="261">
        <v>1.9370413625304108</v>
      </c>
      <c r="CV76" s="261">
        <v>3.2610000000000001</v>
      </c>
      <c r="CW76" s="261">
        <v>3.6150000000000002</v>
      </c>
      <c r="CX76" s="204">
        <f>IFERROR(AVERAGEIF(RD[[#This Row],[IS1POA1 (KWh/m2)]:[IS7POA2 (KWh/m2)]],"&lt;&gt;0",RD[[#This Row],[IS1POA1 (KWh/m2)]:[IS7POA2 (KWh/m2)]]),"")</f>
        <v>6.3258972916666742</v>
      </c>
      <c r="CY76" s="204">
        <f>IFERROR(AVERAGEIF(RD[[#This Row],[IS1GHI1 (KWh/m2)]:[IS7GHI2 (KWh/m2)]],"&lt;&gt;0",RD[[#This Row],[IS1GHI1 (KWh/m2)]:[IS7GHI2 (KWh/m2)]]),"")</f>
        <v>6.609232816666669</v>
      </c>
      <c r="CZ76" s="204">
        <f>IFERROR(AVERAGEIF(RD[[#This Row],[IS1POA_BS1 (KWh/m2)]:[IS7POA_BS2 (KWh/m2)]],"&lt;&gt;0",RD[[#This Row],[IS1POA_BS1 (KWh/m2)]:[IS7POA_BS2 (KWh/m2)]]),"")</f>
        <v>0.85359059999999964</v>
      </c>
      <c r="DA76" s="204">
        <f>IFERROR(AVERAGEIF(RD[[#This Row],[IS1GHI_BS1 (KWh/m2)]:[IS1GHI_BS1 (KWh/m2)2]],"&lt;&gt;0",RD[[#This Row],[IS1GHI_BS1 (KWh/m2)]:[IS1GHI_BS1 (KWh/m2)2]]),"")</f>
        <v>1.0600962666666678</v>
      </c>
      <c r="DB76" s="204">
        <f>IFERROR(AVERAGEIF(RD[[#This Row],[IS1AT1 (°C)]:[IS7AT2 (°C)]],"&lt;&gt;0",RD[[#This Row],[IS1AT1 (°C)]:[IS7AT2 (°C)]]),"")</f>
        <v>32.870781546991971</v>
      </c>
      <c r="DC76" s="204">
        <f>IFERROR(AVERAGEIF(RD[[#This Row],[IS1MT1 (°C)]:[IS7MT2 (°C)]],"&lt;&gt;0",RD[[#This Row],[IS1MT1 (°C)]:[IS7MT2 (°C)]]),"")</f>
        <v>45.386171672191089</v>
      </c>
      <c r="DD76" s="204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204">
        <f>IFERROR(AVERAGEIF(RD[[#This Row],[WS_Solar1_Avg (m/s)]:[IS7_WS_Solar1_Avg (m/s)]],"&lt;&gt;0",RD[[#This Row],[WS_Solar1_Avg (m/s)]:[IS7_WS_Solar1_Avg (m/s)]]),"")</f>
        <v>1.8950747023862462</v>
      </c>
      <c r="DG76" s="204">
        <f>IFERROR(AVERAGEIF(RD[[#This Row],[WS_Solar1_Max (m/s)]:[IS7_WS_Solar1_Max (m/s)]],"&lt;&gt;0",RD[[#This Row],[WS_Solar1_Max (m/s)]:[IS7_WS_Solar1_Max (m/s)]]),"")</f>
        <v>3.4380000000000002</v>
      </c>
      <c r="DH76" s="204">
        <f>SUM(RD[[#This Row],[IS1Inv1M1]:[IS4Inv4M2]])</f>
        <v>269561.5</v>
      </c>
      <c r="DI76" s="205">
        <f>SUM(RD[[#This Row],[IS7Inv1M1]]+RD[[#This Row],[IS7Inv2M1]])</f>
        <v>15726.400000000001</v>
      </c>
      <c r="DJ76" s="204">
        <f>SUM(RD[[#This Row],[IS5Inv1M1]:[IS5Inv2M2]])</f>
        <v>38123.300000000003</v>
      </c>
      <c r="DK76" s="204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86">
        <f>SUM(RD[[#This Row],[IS12Inv1M1]:[IS12Inv1M4]])</f>
        <v>32016</v>
      </c>
      <c r="DO76" s="286">
        <f>SUM(RD[[#This Row],[IS13Inv1M1]:[IS13Inv2M2]])</f>
        <v>35597</v>
      </c>
      <c r="DP76" s="204">
        <f>SUM(RD[[#This Row],[O2R15]:[O2R26]])</f>
        <v>633360.10000000009</v>
      </c>
      <c r="DQ76" s="164">
        <v>42678.1</v>
      </c>
      <c r="DR76" s="168">
        <v>218</v>
      </c>
      <c r="DS76" s="164">
        <v>37141.800000000003</v>
      </c>
      <c r="DT76" s="164">
        <v>230.6</v>
      </c>
      <c r="DU76" s="168">
        <v>43587.9</v>
      </c>
      <c r="DV76" s="168">
        <v>413.7</v>
      </c>
      <c r="DW76" s="164">
        <v>10235.200000000001</v>
      </c>
      <c r="DX76" s="168">
        <v>50.8</v>
      </c>
      <c r="DY76" s="168">
        <v>1141.9000000000001</v>
      </c>
      <c r="DZ76" s="168">
        <v>3.7</v>
      </c>
      <c r="EA76" s="140">
        <v>100.68</v>
      </c>
      <c r="EB76" s="241">
        <v>138298261</v>
      </c>
      <c r="EC76" s="240">
        <v>980442.88</v>
      </c>
      <c r="ED76" s="241">
        <v>1178</v>
      </c>
      <c r="EE76" s="241">
        <v>132546</v>
      </c>
      <c r="EF76" s="164">
        <v>191767.1</v>
      </c>
      <c r="EG76" s="164">
        <v>1909.9</v>
      </c>
      <c r="EH76" s="146">
        <f>IF((RD[[#This Row],[33 kV_F3_Ex
Incomer1]]-DQ75)*1000&lt;0,0,(RD[[#This Row],[33 kV_F3_Ex
Incomer1]]-DQ75)*1000)</f>
        <v>135000</v>
      </c>
      <c r="EI76" s="146">
        <f>IF((RD[[#This Row],[34 kV_F3_Im
Incomer1]]-DR75)*1000&lt;0,0,(RD[[#This Row],[34 kV_F3_Im
Incomer1]]-DR75)*1000)</f>
        <v>300.00000000001137</v>
      </c>
      <c r="EJ76" s="146">
        <f>IF((RD[[#This Row],[33 kV_F4_Ex
Incomer2]]-DS75)*1000&lt;0,0,(RD[[#This Row],[33 kV_F4_Ex
Incomer2]]-DS75)*1000)</f>
        <v>129800.00000000291</v>
      </c>
      <c r="EK76" s="146">
        <f>IF((RD[[#This Row],[34 kV_F4_Im
Incomer2]]-DT75)*1000&lt;0,0,(RD[[#This Row],[34 kV_F4_Im
Incomer2]]-DT75)*1000)</f>
        <v>400.00000000000568</v>
      </c>
      <c r="EL76" s="146">
        <f>IF((RD[[#This Row],[33 kV_F5_Ex
Incomer3]]-DU75)*1000&lt;0,0,(RD[[#This Row],[33 kV_F5_Ex
Incomer3]]-DU75)*1000)</f>
        <v>165800.00000000291</v>
      </c>
      <c r="EM76" s="146">
        <f>IF((RD[[#This Row],[34 kV_F5_Im
Incomer3]]-DV75)*1000&lt;0,0,(RD[[#This Row],[34 kV_F5_Im
Incomer3]]-DV75)*1000)</f>
        <v>599.99999999996589</v>
      </c>
      <c r="EN76" s="146">
        <f>IF((RD[[#This Row],[33 kV_F6_Ex
Incomer4]]-DW75)*1000&lt;0,0,(RD[[#This Row],[33 kV_F6_Ex
Incomer4]]-DW75)*1000)</f>
        <v>14700.000000000728</v>
      </c>
      <c r="EO76" s="146">
        <f t="shared" si="166"/>
        <v>300.00000000001137</v>
      </c>
      <c r="EP76" s="146">
        <f>IF((RD[[#This Row],[33 kV_F7_Ex
Incomer5]]-DY75)*1000&lt;0,0,(RD[[#This Row],[33 kV_F7_Ex
Incomer5]]-DY75)*1000)</f>
        <v>153700.00000000006</v>
      </c>
      <c r="EQ76" s="146">
        <f>IF((RD[[#This Row],[33 kV_F7_Im
Incomer5]]-DZ75)*1000&lt;0,0,(RD[[#This Row],[33 kV_F7_Im
Incomer5]]-DZ75)*1000)</f>
        <v>400.00000000000034</v>
      </c>
      <c r="ER76" s="146">
        <f>IF((RD[[#This Row],[33 kV_Aux Trafo]]-EA75)*1000&lt;0,0,(RD[[#This Row],[33 kV_Aux Trafo]]-EA75)*1000)</f>
        <v>290.00000000000625</v>
      </c>
      <c r="ES76" s="158">
        <f>IF((RD[[#This Row],[33kV_OG1_Ex_]]-EB75)*1&lt;0,0,(RD[[#This Row],[33kV_OG1_Ex_]]-EB75)*1)</f>
        <v>622838</v>
      </c>
      <c r="ET76" s="146">
        <f>IF((RD[[#This Row],[33kV_OG1_Im]]-EC75)*1&lt;0,0,(RD[[#This Row],[33kV_OG1_Im]]-EC75)*1)</f>
        <v>2069.1840000000084</v>
      </c>
      <c r="EU76" s="146">
        <f>IF((RD[[#This Row],[132kV_TX1_EX]]-ED75)*720&lt;=0,"",(RD[[#This Row],[132kV_TX1_EX]]-ED75)*720)</f>
        <v>1440</v>
      </c>
      <c r="EV76" s="146">
        <f>IF((RD[[#This Row],[132 kV_Tx1_Im]]-EE75)*720&lt;=0,0,(RD[[#This Row],[132 kV_Tx1_Im]]-EE75)*720)</f>
        <v>446400</v>
      </c>
      <c r="EW76" s="146">
        <f>IF((RD[[#This Row],[132kV_L1_Ex]]-EF75)*720&lt;=0,0,(RD[[#This Row],[132kV_L1_Ex]]-EF75)*720)</f>
        <v>620784.00000000838</v>
      </c>
      <c r="EX76" s="146">
        <f>IF((RD[[#This Row],[132kV_L1_Im]]-EG75)*720&lt;=0,0,(RD[[#This Row],[132kV_L1_Im]]-EG75)*720)</f>
        <v>2592.0000000000982</v>
      </c>
      <c r="EY76" s="242">
        <f>IFERROR(RD[[#This Row],[33kV_OG1_Ex (MWh)]]+RD[[#This Row],[33kV_OG1_Im (MWh)]],"")</f>
        <v>624907.18400000001</v>
      </c>
      <c r="EZ76" s="148">
        <f>RD[[#This Row],[33kV_OG1_Ex (MWh)]]-RD[[#This Row],[33kV_OG1_Im (MWh)]]</f>
        <v>620768.81599999999</v>
      </c>
      <c r="FA76" s="148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43">
        <f>IFERROR((RD[[#This Row],[Sunset Time (POA&lt;20 W/m2)]]-RD[[#This Row],[Sunrise Time (POA&gt;20 W/m2)]])*24,0)</f>
        <v>12.616666666666667</v>
      </c>
      <c r="FD76" s="244">
        <v>122.7</v>
      </c>
      <c r="FE76" t="s">
        <v>293</v>
      </c>
      <c r="FG76" s="144" t="str">
        <f>IFERROR(RD[[#This Row],[E_AC (WPR)]]/RD[[#This Row],[E_DC (WPR)]],"")</f>
        <v/>
      </c>
    </row>
    <row r="77" spans="1:163">
      <c r="A77" s="133">
        <f t="shared" si="161"/>
        <v>45817</v>
      </c>
      <c r="B77" s="138">
        <f>YEAR(RD[[#This Row],[Date]])+IF(MONTH(RD[[#This Row],[Date]])&gt;=4,1,0)</f>
        <v>2026</v>
      </c>
      <c r="C77" s="138">
        <f>YEAR(RD[[#This Row],[Date]])</f>
        <v>2025</v>
      </c>
      <c r="D77" s="139">
        <f t="shared" si="165"/>
        <v>45809</v>
      </c>
      <c r="E77" s="138">
        <f>DAY(EOMONTH(RD[[#This Row],[Date]],0))</f>
        <v>30</v>
      </c>
      <c r="F77" s="152">
        <v>0.25138888888888888</v>
      </c>
      <c r="G77" s="162">
        <v>0.78263888888888888</v>
      </c>
      <c r="H77" s="124">
        <v>8870.7999999999993</v>
      </c>
      <c r="I77" s="268">
        <v>8753.2999999999993</v>
      </c>
      <c r="J77" s="124">
        <v>8254.2000000000007</v>
      </c>
      <c r="K77" s="124">
        <v>8285.7000000000007</v>
      </c>
      <c r="L77" s="124">
        <v>8527.2000000000007</v>
      </c>
      <c r="M77" s="124">
        <v>8844.4</v>
      </c>
      <c r="N77" s="124">
        <v>8591.9</v>
      </c>
      <c r="O77" s="124">
        <v>9311.5</v>
      </c>
      <c r="P77" s="124">
        <v>8673.4</v>
      </c>
      <c r="Q77" s="124">
        <v>8496.2000000000007</v>
      </c>
      <c r="R77" s="124">
        <v>8818.7999999999993</v>
      </c>
      <c r="S77" s="266">
        <v>8806.2999999999993</v>
      </c>
      <c r="T77" s="124">
        <v>9098.5</v>
      </c>
      <c r="U77" s="124">
        <v>8844</v>
      </c>
      <c r="V77" s="124">
        <v>8980.7999999999993</v>
      </c>
      <c r="W77" s="124">
        <v>8674.1</v>
      </c>
      <c r="X77" s="266">
        <v>12087</v>
      </c>
      <c r="Y77" s="203">
        <v>13147.5</v>
      </c>
      <c r="Z77" s="203">
        <v>11759.5</v>
      </c>
      <c r="AA77" s="203">
        <v>12304.4</v>
      </c>
      <c r="AB77" s="266">
        <v>13076</v>
      </c>
      <c r="AC77" s="203">
        <v>7828.1</v>
      </c>
      <c r="AD77" s="203">
        <v>12161.6</v>
      </c>
      <c r="AE77" s="203">
        <v>12308.8</v>
      </c>
      <c r="AF77" s="266">
        <v>12132.8</v>
      </c>
      <c r="AG77" s="203">
        <v>12101.5</v>
      </c>
      <c r="AH77" s="203">
        <v>12106.5</v>
      </c>
      <c r="AI77" s="266">
        <v>12133.1</v>
      </c>
      <c r="AJ77" s="203">
        <v>9797</v>
      </c>
      <c r="AK77" s="266">
        <v>10039.6</v>
      </c>
      <c r="AL77" s="203">
        <v>9872.6</v>
      </c>
      <c r="AM77" s="266">
        <v>9954.2999999999993</v>
      </c>
      <c r="AN77" s="203">
        <v>9910.7999999999993</v>
      </c>
      <c r="AO77" s="266">
        <v>10259.4</v>
      </c>
      <c r="AP77" s="203">
        <v>10078</v>
      </c>
      <c r="AQ77" s="266">
        <v>9952.2999999999993</v>
      </c>
      <c r="AR77" s="203">
        <v>8150.8</v>
      </c>
      <c r="AS77" s="266">
        <v>8194.2999999999993</v>
      </c>
      <c r="AT77" s="203">
        <v>8179</v>
      </c>
      <c r="AU77" s="266">
        <v>8117.4</v>
      </c>
      <c r="AV77" s="203">
        <v>8352.7999999999993</v>
      </c>
      <c r="AW77" s="203">
        <v>8223.9</v>
      </c>
      <c r="AX77" s="203">
        <v>11562.6</v>
      </c>
      <c r="AY77" s="203">
        <v>12940.5</v>
      </c>
      <c r="AZ77" s="203">
        <v>9393</v>
      </c>
      <c r="BA77" s="203">
        <v>11331.1</v>
      </c>
      <c r="BB77" s="203">
        <v>9708</v>
      </c>
      <c r="BC77" s="203">
        <v>9467</v>
      </c>
      <c r="BD77" s="203">
        <v>9678.7000000000007</v>
      </c>
      <c r="BE77" s="203">
        <v>10911</v>
      </c>
      <c r="BF77" s="203">
        <v>11882.7</v>
      </c>
      <c r="BG77" s="203">
        <v>11956</v>
      </c>
      <c r="BH77" s="203">
        <v>11746</v>
      </c>
      <c r="BI77" s="203">
        <v>12063</v>
      </c>
      <c r="BJ77" s="203">
        <v>8066</v>
      </c>
      <c r="BK77" s="203">
        <v>6370</v>
      </c>
      <c r="BL77" s="203">
        <v>7534</v>
      </c>
      <c r="BM77" s="203">
        <v>7643</v>
      </c>
      <c r="BN77" s="203">
        <v>8066</v>
      </c>
      <c r="BO77" s="203">
        <v>6370</v>
      </c>
      <c r="BP77" s="203">
        <v>7534</v>
      </c>
      <c r="BQ77" s="203">
        <v>7643</v>
      </c>
      <c r="BR77" s="203">
        <v>9121</v>
      </c>
      <c r="BS77" s="203">
        <v>9387</v>
      </c>
      <c r="BT77" s="203">
        <v>9151</v>
      </c>
      <c r="BU77" s="203">
        <v>9519</v>
      </c>
      <c r="BV77" s="203"/>
      <c r="BW77" s="203"/>
      <c r="BX77" s="203"/>
      <c r="BY77" s="203"/>
      <c r="BZ77" s="203">
        <v>1288</v>
      </c>
      <c r="CA77" s="203">
        <v>1090</v>
      </c>
      <c r="CB77" s="203">
        <v>4975</v>
      </c>
      <c r="CC77" s="203">
        <v>8261</v>
      </c>
      <c r="CD77" s="261">
        <v>7.1267390333333331</v>
      </c>
      <c r="CE77" s="261">
        <v>6.523469300000003</v>
      </c>
      <c r="CF77" s="261">
        <v>6.9949185499999986</v>
      </c>
      <c r="CG77" s="261">
        <v>6.7713917333333349</v>
      </c>
      <c r="CH77" s="261">
        <v>0.84054511666666565</v>
      </c>
      <c r="CI77" s="261">
        <v>0.94987036666666769</v>
      </c>
      <c r="CJ77" s="261">
        <v>1.1921985666666675</v>
      </c>
      <c r="CK77" s="261">
        <v>1.0488072333333338</v>
      </c>
      <c r="CL77" s="261">
        <v>32.965233128834363</v>
      </c>
      <c r="CM77" s="261">
        <v>33.285543644716697</v>
      </c>
      <c r="CN77" s="261">
        <v>46.295125000000041</v>
      </c>
      <c r="CO77" s="261">
        <v>44.045260336906615</v>
      </c>
      <c r="CP77" s="261">
        <v>53.459170245398688</v>
      </c>
      <c r="CQ77" s="261">
        <v>53.854471669219024</v>
      </c>
      <c r="CR77" s="261">
        <v>0</v>
      </c>
      <c r="CS77" s="261">
        <v>0</v>
      </c>
      <c r="CT77" s="261">
        <v>2.3182047546012212</v>
      </c>
      <c r="CU77" s="261">
        <v>2.4537220520673788</v>
      </c>
      <c r="CV77" s="261">
        <v>4.0469999999999997</v>
      </c>
      <c r="CW77" s="261">
        <v>4.4429999999999996</v>
      </c>
      <c r="CX77" s="204">
        <f>IFERROR(AVERAGEIF(RD[[#This Row],[IS1POA1 (KWh/m2)]:[IS7POA2 (KWh/m2)]],"&lt;&gt;0",RD[[#This Row],[IS1POA1 (KWh/m2)]:[IS7POA2 (KWh/m2)]]),"")</f>
        <v>6.8251041666666676</v>
      </c>
      <c r="CY77" s="204">
        <f>IFERROR(AVERAGEIF(RD[[#This Row],[IS1GHI1 (KWh/m2)]:[IS7GHI2 (KWh/m2)]],"&lt;&gt;0",RD[[#This Row],[IS1GHI1 (KWh/m2)]:[IS7GHI2 (KWh/m2)]]),"")</f>
        <v>6.8831551416666663</v>
      </c>
      <c r="CZ77" s="204">
        <f>IFERROR(AVERAGEIF(RD[[#This Row],[IS1POA_BS1 (KWh/m2)]:[IS7POA_BS2 (KWh/m2)]],"&lt;&gt;0",RD[[#This Row],[IS1POA_BS1 (KWh/m2)]:[IS7POA_BS2 (KWh/m2)]]),"")</f>
        <v>0.89520774166666661</v>
      </c>
      <c r="DA77" s="204">
        <f>IFERROR(AVERAGEIF(RD[[#This Row],[IS1GHI_BS1 (KWh/m2)]:[IS1GHI_BS1 (KWh/m2)2]],"&lt;&gt;0",RD[[#This Row],[IS1GHI_BS1 (KWh/m2)]:[IS1GHI_BS1 (KWh/m2)2]]),"")</f>
        <v>1.1205029000000006</v>
      </c>
      <c r="DB77" s="204">
        <f>IFERROR(AVERAGEIF(RD[[#This Row],[IS1AT1 (°C)]:[IS7AT2 (°C)]],"&lt;&gt;0",RD[[#This Row],[IS1AT1 (°C)]:[IS7AT2 (°C)]]),"")</f>
        <v>33.125388386775526</v>
      </c>
      <c r="DC77" s="204">
        <f>IFERROR(AVERAGEIF(RD[[#This Row],[IS1MT1 (°C)]:[IS7MT2 (°C)]],"&lt;&gt;0",RD[[#This Row],[IS1MT1 (°C)]:[IS7MT2 (°C)]]),"")</f>
        <v>45.170192668453325</v>
      </c>
      <c r="DD77" s="204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204">
        <f>IFERROR(AVERAGEIF(RD[[#This Row],[WS_Solar1_Avg (m/s)]:[IS7_WS_Solar1_Avg (m/s)]],"&lt;&gt;0",RD[[#This Row],[WS_Solar1_Avg (m/s)]:[IS7_WS_Solar1_Avg (m/s)]]),"")</f>
        <v>2.3859634033343</v>
      </c>
      <c r="DG77" s="204">
        <f>IFERROR(AVERAGEIF(RD[[#This Row],[WS_Solar1_Max (m/s)]:[IS7_WS_Solar1_Max (m/s)]],"&lt;&gt;0",RD[[#This Row],[WS_Solar1_Max (m/s)]:[IS7_WS_Solar1_Max (m/s)]]),"")</f>
        <v>4.2449999999999992</v>
      </c>
      <c r="DH77" s="204">
        <f>SUM(RD[[#This Row],[IS1Inv1M1]:[IS4Inv4M2]])</f>
        <v>282977.89999999997</v>
      </c>
      <c r="DI77" s="205">
        <f>SUM(RD[[#This Row],[IS7Inv1M1]]+RD[[#This Row],[IS7Inv2M1]])</f>
        <v>16345.099999999999</v>
      </c>
      <c r="DJ77" s="204">
        <f>SUM(RD[[#This Row],[IS5Inv1M1]:[IS5Inv2M2]])</f>
        <v>39663.5</v>
      </c>
      <c r="DK77" s="204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86">
        <f>SUM(RD[[#This Row],[IS12Inv1M1]:[IS12Inv1M4]])</f>
        <v>29613</v>
      </c>
      <c r="DO77" s="286">
        <f>SUM(RD[[#This Row],[IS13Inv1M1]:[IS13Inv2M2]])</f>
        <v>37178</v>
      </c>
      <c r="DP77" s="204">
        <f>SUM(RD[[#This Row],[O2R15]:[O2R26]])</f>
        <v>656717.69999999995</v>
      </c>
      <c r="DQ77" s="164">
        <v>42820.2</v>
      </c>
      <c r="DR77" s="168">
        <v>218.4</v>
      </c>
      <c r="DS77" s="164">
        <v>37277.800000000003</v>
      </c>
      <c r="DT77" s="164">
        <v>231</v>
      </c>
      <c r="DU77" s="168">
        <v>43759.8</v>
      </c>
      <c r="DV77" s="168">
        <v>414.5</v>
      </c>
      <c r="DW77" s="164">
        <v>10250.6</v>
      </c>
      <c r="DX77" s="168">
        <v>50.9</v>
      </c>
      <c r="DY77" s="168">
        <v>1301.5</v>
      </c>
      <c r="DZ77" s="168">
        <v>4.0999999999999996</v>
      </c>
      <c r="EA77" s="140">
        <v>100.99</v>
      </c>
      <c r="EB77" s="241">
        <v>138947952</v>
      </c>
      <c r="EC77" s="240">
        <v>982710.4</v>
      </c>
      <c r="ED77" s="241">
        <v>1181</v>
      </c>
      <c r="EE77" s="241">
        <v>133193</v>
      </c>
      <c r="EF77" s="164">
        <v>192666.4</v>
      </c>
      <c r="EG77" s="164">
        <v>1913.8</v>
      </c>
      <c r="EH77" s="146">
        <f>IF((RD[[#This Row],[33 kV_F3_Ex
Incomer1]]-DQ76)*1000&lt;0,0,(RD[[#This Row],[33 kV_F3_Ex
Incomer1]]-DQ76)*1000)</f>
        <v>142099.99999999854</v>
      </c>
      <c r="EI77" s="146">
        <f>IF((RD[[#This Row],[34 kV_F3_Im
Incomer1]]-DR76)*1000&lt;0,0,(RD[[#This Row],[34 kV_F3_Im
Incomer1]]-DR76)*1000)</f>
        <v>400.00000000000568</v>
      </c>
      <c r="EJ77" s="146">
        <f>IF((RD[[#This Row],[33 kV_F4_Ex
Incomer2]]-DS76)*1000&lt;0,0,(RD[[#This Row],[33 kV_F4_Ex
Incomer2]]-DS76)*1000)</f>
        <v>136000</v>
      </c>
      <c r="EK77" s="146">
        <f>IF((RD[[#This Row],[34 kV_F4_Im
Incomer2]]-DT76)*1000&lt;0,0,(RD[[#This Row],[34 kV_F4_Im
Incomer2]]-DT76)*1000)</f>
        <v>400.00000000000568</v>
      </c>
      <c r="EL77" s="146">
        <f>IF((RD[[#This Row],[33 kV_F5_Ex
Incomer3]]-DU76)*1000&lt;0,0,(RD[[#This Row],[33 kV_F5_Ex
Incomer3]]-DU76)*1000)</f>
        <v>171900.00000000146</v>
      </c>
      <c r="EM77" s="146">
        <f>IF((RD[[#This Row],[34 kV_F5_Im
Incomer3]]-DV76)*1000&lt;0,0,(RD[[#This Row],[34 kV_F5_Im
Incomer3]]-DV76)*1000)</f>
        <v>800.00000000001137</v>
      </c>
      <c r="EN77" s="146">
        <f>IF((RD[[#This Row],[33 kV_F6_Ex
Incomer4]]-DW76)*1000&lt;0,0,(RD[[#This Row],[33 kV_F6_Ex
Incomer4]]-DW76)*1000)</f>
        <v>15399.999999999636</v>
      </c>
      <c r="EO77" s="146">
        <f t="shared" si="166"/>
        <v>400.00000000000568</v>
      </c>
      <c r="EP77" s="146">
        <f>IF((RD[[#This Row],[33 kV_F7_Ex
Incomer5]]-DY76)*1000&lt;0,0,(RD[[#This Row],[33 kV_F7_Ex
Incomer5]]-DY76)*1000)</f>
        <v>159599.99999999991</v>
      </c>
      <c r="EQ77" s="146">
        <f>IF((RD[[#This Row],[33 kV_F7_Im
Incomer5]]-DZ76)*1000&lt;0,0,(RD[[#This Row],[33 kV_F7_Im
Incomer5]]-DZ76)*1000)</f>
        <v>399.99999999999949</v>
      </c>
      <c r="ER77" s="146">
        <f>IF((RD[[#This Row],[33 kV_Aux Trafo]]-EA76)*1000&lt;0,0,(RD[[#This Row],[33 kV_Aux Trafo]]-EA76)*1000)</f>
        <v>309.99999999998806</v>
      </c>
      <c r="ES77" s="158">
        <f>IF((RD[[#This Row],[33kV_OG1_Ex_]]-EB76)*1&lt;0,0,(RD[[#This Row],[33kV_OG1_Ex_]]-EB76)*1)</f>
        <v>649691</v>
      </c>
      <c r="ET77" s="146">
        <f>IF((RD[[#This Row],[33kV_OG1_Im]]-EC76)*1&lt;0,0,(RD[[#This Row],[33kV_OG1_Im]]-EC76)*1)</f>
        <v>2267.5200000000186</v>
      </c>
      <c r="EU77" s="146">
        <f>IF((RD[[#This Row],[132kV_TX1_EX]]-ED76)*720&lt;=0,"",(RD[[#This Row],[132kV_TX1_EX]]-ED76)*720)</f>
        <v>2160</v>
      </c>
      <c r="EV77" s="146">
        <f>IF((RD[[#This Row],[132 kV_Tx1_Im]]-EE76)*720&lt;=0,0,(RD[[#This Row],[132 kV_Tx1_Im]]-EE76)*720)</f>
        <v>465840</v>
      </c>
      <c r="EW77" s="146">
        <f>IF((RD[[#This Row],[132kV_L1_Ex]]-EF76)*720&lt;=0,0,(RD[[#This Row],[132kV_L1_Ex]]-EF76)*720)</f>
        <v>647495.99999999162</v>
      </c>
      <c r="EX77" s="146">
        <f>IF((RD[[#This Row],[132kV_L1_Im]]-EG76)*720&lt;=0,0,(RD[[#This Row],[132kV_L1_Im]]-EG76)*720)</f>
        <v>2807.9999999999018</v>
      </c>
      <c r="EY77" s="242">
        <f>IFERROR(RD[[#This Row],[33kV_OG1_Ex (MWh)]]+RD[[#This Row],[33kV_OG1_Im (MWh)]],"")</f>
        <v>651958.52</v>
      </c>
      <c r="EZ77" s="148">
        <f>RD[[#This Row],[33kV_OG1_Ex (MWh)]]-RD[[#This Row],[33kV_OG1_Im (MWh)]]</f>
        <v>647423.48</v>
      </c>
      <c r="FA77" s="148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43">
        <f>IFERROR((RD[[#This Row],[Sunset Time (POA&lt;20 W/m2)]]-RD[[#This Row],[Sunrise Time (POA&gt;20 W/m2)]])*24,0)</f>
        <v>12.75</v>
      </c>
      <c r="FD77" s="244">
        <v>122.7</v>
      </c>
      <c r="FE77" t="s">
        <v>293</v>
      </c>
      <c r="FG77" s="144" t="str">
        <f>IFERROR(RD[[#This Row],[E_AC (WPR)]]/RD[[#This Row],[E_DC (WPR)]],"")</f>
        <v/>
      </c>
    </row>
    <row r="78" spans="1:163">
      <c r="A78" s="133">
        <f t="shared" si="161"/>
        <v>45818</v>
      </c>
      <c r="B78" s="138">
        <f>YEAR(RD[[#This Row],[Date]])+IF(MONTH(RD[[#This Row],[Date]])&gt;=4,1,0)</f>
        <v>2026</v>
      </c>
      <c r="C78" s="138">
        <f>YEAR(RD[[#This Row],[Date]])</f>
        <v>2025</v>
      </c>
      <c r="D78" s="139">
        <f t="shared" si="165"/>
        <v>45809</v>
      </c>
      <c r="E78" s="138">
        <f>DAY(EOMONTH(RD[[#This Row],[Date]],0))</f>
        <v>30</v>
      </c>
      <c r="F78" s="152">
        <v>0.25208333333333333</v>
      </c>
      <c r="G78" s="162">
        <v>0.78125</v>
      </c>
      <c r="H78" s="124">
        <v>8065.9</v>
      </c>
      <c r="I78" s="268">
        <v>7972.5</v>
      </c>
      <c r="J78" s="124">
        <v>7534.8</v>
      </c>
      <c r="K78" s="124">
        <v>7570.3</v>
      </c>
      <c r="L78" s="124">
        <v>7773.5</v>
      </c>
      <c r="M78" s="124">
        <v>8041.5</v>
      </c>
      <c r="N78" s="124">
        <v>7826</v>
      </c>
      <c r="O78" s="124">
        <v>8451.6</v>
      </c>
      <c r="P78" s="124">
        <v>7929</v>
      </c>
      <c r="Q78" s="124">
        <v>7705.4</v>
      </c>
      <c r="R78" s="124">
        <v>7953.4</v>
      </c>
      <c r="S78" s="266">
        <v>7929.3</v>
      </c>
      <c r="T78" s="124">
        <v>8271.5</v>
      </c>
      <c r="U78" s="124">
        <v>7948.4</v>
      </c>
      <c r="V78" s="124">
        <v>8165.1</v>
      </c>
      <c r="W78" s="124">
        <v>7927.1</v>
      </c>
      <c r="X78" s="266">
        <v>10990.9</v>
      </c>
      <c r="Y78" s="203">
        <v>11910.5</v>
      </c>
      <c r="Z78" s="203">
        <v>10772</v>
      </c>
      <c r="AA78" s="203">
        <v>11279.4</v>
      </c>
      <c r="AB78" s="266">
        <v>11833</v>
      </c>
      <c r="AC78" s="203">
        <v>7072.2</v>
      </c>
      <c r="AD78" s="203">
        <v>10972.9</v>
      </c>
      <c r="AE78" s="203">
        <v>11079.2</v>
      </c>
      <c r="AF78" s="266">
        <v>10969.8</v>
      </c>
      <c r="AG78" s="203">
        <v>10942</v>
      </c>
      <c r="AH78" s="203">
        <v>10933</v>
      </c>
      <c r="AI78" s="266">
        <v>10936.9</v>
      </c>
      <c r="AJ78" s="203">
        <v>8938.7999999999993</v>
      </c>
      <c r="AK78" s="266">
        <v>9152.5</v>
      </c>
      <c r="AL78" s="203">
        <v>9001.2000000000007</v>
      </c>
      <c r="AM78" s="266">
        <v>9055.7000000000007</v>
      </c>
      <c r="AN78" s="203">
        <v>9046.7000000000007</v>
      </c>
      <c r="AO78" s="266">
        <v>9367.7000000000007</v>
      </c>
      <c r="AP78" s="203">
        <v>9221.1</v>
      </c>
      <c r="AQ78" s="266">
        <v>9093.5</v>
      </c>
      <c r="AR78" s="203">
        <v>7399</v>
      </c>
      <c r="AS78" s="266">
        <v>7454.2</v>
      </c>
      <c r="AT78" s="203">
        <v>7438.6</v>
      </c>
      <c r="AU78" s="266">
        <v>7375.7</v>
      </c>
      <c r="AV78" s="203">
        <v>7585.5</v>
      </c>
      <c r="AW78" s="203">
        <v>7497.3</v>
      </c>
      <c r="AX78" s="203">
        <v>10546.6</v>
      </c>
      <c r="AY78" s="203">
        <v>11818.9</v>
      </c>
      <c r="AZ78" s="203">
        <v>8561.6</v>
      </c>
      <c r="BA78" s="203">
        <v>10316.799999999999</v>
      </c>
      <c r="BB78" s="203">
        <v>9303</v>
      </c>
      <c r="BC78" s="203">
        <v>9078</v>
      </c>
      <c r="BD78" s="203">
        <v>9261</v>
      </c>
      <c r="BE78" s="203">
        <v>10506</v>
      </c>
      <c r="BF78" s="203">
        <v>11395</v>
      </c>
      <c r="BG78" s="203">
        <v>11447</v>
      </c>
      <c r="BH78" s="203">
        <v>11264</v>
      </c>
      <c r="BI78" s="203">
        <v>11520</v>
      </c>
      <c r="BJ78" s="203">
        <v>7675</v>
      </c>
      <c r="BK78" s="203">
        <v>6069</v>
      </c>
      <c r="BL78" s="203">
        <v>7154</v>
      </c>
      <c r="BM78" s="203">
        <v>7249</v>
      </c>
      <c r="BN78" s="203">
        <v>7869</v>
      </c>
      <c r="BO78" s="203">
        <v>7640</v>
      </c>
      <c r="BP78" s="203">
        <v>8225</v>
      </c>
      <c r="BQ78" s="203">
        <v>8187</v>
      </c>
      <c r="BR78" s="203">
        <v>5971</v>
      </c>
      <c r="BS78" s="203">
        <v>6458</v>
      </c>
      <c r="BT78" s="203">
        <v>7341</v>
      </c>
      <c r="BU78" s="203">
        <v>7540</v>
      </c>
      <c r="BV78" s="203"/>
      <c r="BW78" s="203"/>
      <c r="BX78" s="203"/>
      <c r="BY78" s="203"/>
      <c r="BZ78" s="203">
        <v>1206</v>
      </c>
      <c r="CA78" s="203">
        <v>1022</v>
      </c>
      <c r="CB78" s="203">
        <v>4704</v>
      </c>
      <c r="CC78" s="203">
        <v>7820</v>
      </c>
      <c r="CD78" s="261">
        <v>7.204574066666658</v>
      </c>
      <c r="CE78" s="261">
        <v>5.8837973333333409</v>
      </c>
      <c r="CF78" s="261">
        <v>5.4856224333333348</v>
      </c>
      <c r="CG78" s="261">
        <v>6.0199839000000042</v>
      </c>
      <c r="CH78" s="261">
        <v>0.7281406666666661</v>
      </c>
      <c r="CI78" s="261">
        <v>0.87009781666666708</v>
      </c>
      <c r="CJ78" s="261">
        <v>1.059802216666667</v>
      </c>
      <c r="CK78" s="261">
        <v>0.93598535000000016</v>
      </c>
      <c r="CL78" s="261">
        <v>32.936788321167967</v>
      </c>
      <c r="CM78" s="261">
        <v>33.249967611335947</v>
      </c>
      <c r="CN78" s="261">
        <v>46.301298459042968</v>
      </c>
      <c r="CO78" s="261">
        <v>43.978092307692343</v>
      </c>
      <c r="CP78" s="261">
        <v>52.113463098134652</v>
      </c>
      <c r="CQ78" s="261">
        <v>52.654874493927124</v>
      </c>
      <c r="CR78" s="261">
        <v>0</v>
      </c>
      <c r="CS78" s="261">
        <v>0</v>
      </c>
      <c r="CT78" s="261">
        <v>2.099330900243308</v>
      </c>
      <c r="CU78" s="261">
        <v>2.1610469635627574</v>
      </c>
      <c r="CV78" s="261">
        <v>3.9180000000000001</v>
      </c>
      <c r="CW78" s="261">
        <v>3.8519999999999999</v>
      </c>
      <c r="CX78" s="204">
        <f>IFERROR(AVERAGEIF(RD[[#This Row],[IS1POA1 (KWh/m2)]:[IS7POA2 (KWh/m2)]],"&lt;&gt;0",RD[[#This Row],[IS1POA1 (KWh/m2)]:[IS7POA2 (KWh/m2)]]),"")</f>
        <v>6.5441856999999999</v>
      </c>
      <c r="CY78" s="204">
        <f>IFERROR(AVERAGEIF(RD[[#This Row],[IS1GHI1 (KWh/m2)]:[IS7GHI2 (KWh/m2)]],"&lt;&gt;0",RD[[#This Row],[IS1GHI1 (KWh/m2)]:[IS7GHI2 (KWh/m2)]]),"")</f>
        <v>5.7528031666666699</v>
      </c>
      <c r="CZ78" s="204">
        <f>IFERROR(AVERAGEIF(RD[[#This Row],[IS1POA_BS1 (KWh/m2)]:[IS7POA_BS2 (KWh/m2)]],"&lt;&gt;0",RD[[#This Row],[IS1POA_BS1 (KWh/m2)]:[IS7POA_BS2 (KWh/m2)]]),"")</f>
        <v>0.79911924166666659</v>
      </c>
      <c r="DA78" s="204">
        <f>IFERROR(AVERAGEIF(RD[[#This Row],[IS1GHI_BS1 (KWh/m2)]:[IS1GHI_BS1 (KWh/m2)2]],"&lt;&gt;0",RD[[#This Row],[IS1GHI_BS1 (KWh/m2)]:[IS1GHI_BS1 (KWh/m2)2]]),"")</f>
        <v>0.99789378333333356</v>
      </c>
      <c r="DB78" s="204">
        <f>IFERROR(AVERAGEIF(RD[[#This Row],[IS1AT1 (°C)]:[IS7AT2 (°C)]],"&lt;&gt;0",RD[[#This Row],[IS1AT1 (°C)]:[IS7AT2 (°C)]]),"")</f>
        <v>33.093377966251957</v>
      </c>
      <c r="DC78" s="204">
        <f>IFERROR(AVERAGEIF(RD[[#This Row],[IS1MT1 (°C)]:[IS7MT2 (°C)]],"&lt;&gt;0",RD[[#This Row],[IS1MT1 (°C)]:[IS7MT2 (°C)]]),"")</f>
        <v>45.139695383367652</v>
      </c>
      <c r="DD78" s="204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204">
        <f>IFERROR(AVERAGEIF(RD[[#This Row],[WS_Solar1_Avg (m/s)]:[IS7_WS_Solar1_Avg (m/s)]],"&lt;&gt;0",RD[[#This Row],[WS_Solar1_Avg (m/s)]:[IS7_WS_Solar1_Avg (m/s)]]),"")</f>
        <v>2.1301889319030325</v>
      </c>
      <c r="DG78" s="204">
        <f>IFERROR(AVERAGEIF(RD[[#This Row],[WS_Solar1_Max (m/s)]:[IS7_WS_Solar1_Max (m/s)]],"&lt;&gt;0",RD[[#This Row],[WS_Solar1_Max (m/s)]:[IS7_WS_Solar1_Max (m/s)]]),"")</f>
        <v>3.8849999999999998</v>
      </c>
      <c r="DH78" s="204">
        <f>SUM(RD[[#This Row],[IS1Inv1M1]:[IS4Inv4M2]])</f>
        <v>256757.1</v>
      </c>
      <c r="DI78" s="205">
        <f>SUM(RD[[#This Row],[IS7Inv1M1]]+RD[[#This Row],[IS7Inv2M1]])</f>
        <v>14853.2</v>
      </c>
      <c r="DJ78" s="204">
        <f>SUM(RD[[#This Row],[IS5Inv1M1]:[IS5Inv2M2]])</f>
        <v>36148.199999999997</v>
      </c>
      <c r="DK78" s="204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86">
        <f>SUM(RD[[#This Row],[IS12Inv1M1]:[IS12Inv1M4]])</f>
        <v>31921</v>
      </c>
      <c r="DO78" s="286">
        <f>SUM(RD[[#This Row],[IS13Inv1M1]:[IS13Inv2M2]])</f>
        <v>27310</v>
      </c>
      <c r="DP78" s="204">
        <f>SUM(RD[[#This Row],[O2R15]:[O2R26]])</f>
        <v>601532.5</v>
      </c>
      <c r="DQ78" s="164">
        <v>42949</v>
      </c>
      <c r="DR78" s="168">
        <v>218.7</v>
      </c>
      <c r="DS78" s="164">
        <v>37401.9</v>
      </c>
      <c r="DT78" s="164">
        <v>231.3</v>
      </c>
      <c r="DU78" s="168">
        <v>43916.6</v>
      </c>
      <c r="DV78" s="168">
        <v>415</v>
      </c>
      <c r="DW78" s="164">
        <v>10265.299999999999</v>
      </c>
      <c r="DX78" s="168">
        <v>51</v>
      </c>
      <c r="DY78" s="168">
        <v>1446</v>
      </c>
      <c r="DZ78" s="168">
        <v>4.4000000000000004</v>
      </c>
      <c r="EA78" s="140">
        <v>101.28</v>
      </c>
      <c r="EB78" s="241">
        <v>139540135</v>
      </c>
      <c r="EC78" s="240">
        <v>984623.68</v>
      </c>
      <c r="ED78" s="241">
        <v>1184</v>
      </c>
      <c r="EE78" s="241">
        <v>133783</v>
      </c>
      <c r="EF78" s="164">
        <v>193486.1</v>
      </c>
      <c r="EG78" s="164">
        <v>1917.1</v>
      </c>
      <c r="EH78" s="146">
        <f>IF((RD[[#This Row],[33 kV_F3_Ex
Incomer1]]-DQ77)*1000&lt;0,0,(RD[[#This Row],[33 kV_F3_Ex
Incomer1]]-DQ77)*1000)</f>
        <v>128800.00000000291</v>
      </c>
      <c r="EI78" s="146">
        <f>IF((RD[[#This Row],[34 kV_F3_Im
Incomer1]]-DR77)*1000&lt;0,0,(RD[[#This Row],[34 kV_F3_Im
Incomer1]]-DR77)*1000)</f>
        <v>299.99999999998295</v>
      </c>
      <c r="EJ78" s="146">
        <f>IF((RD[[#This Row],[33 kV_F4_Ex
Incomer2]]-DS77)*1000&lt;0,0,(RD[[#This Row],[33 kV_F4_Ex
Incomer2]]-DS77)*1000)</f>
        <v>124099.99999999854</v>
      </c>
      <c r="EK78" s="146">
        <f>IF((RD[[#This Row],[34 kV_F4_Im
Incomer2]]-DT77)*1000&lt;0,0,(RD[[#This Row],[34 kV_F4_Im
Incomer2]]-DT77)*1000)</f>
        <v>300.00000000001137</v>
      </c>
      <c r="EL78" s="146">
        <f>IF((RD[[#This Row],[33 kV_F5_Ex
Incomer3]]-DU77)*1000&lt;0,0,(RD[[#This Row],[33 kV_F5_Ex
Incomer3]]-DU77)*1000)</f>
        <v>156799.99999999563</v>
      </c>
      <c r="EM78" s="146">
        <f>IF((RD[[#This Row],[34 kV_F5_Im
Incomer3]]-DV77)*1000&lt;0,0,(RD[[#This Row],[34 kV_F5_Im
Incomer3]]-DV77)*1000)</f>
        <v>500</v>
      </c>
      <c r="EN78" s="146">
        <f>IF((RD[[#This Row],[33 kV_F6_Ex
Incomer4]]-DW77)*1000&lt;0,0,(RD[[#This Row],[33 kV_F6_Ex
Incomer4]]-DW77)*1000)</f>
        <v>14699.999999998909</v>
      </c>
      <c r="EO78" s="146">
        <f t="shared" si="166"/>
        <v>299.99999999998295</v>
      </c>
      <c r="EP78" s="146">
        <f>IF((RD[[#This Row],[33 kV_F7_Ex
Incomer5]]-DY77)*1000&lt;0,0,(RD[[#This Row],[33 kV_F7_Ex
Incomer5]]-DY77)*1000)</f>
        <v>144500</v>
      </c>
      <c r="EQ78" s="146">
        <f>IF((RD[[#This Row],[33 kV_F7_Im
Incomer5]]-DZ77)*1000&lt;0,0,(RD[[#This Row],[33 kV_F7_Im
Incomer5]]-DZ77)*1000)</f>
        <v>300.00000000000068</v>
      </c>
      <c r="ER78" s="146">
        <f>IF((RD[[#This Row],[33 kV_Aux Trafo]]-EA77)*1000&lt;0,0,(RD[[#This Row],[33 kV_Aux Trafo]]-EA77)*1000)</f>
        <v>290.00000000000625</v>
      </c>
      <c r="ES78" s="158">
        <f>IF((RD[[#This Row],[33kV_OG1_Ex_]]-EB77)*1&lt;0,0,(RD[[#This Row],[33kV_OG1_Ex_]]-EB77)*1)</f>
        <v>592183</v>
      </c>
      <c r="ET78" s="146">
        <f>IF((RD[[#This Row],[33kV_OG1_Im]]-EC77)*1&lt;0,0,(RD[[#This Row],[33kV_OG1_Im]]-EC77)*1)</f>
        <v>1913.2800000000279</v>
      </c>
      <c r="EU78" s="146">
        <f>IF((RD[[#This Row],[132kV_TX1_EX]]-ED77)*720&lt;=0,"",(RD[[#This Row],[132kV_TX1_EX]]-ED77)*720)</f>
        <v>2160</v>
      </c>
      <c r="EV78" s="146">
        <f>IF((RD[[#This Row],[132 kV_Tx1_Im]]-EE77)*720&lt;=0,0,(RD[[#This Row],[132 kV_Tx1_Im]]-EE77)*720)</f>
        <v>424800</v>
      </c>
      <c r="EW78" s="146">
        <f>IF((RD[[#This Row],[132kV_L1_Ex]]-EF77)*720&lt;=0,0,(RD[[#This Row],[132kV_L1_Ex]]-EF77)*720)</f>
        <v>590184.00000000838</v>
      </c>
      <c r="EX78" s="146">
        <f>IF((RD[[#This Row],[132kV_L1_Im]]-EG77)*720&lt;=0,0,(RD[[#This Row],[132kV_L1_Im]]-EG77)*720)</f>
        <v>2375.9999999999673</v>
      </c>
      <c r="EY78" s="242">
        <f>IFERROR(RD[[#This Row],[33kV_OG1_Ex (MWh)]]+RD[[#This Row],[33kV_OG1_Im (MWh)]],"")</f>
        <v>594096.28</v>
      </c>
      <c r="EZ78" s="148">
        <f>RD[[#This Row],[33kV_OG1_Ex (MWh)]]-RD[[#This Row],[33kV_OG1_Im (MWh)]]</f>
        <v>590269.72</v>
      </c>
      <c r="FA78" s="148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43">
        <f>IFERROR((RD[[#This Row],[Sunset Time (POA&lt;20 W/m2)]]-RD[[#This Row],[Sunrise Time (POA&gt;20 W/m2)]])*24,0)</f>
        <v>12.7</v>
      </c>
      <c r="FD78" s="244">
        <v>122.7</v>
      </c>
      <c r="FE78" t="s">
        <v>296</v>
      </c>
      <c r="FG78" s="144" t="str">
        <f>IFERROR(RD[[#This Row],[E_AC (WPR)]]/RD[[#This Row],[E_DC (WPR)]],"")</f>
        <v/>
      </c>
    </row>
    <row r="79" spans="1:163">
      <c r="A79" s="133">
        <f t="shared" si="161"/>
        <v>45819</v>
      </c>
      <c r="B79" s="138">
        <f>YEAR(RD[[#This Row],[Date]])+IF(MONTH(RD[[#This Row],[Date]])&gt;=4,1,0)</f>
        <v>2026</v>
      </c>
      <c r="C79" s="138">
        <f>YEAR(RD[[#This Row],[Date]])</f>
        <v>2025</v>
      </c>
      <c r="D79" s="139">
        <f t="shared" si="165"/>
        <v>45809</v>
      </c>
      <c r="E79" s="138">
        <f>DAY(EOMONTH(RD[[#This Row],[Date]],0))</f>
        <v>30</v>
      </c>
      <c r="F79" s="152">
        <v>0.25138888888888888</v>
      </c>
      <c r="G79" s="162">
        <v>0.76041666666666663</v>
      </c>
      <c r="H79" s="124">
        <v>4930</v>
      </c>
      <c r="I79" s="268">
        <v>4839</v>
      </c>
      <c r="J79" s="124">
        <v>4535.8</v>
      </c>
      <c r="K79" s="124">
        <v>4538.5</v>
      </c>
      <c r="L79" s="124">
        <v>4676</v>
      </c>
      <c r="M79" s="124">
        <v>4853.2</v>
      </c>
      <c r="N79" s="124">
        <v>4711.6000000000004</v>
      </c>
      <c r="O79" s="124">
        <v>5251.2</v>
      </c>
      <c r="P79" s="124">
        <v>4826.7</v>
      </c>
      <c r="Q79" s="124">
        <v>4685.3999999999996</v>
      </c>
      <c r="R79" s="124">
        <v>4851.8999999999996</v>
      </c>
      <c r="S79" s="266">
        <v>4823.2</v>
      </c>
      <c r="T79" s="124">
        <v>5064.1000000000004</v>
      </c>
      <c r="U79" s="124">
        <v>4831.8</v>
      </c>
      <c r="V79" s="124">
        <v>5024.6000000000004</v>
      </c>
      <c r="W79" s="124">
        <v>4802.2</v>
      </c>
      <c r="X79" s="266">
        <v>6650.6</v>
      </c>
      <c r="Y79" s="203">
        <v>7493</v>
      </c>
      <c r="Z79" s="203">
        <v>6538.7</v>
      </c>
      <c r="AA79" s="203">
        <v>6821</v>
      </c>
      <c r="AB79" s="266">
        <v>7225.7</v>
      </c>
      <c r="AC79" s="203">
        <v>4285.8</v>
      </c>
      <c r="AD79" s="203">
        <v>6696.6</v>
      </c>
      <c r="AE79" s="203">
        <v>6830.4</v>
      </c>
      <c r="AF79" s="266">
        <v>6634.4</v>
      </c>
      <c r="AG79" s="203">
        <v>6594.8</v>
      </c>
      <c r="AH79" s="203">
        <v>6669.3</v>
      </c>
      <c r="AI79" s="266">
        <v>6702.2</v>
      </c>
      <c r="AJ79" s="203">
        <v>5514.6</v>
      </c>
      <c r="AK79" s="266">
        <v>5689.3</v>
      </c>
      <c r="AL79" s="203">
        <v>5611.6</v>
      </c>
      <c r="AM79" s="266">
        <v>5666.7</v>
      </c>
      <c r="AN79" s="203">
        <v>5617.3</v>
      </c>
      <c r="AO79" s="266">
        <v>5839.6</v>
      </c>
      <c r="AP79" s="203">
        <v>5728.9</v>
      </c>
      <c r="AQ79" s="266">
        <v>5660.6</v>
      </c>
      <c r="AR79" s="203">
        <v>4577.3999999999996</v>
      </c>
      <c r="AS79" s="266">
        <v>4609.3</v>
      </c>
      <c r="AT79" s="203">
        <v>4597.6000000000004</v>
      </c>
      <c r="AU79" s="266">
        <v>4561.3</v>
      </c>
      <c r="AV79" s="203">
        <v>4690.2</v>
      </c>
      <c r="AW79" s="203">
        <v>4634.8999999999996</v>
      </c>
      <c r="AX79" s="203">
        <v>6529.7</v>
      </c>
      <c r="AY79" s="203">
        <v>7385.9</v>
      </c>
      <c r="AZ79" s="203">
        <v>5323.7</v>
      </c>
      <c r="BA79" s="203">
        <v>6447.3</v>
      </c>
      <c r="BB79" s="203">
        <v>6380.6</v>
      </c>
      <c r="BC79" s="203">
        <v>6164.7</v>
      </c>
      <c r="BD79" s="203">
        <v>5521.1</v>
      </c>
      <c r="BE79" s="203">
        <v>6209</v>
      </c>
      <c r="BF79" s="203">
        <v>6726.7</v>
      </c>
      <c r="BG79" s="203">
        <v>6705</v>
      </c>
      <c r="BH79" s="203">
        <v>6593.3</v>
      </c>
      <c r="BI79" s="203">
        <v>6774</v>
      </c>
      <c r="BJ79" s="203">
        <v>4372</v>
      </c>
      <c r="BK79" s="203">
        <v>3422</v>
      </c>
      <c r="BL79" s="203">
        <v>4041</v>
      </c>
      <c r="BM79" s="203">
        <v>4103</v>
      </c>
      <c r="BN79" s="203">
        <v>4508.5</v>
      </c>
      <c r="BO79" s="203">
        <v>4331.8999999999996</v>
      </c>
      <c r="BP79" s="203">
        <v>4810</v>
      </c>
      <c r="BQ79" s="203">
        <v>4792.2</v>
      </c>
      <c r="BR79" s="203">
        <v>4915.2</v>
      </c>
      <c r="BS79" s="203">
        <v>5074.8</v>
      </c>
      <c r="BT79" s="203">
        <v>4988.3</v>
      </c>
      <c r="BU79" s="203">
        <v>5146</v>
      </c>
      <c r="BV79" s="203"/>
      <c r="BW79" s="203"/>
      <c r="BX79" s="203"/>
      <c r="BY79" s="203"/>
      <c r="BZ79" s="203">
        <v>633</v>
      </c>
      <c r="CA79" s="203">
        <v>530</v>
      </c>
      <c r="CB79" s="203">
        <v>2602</v>
      </c>
      <c r="CC79" s="203">
        <v>4389.8</v>
      </c>
      <c r="CD79" s="261">
        <v>4.1416427166666718</v>
      </c>
      <c r="CE79" s="261">
        <v>3.5241049000000042</v>
      </c>
      <c r="CF79" s="261">
        <v>3.1590414000000009</v>
      </c>
      <c r="CG79" s="261">
        <v>3.5745955166666641</v>
      </c>
      <c r="CH79" s="261">
        <v>0.40037251666666712</v>
      </c>
      <c r="CI79" s="261">
        <v>0.54498210000000036</v>
      </c>
      <c r="CJ79" s="261">
        <v>0.62536391666666646</v>
      </c>
      <c r="CK79" s="261">
        <v>0.57115420000000006</v>
      </c>
      <c r="CL79" s="261">
        <v>30.328360927152321</v>
      </c>
      <c r="CM79" s="261">
        <v>30.52962840627578</v>
      </c>
      <c r="CN79" s="261">
        <v>40.999921357615897</v>
      </c>
      <c r="CO79" s="261">
        <v>38.77404211395541</v>
      </c>
      <c r="CP79" s="261">
        <v>61.67705298013243</v>
      </c>
      <c r="CQ79" s="261">
        <v>62.643616845582173</v>
      </c>
      <c r="CR79" s="261">
        <v>0</v>
      </c>
      <c r="CS79" s="261">
        <v>0</v>
      </c>
      <c r="CT79" s="261">
        <v>1.8192864238410622</v>
      </c>
      <c r="CU79" s="261">
        <v>2.0122246077621799</v>
      </c>
      <c r="CV79" s="261">
        <v>3.4409999999999998</v>
      </c>
      <c r="CW79" s="261">
        <v>3.6</v>
      </c>
      <c r="CX79" s="204">
        <f>IFERROR(AVERAGEIF(RD[[#This Row],[IS1POA1 (KWh/m2)]:[IS7POA2 (KWh/m2)]],"&lt;&gt;0",RD[[#This Row],[IS1POA1 (KWh/m2)]:[IS7POA2 (KWh/m2)]]),"")</f>
        <v>3.8328738083333382</v>
      </c>
      <c r="CY79" s="204">
        <f>IFERROR(AVERAGEIF(RD[[#This Row],[IS1GHI1 (KWh/m2)]:[IS7GHI2 (KWh/m2)]],"&lt;&gt;0",RD[[#This Row],[IS1GHI1 (KWh/m2)]:[IS7GHI2 (KWh/m2)]]),"")</f>
        <v>3.3668184583333325</v>
      </c>
      <c r="CZ79" s="204">
        <f>IFERROR(AVERAGEIF(RD[[#This Row],[IS1POA_BS1 (KWh/m2)]:[IS7POA_BS2 (KWh/m2)]],"&lt;&gt;0",RD[[#This Row],[IS1POA_BS1 (KWh/m2)]:[IS7POA_BS2 (KWh/m2)]]),"")</f>
        <v>0.47267730833333377</v>
      </c>
      <c r="DA79" s="204">
        <f>IFERROR(AVERAGEIF(RD[[#This Row],[IS1GHI_BS1 (KWh/m2)]:[IS1GHI_BS1 (KWh/m2)2]],"&lt;&gt;0",RD[[#This Row],[IS1GHI_BS1 (KWh/m2)]:[IS1GHI_BS1 (KWh/m2)2]]),"")</f>
        <v>0.59825905833333326</v>
      </c>
      <c r="DB79" s="204">
        <f>IFERROR(AVERAGEIF(RD[[#This Row],[IS1AT1 (°C)]:[IS7AT2 (°C)]],"&lt;&gt;0",RD[[#This Row],[IS1AT1 (°C)]:[IS7AT2 (°C)]]),"")</f>
        <v>30.428994666714051</v>
      </c>
      <c r="DC79" s="204">
        <f>IFERROR(AVERAGEIF(RD[[#This Row],[IS1MT1 (°C)]:[IS7MT2 (°C)]],"&lt;&gt;0",RD[[#This Row],[IS1MT1 (°C)]:[IS7MT2 (°C)]]),"")</f>
        <v>39.886981735785653</v>
      </c>
      <c r="DD79" s="204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204">
        <f>IFERROR(AVERAGEIF(RD[[#This Row],[WS_Solar1_Avg (m/s)]:[IS7_WS_Solar1_Avg (m/s)]],"&lt;&gt;0",RD[[#This Row],[WS_Solar1_Avg (m/s)]:[IS7_WS_Solar1_Avg (m/s)]]),"")</f>
        <v>1.9157555158016211</v>
      </c>
      <c r="DG79" s="204">
        <f>IFERROR(AVERAGEIF(RD[[#This Row],[WS_Solar1_Max (m/s)]:[IS7_WS_Solar1_Max (m/s)]],"&lt;&gt;0",RD[[#This Row],[WS_Solar1_Max (m/s)]:[IS7_WS_Solar1_Max (m/s)]]),"")</f>
        <v>3.5205000000000002</v>
      </c>
      <c r="DH79" s="204">
        <f>SUM(RD[[#This Row],[IS1Inv1M1]:[IS4Inv4M2]])</f>
        <v>156387.69999999998</v>
      </c>
      <c r="DI79" s="205">
        <f>SUM(RD[[#This Row],[IS7Inv1M1]]+RD[[#This Row],[IS7Inv2M1]])</f>
        <v>9186.7000000000007</v>
      </c>
      <c r="DJ79" s="204">
        <f>SUM(RD[[#This Row],[IS5Inv1M1]:[IS5Inv2M2]])</f>
        <v>22482.2</v>
      </c>
      <c r="DK79" s="204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86">
        <f>SUM(RD[[#This Row],[IS12Inv1M1]:[IS12Inv1M4]])</f>
        <v>18442.599999999999</v>
      </c>
      <c r="DO79" s="286">
        <f>SUM(RD[[#This Row],[IS13Inv1M1]:[IS13Inv2M2]])</f>
        <v>20124.3</v>
      </c>
      <c r="DP79" s="204">
        <f>SUM(RD[[#This Row],[O2R15]:[O2R26]])</f>
        <v>368807.7</v>
      </c>
      <c r="DQ79" s="164">
        <v>43027.7</v>
      </c>
      <c r="DR79" s="168">
        <v>219.1</v>
      </c>
      <c r="DS79" s="164">
        <v>37478.300000000003</v>
      </c>
      <c r="DT79" s="164">
        <v>231.7</v>
      </c>
      <c r="DU79" s="168">
        <v>44014.400000000001</v>
      </c>
      <c r="DV79" s="168">
        <v>415.7</v>
      </c>
      <c r="DW79" s="164">
        <v>10273.5</v>
      </c>
      <c r="DX79" s="168">
        <v>51.2</v>
      </c>
      <c r="DY79" s="168">
        <v>1535.6</v>
      </c>
      <c r="DZ79" s="168">
        <v>4.9000000000000004</v>
      </c>
      <c r="EA79" s="140">
        <v>101.55</v>
      </c>
      <c r="EB79" s="241">
        <v>139905236</v>
      </c>
      <c r="EC79" s="240">
        <v>986738.81599999999</v>
      </c>
      <c r="ED79" s="241">
        <v>1186</v>
      </c>
      <c r="EE79" s="241">
        <v>134147</v>
      </c>
      <c r="EF79" s="164">
        <v>193991.5</v>
      </c>
      <c r="EG79" s="164">
        <v>1920.7</v>
      </c>
      <c r="EH79" s="146">
        <f>IF((RD[[#This Row],[33 kV_F3_Ex
Incomer1]]-DQ78)*1000&lt;0,0,(RD[[#This Row],[33 kV_F3_Ex
Incomer1]]-DQ78)*1000)</f>
        <v>78699.99999999709</v>
      </c>
      <c r="EI79" s="146">
        <f>IF((RD[[#This Row],[34 kV_F3_Im
Incomer1]]-DR78)*1000&lt;0,0,(RD[[#This Row],[34 kV_F3_Im
Incomer1]]-DR78)*1000)</f>
        <v>400.00000000000568</v>
      </c>
      <c r="EJ79" s="146">
        <f>IF((RD[[#This Row],[33 kV_F4_Ex
Incomer2]]-DS78)*1000&lt;0,0,(RD[[#This Row],[33 kV_F4_Ex
Incomer2]]-DS78)*1000)</f>
        <v>76400.000000001455</v>
      </c>
      <c r="EK79" s="146">
        <f>IF((RD[[#This Row],[34 kV_F4_Im
Incomer2]]-DT78)*1000&lt;0,0,(RD[[#This Row],[34 kV_F4_Im
Incomer2]]-DT78)*1000)</f>
        <v>399.99999999997726</v>
      </c>
      <c r="EL79" s="146">
        <f>IF((RD[[#This Row],[33 kV_F5_Ex
Incomer3]]-DU78)*1000&lt;0,0,(RD[[#This Row],[33 kV_F5_Ex
Incomer3]]-DU78)*1000)</f>
        <v>97800.00000000291</v>
      </c>
      <c r="EM79" s="146">
        <f>IF((RD[[#This Row],[34 kV_F5_Im
Incomer3]]-DV78)*1000&lt;0,0,(RD[[#This Row],[34 kV_F5_Im
Incomer3]]-DV78)*1000)</f>
        <v>699.99999999998863</v>
      </c>
      <c r="EN79" s="146">
        <f>IF((RD[[#This Row],[33 kV_F6_Ex
Incomer4]]-DW78)*1000&lt;0,0,(RD[[#This Row],[33 kV_F6_Ex
Incomer4]]-DW78)*1000)</f>
        <v>8200.0000000007276</v>
      </c>
      <c r="EO79" s="146">
        <f t="shared" si="166"/>
        <v>400.00000000000568</v>
      </c>
      <c r="EP79" s="146">
        <f>IF((RD[[#This Row],[33 kV_F7_Ex
Incomer5]]-DY78)*1000&lt;0,0,(RD[[#This Row],[33 kV_F7_Ex
Incomer5]]-DY78)*1000)</f>
        <v>89599.999999999913</v>
      </c>
      <c r="EQ79" s="146">
        <f>IF((RD[[#This Row],[33 kV_F7_Im
Incomer5]]-DZ78)*1000&lt;0,0,(RD[[#This Row],[33 kV_F7_Im
Incomer5]]-DZ78)*1000)</f>
        <v>500</v>
      </c>
      <c r="ER79" s="146">
        <f>IF((RD[[#This Row],[33 kV_Aux Trafo]]-EA78)*1000&lt;0,0,(RD[[#This Row],[33 kV_Aux Trafo]]-EA78)*1000)</f>
        <v>269.99999999999602</v>
      </c>
      <c r="ES79" s="158">
        <f>IF((RD[[#This Row],[33kV_OG1_Ex_]]-EB78)*1&lt;0,0,(RD[[#This Row],[33kV_OG1_Ex_]]-EB78)*1)</f>
        <v>365101</v>
      </c>
      <c r="ET79" s="146">
        <f>IF((RD[[#This Row],[33kV_OG1_Im]]-EC78)*1&lt;0,0,(RD[[#This Row],[33kV_OG1_Im]]-EC78)*1)</f>
        <v>2115.1359999999404</v>
      </c>
      <c r="EU79" s="146">
        <f>IF((RD[[#This Row],[132kV_TX1_EX]]-ED78)*720&lt;=0,"",(RD[[#This Row],[132kV_TX1_EX]]-ED78)*720)</f>
        <v>1440</v>
      </c>
      <c r="EV79" s="146">
        <f>IF((RD[[#This Row],[132 kV_Tx1_Im]]-EE78)*720&lt;=0,0,(RD[[#This Row],[132 kV_Tx1_Im]]-EE78)*720)</f>
        <v>262080</v>
      </c>
      <c r="EW79" s="146">
        <f>IF((RD[[#This Row],[132kV_L1_Ex]]-EF78)*720&lt;=0,0,(RD[[#This Row],[132kV_L1_Ex]]-EF78)*720)</f>
        <v>363887.99999999581</v>
      </c>
      <c r="EX79" s="146">
        <f>IF((RD[[#This Row],[132kV_L1_Im]]-EG78)*720&lt;=0,0,(RD[[#This Row],[132kV_L1_Im]]-EG78)*720)</f>
        <v>2592.0000000000982</v>
      </c>
      <c r="EY79" s="242">
        <f>IFERROR(RD[[#This Row],[33kV_OG1_Ex (MWh)]]+RD[[#This Row],[33kV_OG1_Im (MWh)]],"")</f>
        <v>367216.13599999994</v>
      </c>
      <c r="EZ79" s="148">
        <f>RD[[#This Row],[33kV_OG1_Ex (MWh)]]-RD[[#This Row],[33kV_OG1_Im (MWh)]]</f>
        <v>362985.86400000006</v>
      </c>
      <c r="FA79" s="148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43">
        <f>IFERROR((RD[[#This Row],[Sunset Time (POA&lt;20 W/m2)]]-RD[[#This Row],[Sunrise Time (POA&gt;20 W/m2)]])*24,0)</f>
        <v>12.216666666666665</v>
      </c>
      <c r="FD79" s="244">
        <v>122.7</v>
      </c>
      <c r="FE79" t="s">
        <v>297</v>
      </c>
      <c r="FG79" s="144" t="str">
        <f>IFERROR(RD[[#This Row],[E_AC (WPR)]]/RD[[#This Row],[E_DC (WPR)]],"")</f>
        <v/>
      </c>
    </row>
    <row r="80" spans="1:163">
      <c r="A80" s="133">
        <f t="shared" si="161"/>
        <v>45820</v>
      </c>
      <c r="B80" s="138">
        <f>YEAR(RD[[#This Row],[Date]])+IF(MONTH(RD[[#This Row],[Date]])&gt;=4,1,0)</f>
        <v>2026</v>
      </c>
      <c r="C80" s="138">
        <f>YEAR(RD[[#This Row],[Date]])</f>
        <v>2025</v>
      </c>
      <c r="D80" s="139">
        <f t="shared" si="165"/>
        <v>45809</v>
      </c>
      <c r="E80" s="138">
        <f>DAY(EOMONTH(RD[[#This Row],[Date]],0))</f>
        <v>30</v>
      </c>
      <c r="F80" s="152">
        <v>0.25069444444444444</v>
      </c>
      <c r="G80" s="162">
        <v>0.74652777777777779</v>
      </c>
      <c r="H80" s="124">
        <v>7348.3</v>
      </c>
      <c r="I80" s="268">
        <v>7307.8</v>
      </c>
      <c r="J80" s="124">
        <v>6868.6</v>
      </c>
      <c r="K80" s="124">
        <v>6804.2</v>
      </c>
      <c r="L80" s="124">
        <v>6983.9</v>
      </c>
      <c r="M80" s="124">
        <v>7253.4</v>
      </c>
      <c r="N80" s="124">
        <v>7063.4</v>
      </c>
      <c r="O80" s="124">
        <v>7806.8</v>
      </c>
      <c r="P80" s="124">
        <v>7172</v>
      </c>
      <c r="Q80" s="124">
        <v>6944.9</v>
      </c>
      <c r="R80" s="124">
        <v>7230.1</v>
      </c>
      <c r="S80" s="266">
        <v>7239</v>
      </c>
      <c r="T80" s="124">
        <v>7567</v>
      </c>
      <c r="U80" s="124">
        <v>7226.5</v>
      </c>
      <c r="V80" s="124">
        <v>7359.8</v>
      </c>
      <c r="W80" s="124">
        <v>7114.1</v>
      </c>
      <c r="X80" s="266">
        <v>9905.5</v>
      </c>
      <c r="Y80" s="203">
        <v>10960.5</v>
      </c>
      <c r="Z80" s="203">
        <v>9664.2000000000007</v>
      </c>
      <c r="AA80" s="203">
        <v>10137.4</v>
      </c>
      <c r="AB80" s="266">
        <v>10610.8</v>
      </c>
      <c r="AC80" s="203">
        <v>6380.8</v>
      </c>
      <c r="AD80" s="203">
        <v>9796.1</v>
      </c>
      <c r="AE80" s="203">
        <v>9967.2999999999993</v>
      </c>
      <c r="AF80" s="266">
        <v>9767.2000000000007</v>
      </c>
      <c r="AG80" s="203">
        <v>9776.9</v>
      </c>
      <c r="AH80" s="203">
        <v>9696.9</v>
      </c>
      <c r="AI80" s="266">
        <v>9743.7000000000007</v>
      </c>
      <c r="AJ80" s="203">
        <v>8192.2999999999993</v>
      </c>
      <c r="AK80" s="266">
        <v>8393</v>
      </c>
      <c r="AL80" s="203">
        <v>8175</v>
      </c>
      <c r="AM80" s="266">
        <v>8234.5</v>
      </c>
      <c r="AN80" s="203">
        <v>8257.2000000000007</v>
      </c>
      <c r="AO80" s="266">
        <v>8536.6</v>
      </c>
      <c r="AP80" s="203">
        <v>8431.7999999999993</v>
      </c>
      <c r="AQ80" s="266">
        <v>8292.6</v>
      </c>
      <c r="AR80" s="203">
        <v>6777.6</v>
      </c>
      <c r="AS80" s="266">
        <v>6806.8</v>
      </c>
      <c r="AT80" s="203">
        <v>6771.7</v>
      </c>
      <c r="AU80" s="266">
        <v>6713</v>
      </c>
      <c r="AV80" s="203">
        <v>6914.9</v>
      </c>
      <c r="AW80" s="203">
        <v>6834.2</v>
      </c>
      <c r="AX80" s="203">
        <v>9651.9</v>
      </c>
      <c r="AY80" s="203">
        <v>10852.9</v>
      </c>
      <c r="AZ80" s="203">
        <v>7805.9</v>
      </c>
      <c r="BA80" s="203">
        <v>9409.9</v>
      </c>
      <c r="BB80" s="203">
        <v>8838</v>
      </c>
      <c r="BC80" s="203">
        <v>8677</v>
      </c>
      <c r="BD80" s="203">
        <v>9095.5</v>
      </c>
      <c r="BE80" s="203">
        <v>10058.5</v>
      </c>
      <c r="BF80" s="203">
        <v>11230</v>
      </c>
      <c r="BG80" s="203">
        <v>10990</v>
      </c>
      <c r="BH80" s="203">
        <v>10671.7</v>
      </c>
      <c r="BI80" s="203">
        <v>11001.2</v>
      </c>
      <c r="BJ80" s="203">
        <v>7377</v>
      </c>
      <c r="BK80" s="203">
        <v>5820.5</v>
      </c>
      <c r="BL80" s="203">
        <v>6820</v>
      </c>
      <c r="BM80" s="203">
        <v>6951.9</v>
      </c>
      <c r="BN80" s="203">
        <v>7434.7</v>
      </c>
      <c r="BO80" s="203">
        <v>7194</v>
      </c>
      <c r="BP80" s="203">
        <v>7802.6</v>
      </c>
      <c r="BQ80" s="203">
        <v>7798.6</v>
      </c>
      <c r="BR80" s="203">
        <v>8267.1</v>
      </c>
      <c r="BS80" s="203">
        <v>8527.1</v>
      </c>
      <c r="BT80" s="203">
        <v>8274</v>
      </c>
      <c r="BU80" s="203">
        <v>8582</v>
      </c>
      <c r="BV80" s="203"/>
      <c r="BW80" s="203"/>
      <c r="BX80" s="203"/>
      <c r="BY80" s="203"/>
      <c r="BZ80" s="203">
        <v>1180</v>
      </c>
      <c r="CA80" s="203">
        <v>1000</v>
      </c>
      <c r="CB80" s="203">
        <v>4516</v>
      </c>
      <c r="CC80" s="203">
        <v>7506.9</v>
      </c>
      <c r="CD80" s="261">
        <v>6.5062667500000009</v>
      </c>
      <c r="CE80" s="261">
        <v>5.3872034999999965</v>
      </c>
      <c r="CF80" s="261">
        <v>4.9435502333333377</v>
      </c>
      <c r="CG80" s="261">
        <v>5.522758016666665</v>
      </c>
      <c r="CH80" s="261">
        <v>0.68390245000000005</v>
      </c>
      <c r="CI80" s="261">
        <v>0.78629981666666693</v>
      </c>
      <c r="CJ80" s="261">
        <v>0.96310836666666566</v>
      </c>
      <c r="CK80" s="261">
        <v>0.86410233333333319</v>
      </c>
      <c r="CL80" s="261">
        <v>29.245390505359875</v>
      </c>
      <c r="CM80" s="261">
        <v>28.986417112299488</v>
      </c>
      <c r="CN80" s="261">
        <v>41.833496937212892</v>
      </c>
      <c r="CO80" s="261">
        <v>39.638981665393409</v>
      </c>
      <c r="CP80" s="261">
        <v>74.287993874425752</v>
      </c>
      <c r="CQ80" s="261">
        <v>73.765721925133676</v>
      </c>
      <c r="CR80" s="261">
        <v>0.24808575803981689</v>
      </c>
      <c r="CS80" s="261">
        <v>0.15584415584415584</v>
      </c>
      <c r="CT80" s="261">
        <v>1.3921010719754963</v>
      </c>
      <c r="CU80" s="261">
        <v>1.3734751718869358</v>
      </c>
      <c r="CV80" s="261">
        <v>7.2629999999999999</v>
      </c>
      <c r="CW80" s="261">
        <v>6.0540000000000003</v>
      </c>
      <c r="CX80" s="204">
        <f>IFERROR(AVERAGEIF(RD[[#This Row],[IS1POA1 (KWh/m2)]:[IS7POA2 (KWh/m2)]],"&lt;&gt;0",RD[[#This Row],[IS1POA1 (KWh/m2)]:[IS7POA2 (KWh/m2)]]),"")</f>
        <v>5.9467351249999982</v>
      </c>
      <c r="CY80" s="204">
        <f>IFERROR(AVERAGEIF(RD[[#This Row],[IS1GHI1 (KWh/m2)]:[IS7GHI2 (KWh/m2)]],"&lt;&gt;0",RD[[#This Row],[IS1GHI1 (KWh/m2)]:[IS7GHI2 (KWh/m2)]]),"")</f>
        <v>5.2331541250000013</v>
      </c>
      <c r="CZ80" s="204">
        <f>IFERROR(AVERAGEIF(RD[[#This Row],[IS1POA_BS1 (KWh/m2)]:[IS7POA_BS2 (KWh/m2)]],"&lt;&gt;0",RD[[#This Row],[IS1POA_BS1 (KWh/m2)]:[IS7POA_BS2 (KWh/m2)]]),"")</f>
        <v>0.73510113333333349</v>
      </c>
      <c r="DA80" s="204">
        <f>IFERROR(AVERAGEIF(RD[[#This Row],[IS1GHI_BS1 (KWh/m2)]:[IS1GHI_BS1 (KWh/m2)2]],"&lt;&gt;0",RD[[#This Row],[IS1GHI_BS1 (KWh/m2)]:[IS1GHI_BS1 (KWh/m2)2]]),"")</f>
        <v>0.91360534999999943</v>
      </c>
      <c r="DB80" s="204">
        <f>IFERROR(AVERAGEIF(RD[[#This Row],[IS1AT1 (°C)]:[IS7AT2 (°C)]],"&lt;&gt;0",RD[[#This Row],[IS1AT1 (°C)]:[IS7AT2 (°C)]]),"")</f>
        <v>29.115903808829682</v>
      </c>
      <c r="DC80" s="204">
        <f>IFERROR(AVERAGEIF(RD[[#This Row],[IS1MT1 (°C)]:[IS7MT2 (°C)]],"&lt;&gt;0",RD[[#This Row],[IS1MT1 (°C)]:[IS7MT2 (°C)]]),"")</f>
        <v>40.736239301303151</v>
      </c>
      <c r="DD80" s="204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204">
        <f>IFERROR(AVERAGEIF(RD[[#This Row],[WS_Solar1_Avg (m/s)]:[IS7_WS_Solar1_Avg (m/s)]],"&lt;&gt;0",RD[[#This Row],[WS_Solar1_Avg (m/s)]:[IS7_WS_Solar1_Avg (m/s)]]),"")</f>
        <v>1.3827881219312159</v>
      </c>
      <c r="DG80" s="204">
        <f>IFERROR(AVERAGEIF(RD[[#This Row],[WS_Solar1_Max (m/s)]:[IS7_WS_Solar1_Max (m/s)]],"&lt;&gt;0",RD[[#This Row],[WS_Solar1_Max (m/s)]:[IS7_WS_Solar1_Max (m/s)]]),"")</f>
        <v>6.6585000000000001</v>
      </c>
      <c r="DH80" s="204">
        <f>SUM(RD[[#This Row],[IS1Inv1M1]:[IS4Inv4M2]])</f>
        <v>231697.1</v>
      </c>
      <c r="DI80" s="205">
        <f>SUM(RD[[#This Row],[IS7Inv1M1]]+RD[[#This Row],[IS7Inv2M1]])</f>
        <v>13584.400000000001</v>
      </c>
      <c r="DJ80" s="204">
        <f>SUM(RD[[#This Row],[IS5Inv1M1]:[IS5Inv2M2]])</f>
        <v>32994.800000000003</v>
      </c>
      <c r="DK80" s="204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86">
        <f>SUM(RD[[#This Row],[IS12Inv1M1]:[IS12Inv1M4]])</f>
        <v>30229.9</v>
      </c>
      <c r="DO80" s="286">
        <f>SUM(RD[[#This Row],[IS13Inv1M1]:[IS13Inv2M2]])</f>
        <v>33650.199999999997</v>
      </c>
      <c r="DP80" s="204">
        <f>SUM(RD[[#This Row],[O2R15]:[O2R26]])</f>
        <v>562363.19999999995</v>
      </c>
      <c r="DQ80" s="164">
        <v>43143.3</v>
      </c>
      <c r="DR80" s="168">
        <v>219.5</v>
      </c>
      <c r="DS80" s="164">
        <v>37590.699999999997</v>
      </c>
      <c r="DT80" s="164">
        <v>232.1</v>
      </c>
      <c r="DU80" s="168">
        <v>44157.599999999999</v>
      </c>
      <c r="DV80" s="168">
        <v>416.4</v>
      </c>
      <c r="DW80" s="164">
        <v>10287.5</v>
      </c>
      <c r="DX80" s="168">
        <v>51.4</v>
      </c>
      <c r="DY80" s="168">
        <v>1679.8</v>
      </c>
      <c r="DZ80" s="168">
        <v>5.6</v>
      </c>
      <c r="EA80" s="140">
        <v>101.82</v>
      </c>
      <c r="EB80" s="241">
        <v>140458016</v>
      </c>
      <c r="EC80" s="240">
        <v>989624.19200000004</v>
      </c>
      <c r="ED80" s="241">
        <v>1190</v>
      </c>
      <c r="EE80" s="241">
        <v>134697</v>
      </c>
      <c r="EF80" s="164">
        <v>194756.8</v>
      </c>
      <c r="EG80" s="164">
        <v>1925.6</v>
      </c>
      <c r="EH80" s="146">
        <f>IF((RD[[#This Row],[33 kV_F3_Ex
Incomer1]]-DQ79)*1000&lt;0,0,(RD[[#This Row],[33 kV_F3_Ex
Incomer1]]-DQ79)*1000)</f>
        <v>115600.00000000582</v>
      </c>
      <c r="EI80" s="146">
        <f>IF((RD[[#This Row],[34 kV_F3_Im
Incomer1]]-DR79)*1000&lt;0,0,(RD[[#This Row],[34 kV_F3_Im
Incomer1]]-DR79)*1000)</f>
        <v>400.00000000000568</v>
      </c>
      <c r="EJ80" s="146">
        <f>IF((RD[[#This Row],[33 kV_F4_Ex
Incomer2]]-DS79)*1000&lt;0,0,(RD[[#This Row],[33 kV_F4_Ex
Incomer2]]-DS79)*1000)</f>
        <v>112399.99999999418</v>
      </c>
      <c r="EK80" s="146">
        <f>IF((RD[[#This Row],[34 kV_F4_Im
Incomer2]]-DT79)*1000&lt;0,0,(RD[[#This Row],[34 kV_F4_Im
Incomer2]]-DT79)*1000)</f>
        <v>400.00000000000568</v>
      </c>
      <c r="EL80" s="146">
        <f>IF((RD[[#This Row],[33 kV_F5_Ex
Incomer3]]-DU79)*1000&lt;0,0,(RD[[#This Row],[33 kV_F5_Ex
Incomer3]]-DU79)*1000)</f>
        <v>143199.99999999709</v>
      </c>
      <c r="EM80" s="146">
        <f>IF((RD[[#This Row],[34 kV_F5_Im
Incomer3]]-DV79)*1000&lt;0,0,(RD[[#This Row],[34 kV_F5_Im
Incomer3]]-DV79)*1000)</f>
        <v>699.99999999998863</v>
      </c>
      <c r="EN80" s="146">
        <f>IF((RD[[#This Row],[33 kV_F6_Ex
Incomer4]]-DW79)*1000&lt;0,0,(RD[[#This Row],[33 kV_F6_Ex
Incomer4]]-DW79)*1000)</f>
        <v>14000</v>
      </c>
      <c r="EO80" s="146">
        <f t="shared" si="166"/>
        <v>400.00000000000568</v>
      </c>
      <c r="EP80" s="146">
        <f>IF((RD[[#This Row],[33 kV_F7_Ex
Incomer5]]-DY79)*1000&lt;0,0,(RD[[#This Row],[33 kV_F7_Ex
Incomer5]]-DY79)*1000)</f>
        <v>144200.00000000006</v>
      </c>
      <c r="EQ80" s="146">
        <f>IF((RD[[#This Row],[33 kV_F7_Im
Incomer5]]-DZ79)*1000&lt;0,0,(RD[[#This Row],[33 kV_F7_Im
Incomer5]]-DZ79)*1000)</f>
        <v>699.99999999999932</v>
      </c>
      <c r="ER80" s="146">
        <f>IF((RD[[#This Row],[33 kV_Aux Trafo]]-EA79)*1000&lt;0,0,(RD[[#This Row],[33 kV_Aux Trafo]]-EA79)*1000)</f>
        <v>269.99999999999602</v>
      </c>
      <c r="ES80" s="158">
        <f>IF((RD[[#This Row],[33kV_OG1_Ex_]]-EB79)*1&lt;0,0,(RD[[#This Row],[33kV_OG1_Ex_]]-EB79)*1)</f>
        <v>552780</v>
      </c>
      <c r="ET80" s="146">
        <f>IF((RD[[#This Row],[33kV_OG1_Im]]-EC79)*1&lt;0,0,(RD[[#This Row],[33kV_OG1_Im]]-EC79)*1)</f>
        <v>2885.3760000000475</v>
      </c>
      <c r="EU80" s="146">
        <f>IF((RD[[#This Row],[132kV_TX1_EX]]-ED79)*720&lt;=0,"",(RD[[#This Row],[132kV_TX1_EX]]-ED79)*720)</f>
        <v>2880</v>
      </c>
      <c r="EV80" s="146">
        <f>IF((RD[[#This Row],[132 kV_Tx1_Im]]-EE79)*720&lt;=0,0,(RD[[#This Row],[132 kV_Tx1_Im]]-EE79)*720)</f>
        <v>396000</v>
      </c>
      <c r="EW80" s="146">
        <f>IF((RD[[#This Row],[132kV_L1_Ex]]-EF79)*720&lt;=0,0,(RD[[#This Row],[132kV_L1_Ex]]-EF79)*720)</f>
        <v>551015.99999999162</v>
      </c>
      <c r="EX80" s="146">
        <f>IF((RD[[#This Row],[132kV_L1_Im]]-EG79)*720&lt;=0,0,(RD[[#This Row],[132kV_L1_Im]]-EG79)*720)</f>
        <v>3527.9999999999018</v>
      </c>
      <c r="EY80" s="242">
        <f>IFERROR(RD[[#This Row],[33kV_OG1_Ex (MWh)]]+RD[[#This Row],[33kV_OG1_Im (MWh)]],"")</f>
        <v>555665.37600000005</v>
      </c>
      <c r="EZ80" s="148">
        <f>RD[[#This Row],[33kV_OG1_Ex (MWh)]]-RD[[#This Row],[33kV_OG1_Im (MWh)]]</f>
        <v>549894.62399999995</v>
      </c>
      <c r="FA80" s="148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43">
        <f>IFERROR((RD[[#This Row],[Sunset Time (POA&lt;20 W/m2)]]-RD[[#This Row],[Sunrise Time (POA&gt;20 W/m2)]])*24,0)</f>
        <v>11.9</v>
      </c>
      <c r="FD80" s="244">
        <v>122.7</v>
      </c>
      <c r="FE80" t="s">
        <v>298</v>
      </c>
      <c r="FG80" s="144" t="str">
        <f>IFERROR(RD[[#This Row],[E_AC (WPR)]]/RD[[#This Row],[E_DC (WPR)]],"")</f>
        <v/>
      </c>
    </row>
    <row r="81" spans="1:163">
      <c r="A81" s="133">
        <f t="shared" si="161"/>
        <v>45821</v>
      </c>
      <c r="B81" s="138">
        <f>YEAR(RD[[#This Row],[Date]])+IF(MONTH(RD[[#This Row],[Date]])&gt;=4,1,0)</f>
        <v>2026</v>
      </c>
      <c r="C81" s="138">
        <f>YEAR(RD[[#This Row],[Date]])</f>
        <v>2025</v>
      </c>
      <c r="D81" s="139">
        <f t="shared" si="165"/>
        <v>45809</v>
      </c>
      <c r="E81" s="138">
        <f>DAY(EOMONTH(RD[[#This Row],[Date]],0))</f>
        <v>30</v>
      </c>
      <c r="F81" s="152">
        <v>0.25069444444444444</v>
      </c>
      <c r="G81" s="162">
        <v>0.77638888888888891</v>
      </c>
      <c r="H81" s="124">
        <v>8210.1</v>
      </c>
      <c r="I81" s="268">
        <v>8159.7</v>
      </c>
      <c r="J81" s="124">
        <v>7744.1</v>
      </c>
      <c r="K81" s="124">
        <v>7846.4</v>
      </c>
      <c r="L81" s="124">
        <v>8108.4</v>
      </c>
      <c r="M81" s="124">
        <v>8353.2999999999993</v>
      </c>
      <c r="N81" s="124">
        <v>8074.8</v>
      </c>
      <c r="O81" s="124">
        <v>8690.7999999999993</v>
      </c>
      <c r="P81" s="124">
        <v>8079.8</v>
      </c>
      <c r="Q81" s="124">
        <v>7851.2</v>
      </c>
      <c r="R81" s="124">
        <v>8122.2</v>
      </c>
      <c r="S81" s="266">
        <v>8130.7</v>
      </c>
      <c r="T81" s="124">
        <v>8518.4</v>
      </c>
      <c r="U81" s="124">
        <v>8071.6</v>
      </c>
      <c r="V81" s="124">
        <v>8240.6</v>
      </c>
      <c r="W81" s="124">
        <v>8060.5</v>
      </c>
      <c r="X81" s="266">
        <v>11157.5</v>
      </c>
      <c r="Y81" s="203">
        <v>11932.2</v>
      </c>
      <c r="Z81" s="203">
        <v>10962.6</v>
      </c>
      <c r="AA81" s="203">
        <v>11537.4</v>
      </c>
      <c r="AB81" s="266">
        <v>11635.2</v>
      </c>
      <c r="AC81" s="203">
        <v>7274.9</v>
      </c>
      <c r="AD81" s="203">
        <v>11132.6</v>
      </c>
      <c r="AE81" s="203">
        <v>11272</v>
      </c>
      <c r="AF81" s="266">
        <v>11047.9</v>
      </c>
      <c r="AG81" s="203">
        <v>11088</v>
      </c>
      <c r="AH81" s="203">
        <v>10936</v>
      </c>
      <c r="AI81" s="266">
        <v>10963.4</v>
      </c>
      <c r="AJ81" s="203">
        <v>9247.5</v>
      </c>
      <c r="AK81" s="266">
        <v>9501</v>
      </c>
      <c r="AL81" s="203">
        <v>9511.5</v>
      </c>
      <c r="AM81" s="266">
        <v>9717</v>
      </c>
      <c r="AN81" s="203">
        <v>9457</v>
      </c>
      <c r="AO81" s="266">
        <v>9889.6</v>
      </c>
      <c r="AP81" s="203">
        <v>9641.7000000000007</v>
      </c>
      <c r="AQ81" s="266">
        <v>9643.2999999999993</v>
      </c>
      <c r="AR81" s="203">
        <v>8000.7</v>
      </c>
      <c r="AS81" s="266">
        <v>8109.7</v>
      </c>
      <c r="AT81" s="203">
        <v>7942</v>
      </c>
      <c r="AU81" s="266">
        <v>7875</v>
      </c>
      <c r="AV81" s="203">
        <v>8191.6</v>
      </c>
      <c r="AW81" s="203">
        <v>8149</v>
      </c>
      <c r="AX81" s="203">
        <v>10947.5</v>
      </c>
      <c r="AY81" s="203">
        <v>12157</v>
      </c>
      <c r="AZ81" s="203">
        <v>9040</v>
      </c>
      <c r="BA81" s="203">
        <v>11042.5</v>
      </c>
      <c r="BB81" s="203">
        <v>9320.7999999999993</v>
      </c>
      <c r="BC81" s="203">
        <v>9029.6</v>
      </c>
      <c r="BD81" s="203">
        <v>9678</v>
      </c>
      <c r="BE81" s="203">
        <v>10718</v>
      </c>
      <c r="BF81" s="203">
        <v>12510</v>
      </c>
      <c r="BG81" s="203">
        <v>11215</v>
      </c>
      <c r="BH81" s="203">
        <v>11343.5</v>
      </c>
      <c r="BI81" s="203">
        <v>11721</v>
      </c>
      <c r="BJ81" s="203">
        <v>7757</v>
      </c>
      <c r="BK81" s="203">
        <v>6200</v>
      </c>
      <c r="BL81" s="203">
        <v>7294.9</v>
      </c>
      <c r="BM81" s="203">
        <v>7311</v>
      </c>
      <c r="BN81" s="203">
        <v>8075</v>
      </c>
      <c r="BO81" s="203">
        <v>7990</v>
      </c>
      <c r="BP81" s="203">
        <v>8233</v>
      </c>
      <c r="BQ81" s="203">
        <v>8102</v>
      </c>
      <c r="BR81" s="203">
        <v>8843.9</v>
      </c>
      <c r="BS81" s="203">
        <v>9162</v>
      </c>
      <c r="BT81" s="203">
        <v>8990</v>
      </c>
      <c r="BU81" s="203">
        <v>9321</v>
      </c>
      <c r="BV81" s="203"/>
      <c r="BW81" s="203"/>
      <c r="BX81" s="203"/>
      <c r="BY81" s="203"/>
      <c r="BZ81" s="203">
        <v>1231.8</v>
      </c>
      <c r="CA81" s="203">
        <v>1050</v>
      </c>
      <c r="CB81" s="203">
        <v>4759</v>
      </c>
      <c r="CC81" s="203">
        <v>7932</v>
      </c>
      <c r="CD81" s="261">
        <v>7.5539500333333249</v>
      </c>
      <c r="CE81" s="261">
        <v>4.3333333333333304</v>
      </c>
      <c r="CF81" s="261">
        <v>5.7569642499999949</v>
      </c>
      <c r="CG81" s="261">
        <v>3.4166666666666701</v>
      </c>
      <c r="CH81" s="261">
        <v>0.74359071666666754</v>
      </c>
      <c r="CI81" s="261">
        <v>2.3461666666666687E-3</v>
      </c>
      <c r="CJ81" s="261">
        <v>1.0490957333333351</v>
      </c>
      <c r="CK81" s="261">
        <v>1.6295999999999999E-3</v>
      </c>
      <c r="CL81" s="261">
        <v>30.571987720644639</v>
      </c>
      <c r="CM81" s="261">
        <v>5.2325727411944882</v>
      </c>
      <c r="CN81" s="261">
        <v>45.633159631619357</v>
      </c>
      <c r="CO81" s="261">
        <v>6.0656676875957096</v>
      </c>
      <c r="CP81" s="261">
        <v>73.476438986953411</v>
      </c>
      <c r="CQ81" s="261">
        <v>19.251898928024506</v>
      </c>
      <c r="CR81" s="261">
        <v>0</v>
      </c>
      <c r="CS81" s="261">
        <v>0</v>
      </c>
      <c r="CT81" s="261">
        <v>0.84872141212586116</v>
      </c>
      <c r="CU81" s="261">
        <v>0.17374732006125587</v>
      </c>
      <c r="CV81" s="261">
        <v>2.9729999999999999</v>
      </c>
      <c r="CW81" s="261">
        <v>1.6679999999999999</v>
      </c>
      <c r="CX81" s="204">
        <f>IFERROR(AVERAGEIF(RD[[#This Row],[IS1POA1 (KWh/m2)]:[IS7POA2 (KWh/m2)]],"&lt;&gt;0",RD[[#This Row],[IS1POA1 (KWh/m2)]:[IS7POA2 (KWh/m2)]]),"")</f>
        <v>5.9436416833333272</v>
      </c>
      <c r="CY81" s="204">
        <f>IFERROR(AVERAGEIF(RD[[#This Row],[IS1GHI1 (KWh/m2)]:[IS7GHI2 (KWh/m2)]],"&lt;&gt;0",RD[[#This Row],[IS1GHI1 (KWh/m2)]:[IS7GHI2 (KWh/m2)]]),"")</f>
        <v>4.5868154583333327</v>
      </c>
      <c r="CZ81" s="204">
        <f>IFERROR(AVERAGEIF(RD[[#This Row],[IS1POA_BS1 (KWh/m2)]:[IS7POA_BS2 (KWh/m2)]],"&lt;&gt;0",RD[[#This Row],[IS1POA_BS1 (KWh/m2)]:[IS7POA_BS2 (KWh/m2)]]),"")</f>
        <v>0.37296844166666709</v>
      </c>
      <c r="DA81" s="204">
        <f>IFERROR(AVERAGEIF(RD[[#This Row],[IS1GHI_BS1 (KWh/m2)]:[IS1GHI_BS1 (KWh/m2)2]],"&lt;&gt;0",RD[[#This Row],[IS1GHI_BS1 (KWh/m2)]:[IS1GHI_BS1 (KWh/m2)2]]),"")</f>
        <v>0.52536266666666753</v>
      </c>
      <c r="DB81" s="204">
        <f>IFERROR(AVERAGEIF(RD[[#This Row],[IS1AT1 (°C)]:[IS7AT2 (°C)]],"&lt;&gt;0",RD[[#This Row],[IS1AT1 (°C)]:[IS7AT2 (°C)]]),"")</f>
        <v>17.902280230919565</v>
      </c>
      <c r="DC81" s="204">
        <f>IFERROR(AVERAGEIF(RD[[#This Row],[IS1MT1 (°C)]:[IS7MT2 (°C)]],"&lt;&gt;0",RD[[#This Row],[IS1MT1 (°C)]:[IS7MT2 (°C)]]),"")</f>
        <v>25.849413659607535</v>
      </c>
      <c r="DD81" s="204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204">
        <f>IFERROR(AVERAGEIF(RD[[#This Row],[WS_Solar1_Avg (m/s)]:[IS7_WS_Solar1_Avg (m/s)]],"&lt;&gt;0",RD[[#This Row],[WS_Solar1_Avg (m/s)]:[IS7_WS_Solar1_Avg (m/s)]]),"")</f>
        <v>0.51123436609355855</v>
      </c>
      <c r="DG81" s="204">
        <f>IFERROR(AVERAGEIF(RD[[#This Row],[WS_Solar1_Max (m/s)]:[IS7_WS_Solar1_Max (m/s)]],"&lt;&gt;0",RD[[#This Row],[WS_Solar1_Max (m/s)]:[IS7_WS_Solar1_Max (m/s)]]),"")</f>
        <v>2.3205</v>
      </c>
      <c r="DH81" s="204">
        <f>SUM(RD[[#This Row],[IS1Inv1M1]:[IS4Inv4M2]])</f>
        <v>261202.30000000002</v>
      </c>
      <c r="DI81" s="205">
        <f>SUM(RD[[#This Row],[IS7Inv1M1]]+RD[[#This Row],[IS7Inv2M1]])</f>
        <v>16110.4</v>
      </c>
      <c r="DJ81" s="204">
        <f>SUM(RD[[#This Row],[IS5Inv1M1]:[IS5Inv2M2]])</f>
        <v>37977</v>
      </c>
      <c r="DK81" s="204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86">
        <f>SUM(RD[[#This Row],[IS12Inv1M1]:[IS12Inv1M4]])</f>
        <v>32400</v>
      </c>
      <c r="DO81" s="286">
        <f>SUM(RD[[#This Row],[IS13Inv1M1]:[IS13Inv2M2]])</f>
        <v>36316.9</v>
      </c>
      <c r="DP81" s="204">
        <f>SUM(RD[[#This Row],[O2R15]:[O2R26]])</f>
        <v>627054.4</v>
      </c>
      <c r="DQ81" s="164">
        <v>43273.3</v>
      </c>
      <c r="DR81" s="168">
        <v>219.9</v>
      </c>
      <c r="DS81" s="164">
        <v>37715.5</v>
      </c>
      <c r="DT81" s="164">
        <v>232.4</v>
      </c>
      <c r="DU81" s="168">
        <v>44323.199999999997</v>
      </c>
      <c r="DV81" s="168">
        <v>417.7</v>
      </c>
      <c r="DW81" s="164">
        <v>10302.4</v>
      </c>
      <c r="DX81" s="168">
        <v>51.7</v>
      </c>
      <c r="DY81" s="168">
        <v>1829.7</v>
      </c>
      <c r="DZ81" s="168">
        <v>6.4</v>
      </c>
      <c r="EA81" s="140">
        <v>102.11</v>
      </c>
      <c r="EB81" s="241">
        <v>141069860</v>
      </c>
      <c r="EC81" s="240">
        <v>992910.33600000001</v>
      </c>
      <c r="ED81" s="241">
        <v>1194</v>
      </c>
      <c r="EE81" s="241">
        <v>135307</v>
      </c>
      <c r="EF81" s="164">
        <v>195603.8</v>
      </c>
      <c r="EG81" s="164">
        <v>1930.8</v>
      </c>
      <c r="EH81" s="146">
        <f>IF((RD[[#This Row],[33 kV_F3_Ex
Incomer1]]-DQ80)*1000&lt;0,0,(RD[[#This Row],[33 kV_F3_Ex
Incomer1]]-DQ80)*1000)</f>
        <v>130000</v>
      </c>
      <c r="EI81" s="146">
        <f>IF((RD[[#This Row],[34 kV_F3_Im
Incomer1]]-DR80)*1000&lt;0,0,(RD[[#This Row],[34 kV_F3_Im
Incomer1]]-DR80)*1000)</f>
        <v>400.00000000000568</v>
      </c>
      <c r="EJ81" s="146">
        <f>IF((RD[[#This Row],[33 kV_F4_Ex
Incomer2]]-DS80)*1000&lt;0,0,(RD[[#This Row],[33 kV_F4_Ex
Incomer2]]-DS80)*1000)</f>
        <v>124800.00000000291</v>
      </c>
      <c r="EK81" s="146">
        <f>IF((RD[[#This Row],[34 kV_F4_Im
Incomer2]]-DT80)*1000&lt;0,0,(RD[[#This Row],[34 kV_F4_Im
Incomer2]]-DT80)*1000)</f>
        <v>300.00000000001137</v>
      </c>
      <c r="EL81" s="146">
        <f>IF((RD[[#This Row],[33 kV_F5_Ex
Incomer3]]-DU80)*1000&lt;0,0,(RD[[#This Row],[33 kV_F5_Ex
Incomer3]]-DU80)*1000)</f>
        <v>165599.99999999854</v>
      </c>
      <c r="EM81" s="146">
        <f>IF((RD[[#This Row],[34 kV_F5_Im
Incomer3]]-DV80)*1000&lt;0,0,(RD[[#This Row],[34 kV_F5_Im
Incomer3]]-DV80)*1000)</f>
        <v>1300.0000000000114</v>
      </c>
      <c r="EN81" s="146">
        <f>IF((RD[[#This Row],[33 kV_F6_Ex
Incomer4]]-DW80)*1000&lt;0,0,(RD[[#This Row],[33 kV_F6_Ex
Incomer4]]-DW80)*1000)</f>
        <v>14899.999999999636</v>
      </c>
      <c r="EO81" s="146">
        <f t="shared" si="166"/>
        <v>300.00000000001137</v>
      </c>
      <c r="EP81" s="146">
        <f>IF((RD[[#This Row],[33 kV_F7_Ex
Incomer5]]-DY80)*1000&lt;0,0,(RD[[#This Row],[33 kV_F7_Ex
Incomer5]]-DY80)*1000)</f>
        <v>149900.00000000009</v>
      </c>
      <c r="EQ81" s="146">
        <f>IF((RD[[#This Row],[33 kV_F7_Im
Incomer5]]-DZ80)*1000&lt;0,0,(RD[[#This Row],[33 kV_F7_Im
Incomer5]]-DZ80)*1000)</f>
        <v>800.00000000000068</v>
      </c>
      <c r="ER81" s="146">
        <f>IF((RD[[#This Row],[33 kV_Aux Trafo]]-EA80)*1000&lt;0,0,(RD[[#This Row],[33 kV_Aux Trafo]]-EA80)*1000)</f>
        <v>290.00000000000625</v>
      </c>
      <c r="ES81" s="158">
        <f>IF((RD[[#This Row],[33kV_OG1_Ex_]]-EB80)*1&lt;0,0,(RD[[#This Row],[33kV_OG1_Ex_]]-EB80)*1)</f>
        <v>611844</v>
      </c>
      <c r="ET81" s="146">
        <f>IF((RD[[#This Row],[33kV_OG1_Im]]-EC80)*1&lt;0,0,(RD[[#This Row],[33kV_OG1_Im]]-EC80)*1)</f>
        <v>3286.1439999999711</v>
      </c>
      <c r="EU81" s="146">
        <f>IF((RD[[#This Row],[132kV_TX1_EX]]-ED80)*720&lt;=0,"",(RD[[#This Row],[132kV_TX1_EX]]-ED80)*720)</f>
        <v>2880</v>
      </c>
      <c r="EV81" s="146">
        <f>IF((RD[[#This Row],[132 kV_Tx1_Im]]-EE80)*720&lt;=0,0,(RD[[#This Row],[132 kV_Tx1_Im]]-EE80)*720)</f>
        <v>439200</v>
      </c>
      <c r="EW81" s="146">
        <f>IF((RD[[#This Row],[132kV_L1_Ex]]-EF80)*720&lt;=0,0,(RD[[#This Row],[132kV_L1_Ex]]-EF80)*720)</f>
        <v>609840</v>
      </c>
      <c r="EX81" s="146">
        <f>IF((RD[[#This Row],[132kV_L1_Im]]-EG80)*720&lt;=0,0,(RD[[#This Row],[132kV_L1_Im]]-EG80)*720)</f>
        <v>3744.0000000000327</v>
      </c>
      <c r="EY81" s="242">
        <f>IFERROR(RD[[#This Row],[33kV_OG1_Ex (MWh)]]+RD[[#This Row],[33kV_OG1_Im (MWh)]],"")</f>
        <v>615130.14399999997</v>
      </c>
      <c r="EZ81" s="148">
        <f>RD[[#This Row],[33kV_OG1_Ex (MWh)]]-RD[[#This Row],[33kV_OG1_Im (MWh)]]</f>
        <v>608557.85600000003</v>
      </c>
      <c r="FA81" s="148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43">
        <f>IFERROR((RD[[#This Row],[Sunset Time (POA&lt;20 W/m2)]]-RD[[#This Row],[Sunrise Time (POA&gt;20 W/m2)]])*24,0)</f>
        <v>12.616666666666667</v>
      </c>
      <c r="FD81" s="244">
        <v>122.7</v>
      </c>
      <c r="FE81" t="s">
        <v>299</v>
      </c>
      <c r="FG81" s="144" t="str">
        <f>IFERROR(RD[[#This Row],[E_AC (WPR)]]/RD[[#This Row],[E_DC (WPR)]],"")</f>
        <v/>
      </c>
    </row>
    <row r="82" spans="1:163">
      <c r="A82" s="133">
        <f t="shared" si="161"/>
        <v>45822</v>
      </c>
      <c r="B82" s="138">
        <f>YEAR(RD[[#This Row],[Date]])+IF(MONTH(RD[[#This Row],[Date]])&gt;=4,1,0)</f>
        <v>2026</v>
      </c>
      <c r="C82" s="138">
        <f>YEAR(RD[[#This Row],[Date]])</f>
        <v>2025</v>
      </c>
      <c r="D82" s="139">
        <f t="shared" si="165"/>
        <v>45809</v>
      </c>
      <c r="E82" s="138">
        <f>DAY(EOMONTH(RD[[#This Row],[Date]],0))</f>
        <v>30</v>
      </c>
      <c r="F82" s="152">
        <v>0.24722222222222223</v>
      </c>
      <c r="G82" s="162">
        <v>0.77222222222222225</v>
      </c>
      <c r="H82" s="124">
        <v>7578.7</v>
      </c>
      <c r="I82" s="268">
        <v>7593.7</v>
      </c>
      <c r="J82" s="124">
        <v>7075.9</v>
      </c>
      <c r="K82" s="124">
        <v>6973.4</v>
      </c>
      <c r="L82" s="124">
        <v>7262.4</v>
      </c>
      <c r="M82" s="124">
        <v>7550</v>
      </c>
      <c r="N82" s="124">
        <v>7277.3</v>
      </c>
      <c r="O82" s="124">
        <v>7994.8</v>
      </c>
      <c r="P82" s="124">
        <v>7407.5</v>
      </c>
      <c r="Q82" s="124">
        <v>7151.1</v>
      </c>
      <c r="R82" s="124">
        <v>7592.5</v>
      </c>
      <c r="S82" s="266">
        <v>7643.1</v>
      </c>
      <c r="T82" s="124">
        <v>7898.1</v>
      </c>
      <c r="U82" s="124">
        <v>7840.2</v>
      </c>
      <c r="V82" s="124">
        <v>7657.8</v>
      </c>
      <c r="W82" s="124">
        <v>7376.2</v>
      </c>
      <c r="X82" s="266">
        <v>10755.6</v>
      </c>
      <c r="Y82" s="203">
        <v>11929.6</v>
      </c>
      <c r="Z82" s="203">
        <v>10211.299999999999</v>
      </c>
      <c r="AA82" s="203">
        <v>10803</v>
      </c>
      <c r="AB82" s="266">
        <v>11515.1</v>
      </c>
      <c r="AC82" s="203">
        <v>7180.4</v>
      </c>
      <c r="AD82" s="203">
        <v>10956.9</v>
      </c>
      <c r="AE82" s="203">
        <v>10995.5</v>
      </c>
      <c r="AF82" s="266">
        <v>10849.8</v>
      </c>
      <c r="AG82" s="203">
        <v>10889</v>
      </c>
      <c r="AH82" s="203">
        <v>10785.9</v>
      </c>
      <c r="AI82" s="266">
        <v>10828.4</v>
      </c>
      <c r="AJ82" s="203">
        <v>8837.5</v>
      </c>
      <c r="AK82" s="266">
        <v>8972.4</v>
      </c>
      <c r="AL82" s="203">
        <v>8423</v>
      </c>
      <c r="AM82" s="266">
        <v>8365.7999999999993</v>
      </c>
      <c r="AN82" s="203">
        <v>8762</v>
      </c>
      <c r="AO82" s="266">
        <v>8875.6</v>
      </c>
      <c r="AP82" s="203">
        <v>8881.9</v>
      </c>
      <c r="AQ82" s="266">
        <v>8611</v>
      </c>
      <c r="AR82" s="203">
        <v>6843</v>
      </c>
      <c r="AS82" s="266">
        <v>6803.8</v>
      </c>
      <c r="AT82" s="203">
        <v>6918</v>
      </c>
      <c r="AU82" s="266">
        <v>6837.6</v>
      </c>
      <c r="AV82" s="203">
        <v>6941.9</v>
      </c>
      <c r="AW82" s="203">
        <v>6811</v>
      </c>
      <c r="AX82" s="203">
        <v>10304</v>
      </c>
      <c r="AY82" s="203">
        <v>11440</v>
      </c>
      <c r="AZ82" s="203">
        <v>8292</v>
      </c>
      <c r="BA82" s="203">
        <v>9690</v>
      </c>
      <c r="BB82" s="203">
        <v>9065</v>
      </c>
      <c r="BC82" s="203">
        <v>8793.7999999999993</v>
      </c>
      <c r="BD82" s="203">
        <v>8925.7000000000007</v>
      </c>
      <c r="BE82" s="203">
        <v>9931.7000000000007</v>
      </c>
      <c r="BF82" s="203">
        <v>9057</v>
      </c>
      <c r="BG82" s="203">
        <v>9503</v>
      </c>
      <c r="BH82" s="203">
        <v>10791.6</v>
      </c>
      <c r="BI82" s="203">
        <v>11126</v>
      </c>
      <c r="BJ82" s="203">
        <v>7749</v>
      </c>
      <c r="BK82" s="203">
        <v>6249.8</v>
      </c>
      <c r="BL82" s="203">
        <v>7508</v>
      </c>
      <c r="BM82" s="203">
        <v>7453.9</v>
      </c>
      <c r="BN82" s="203">
        <v>7972</v>
      </c>
      <c r="BO82" s="203">
        <v>7749</v>
      </c>
      <c r="BP82" s="203">
        <v>8433.6</v>
      </c>
      <c r="BQ82" s="203">
        <v>8373</v>
      </c>
      <c r="BR82" s="203">
        <v>9105</v>
      </c>
      <c r="BS82" s="203">
        <v>9403</v>
      </c>
      <c r="BT82" s="203">
        <v>8969.6</v>
      </c>
      <c r="BU82" s="203">
        <v>9540</v>
      </c>
      <c r="BV82" s="203"/>
      <c r="BW82" s="203"/>
      <c r="BX82" s="203"/>
      <c r="BY82" s="203"/>
      <c r="BZ82" s="203">
        <v>1318</v>
      </c>
      <c r="CA82" s="203">
        <v>1115</v>
      </c>
      <c r="CB82" s="203">
        <v>5002</v>
      </c>
      <c r="CC82" s="203">
        <v>8284</v>
      </c>
      <c r="CD82" s="261">
        <v>6.871251516666673</v>
      </c>
      <c r="CE82" s="261">
        <v>6.871251516666673</v>
      </c>
      <c r="CF82" s="261">
        <v>5.2343621666666644</v>
      </c>
      <c r="CG82" s="261">
        <v>5.2343621666666644</v>
      </c>
      <c r="CH82" s="261">
        <v>0.71466563333333322</v>
      </c>
      <c r="CI82" s="261">
        <v>0.71466563333333322</v>
      </c>
      <c r="CJ82" s="261">
        <v>0.9810536999999997</v>
      </c>
      <c r="CK82" s="261">
        <v>0.9810536999999997</v>
      </c>
      <c r="CL82" s="261">
        <v>30.935410764872515</v>
      </c>
      <c r="CM82" s="261">
        <v>30.935410764872515</v>
      </c>
      <c r="CN82" s="261">
        <v>44.854223087818717</v>
      </c>
      <c r="CO82" s="261">
        <v>44.854223087818717</v>
      </c>
      <c r="CP82" s="261">
        <v>68.348158640226629</v>
      </c>
      <c r="CQ82" s="261">
        <v>68.348158640226629</v>
      </c>
      <c r="CR82" s="261">
        <v>0</v>
      </c>
      <c r="CS82" s="261">
        <v>0</v>
      </c>
      <c r="CT82" s="261">
        <v>0.81648441926345705</v>
      </c>
      <c r="CU82" s="261">
        <v>0.81648441926345705</v>
      </c>
      <c r="CV82" s="261">
        <v>4.2210000000000001</v>
      </c>
      <c r="CW82" s="261">
        <v>4.2210000000000001</v>
      </c>
      <c r="CX82" s="204">
        <f>IFERROR(AVERAGEIF(RD[[#This Row],[IS1POA1 (KWh/m2)]:[IS7POA2 (KWh/m2)]],"&lt;&gt;0",RD[[#This Row],[IS1POA1 (KWh/m2)]:[IS7POA2 (KWh/m2)]]),"")</f>
        <v>6.871251516666673</v>
      </c>
      <c r="CY82" s="204">
        <f>IFERROR(AVERAGEIF(RD[[#This Row],[IS1GHI1 (KWh/m2)]:[IS7GHI2 (KWh/m2)]],"&lt;&gt;0",RD[[#This Row],[IS1GHI1 (KWh/m2)]:[IS7GHI2 (KWh/m2)]]),"")</f>
        <v>5.2343621666666644</v>
      </c>
      <c r="CZ82" s="204">
        <f>IFERROR(AVERAGEIF(RD[[#This Row],[IS1POA_BS1 (KWh/m2)]:[IS7POA_BS2 (KWh/m2)]],"&lt;&gt;0",RD[[#This Row],[IS1POA_BS1 (KWh/m2)]:[IS7POA_BS2 (KWh/m2)]]),"")</f>
        <v>0.71466563333333322</v>
      </c>
      <c r="DA82" s="204">
        <f>IFERROR(AVERAGEIF(RD[[#This Row],[IS1GHI_BS1 (KWh/m2)]:[IS1GHI_BS1 (KWh/m2)2]],"&lt;&gt;0",RD[[#This Row],[IS1GHI_BS1 (KWh/m2)]:[IS1GHI_BS1 (KWh/m2)2]]),"")</f>
        <v>0.9810536999999997</v>
      </c>
      <c r="DB82" s="204">
        <f>IFERROR(AVERAGEIF(RD[[#This Row],[IS1AT1 (°C)]:[IS7AT2 (°C)]],"&lt;&gt;0",RD[[#This Row],[IS1AT1 (°C)]:[IS7AT2 (°C)]]),"")</f>
        <v>30.935410764872515</v>
      </c>
      <c r="DC82" s="204">
        <f>IFERROR(AVERAGEIF(RD[[#This Row],[IS1MT1 (°C)]:[IS7MT2 (°C)]],"&lt;&gt;0",RD[[#This Row],[IS1MT1 (°C)]:[IS7MT2 (°C)]]),"")</f>
        <v>44.854223087818717</v>
      </c>
      <c r="DD82" s="204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204">
        <f>IFERROR(AVERAGEIF(RD[[#This Row],[WS_Solar1_Avg (m/s)]:[IS7_WS_Solar1_Avg (m/s)]],"&lt;&gt;0",RD[[#This Row],[WS_Solar1_Avg (m/s)]:[IS7_WS_Solar1_Avg (m/s)]]),"")</f>
        <v>0.81648441926345705</v>
      </c>
      <c r="DG82" s="204">
        <f>IFERROR(AVERAGEIF(RD[[#This Row],[WS_Solar1_Max (m/s)]:[IS7_WS_Solar1_Max (m/s)]],"&lt;&gt;0",RD[[#This Row],[WS_Solar1_Max (m/s)]:[IS7_WS_Solar1_Max (m/s)]]),"")</f>
        <v>4.2210000000000001</v>
      </c>
      <c r="DH82" s="204">
        <f>SUM(RD[[#This Row],[IS1Inv1M1]:[IS4Inv4M2]])</f>
        <v>247573.19999999998</v>
      </c>
      <c r="DI82" s="205">
        <f>SUM(RD[[#This Row],[IS7Inv1M1]]+RD[[#This Row],[IS7Inv2M1]])</f>
        <v>13646.8</v>
      </c>
      <c r="DJ82" s="204">
        <f>SUM(RD[[#This Row],[IS5Inv1M1]:[IS5Inv2M2]])</f>
        <v>34598.699999999997</v>
      </c>
      <c r="DK82" s="204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86">
        <f>SUM(RD[[#This Row],[IS12Inv1M1]:[IS12Inv1M4]])</f>
        <v>32527.599999999999</v>
      </c>
      <c r="DO82" s="286">
        <f>SUM(RD[[#This Row],[IS13Inv1M1]:[IS13Inv2M2]])</f>
        <v>37017.599999999999</v>
      </c>
      <c r="DP82" s="204">
        <f>SUM(RD[[#This Row],[O2R15]:[O2R26]])</f>
        <v>589602.39999999991</v>
      </c>
      <c r="DQ82" s="164">
        <v>43400.2</v>
      </c>
      <c r="DR82" s="168">
        <v>220.4</v>
      </c>
      <c r="DS82" s="164">
        <v>37830.6</v>
      </c>
      <c r="DT82" s="164">
        <v>232.9</v>
      </c>
      <c r="DU82" s="168">
        <v>44472</v>
      </c>
      <c r="DV82" s="168">
        <v>419.4</v>
      </c>
      <c r="DW82" s="164">
        <v>10317.9</v>
      </c>
      <c r="DX82" s="168">
        <v>52</v>
      </c>
      <c r="DY82" s="168">
        <v>1980.7</v>
      </c>
      <c r="DZ82" s="168">
        <v>7.1</v>
      </c>
      <c r="EA82" s="140">
        <v>102.45</v>
      </c>
      <c r="EB82" s="241">
        <v>141654163</v>
      </c>
      <c r="EC82" s="240">
        <v>996937.85600000003</v>
      </c>
      <c r="ED82" s="241">
        <v>1198</v>
      </c>
      <c r="EE82" s="241">
        <v>135889</v>
      </c>
      <c r="EF82" s="164">
        <v>196412.79999999999</v>
      </c>
      <c r="EG82" s="164">
        <v>1937.4</v>
      </c>
      <c r="EH82" s="146">
        <f>IF((RD[[#This Row],[33 kV_F3_Ex
Incomer1]]-DQ81)*1000&lt;0,0,(RD[[#This Row],[33 kV_F3_Ex
Incomer1]]-DQ81)*1000)</f>
        <v>126899.99999999418</v>
      </c>
      <c r="EI82" s="146">
        <f>IF((RD[[#This Row],[34 kV_F3_Im
Incomer1]]-DR81)*1000&lt;0,0,(RD[[#This Row],[34 kV_F3_Im
Incomer1]]-DR81)*1000)</f>
        <v>500</v>
      </c>
      <c r="EJ82" s="146">
        <f>IF((RD[[#This Row],[33 kV_F4_Ex
Incomer2]]-DS81)*1000&lt;0,0,(RD[[#This Row],[33 kV_F4_Ex
Incomer2]]-DS81)*1000)</f>
        <v>115099.99999999854</v>
      </c>
      <c r="EK82" s="146">
        <f>IF((RD[[#This Row],[34 kV_F4_Im
Incomer2]]-DT81)*1000&lt;0,0,(RD[[#This Row],[34 kV_F4_Im
Incomer2]]-DT81)*1000)</f>
        <v>500</v>
      </c>
      <c r="EL82" s="146">
        <f>IF((RD[[#This Row],[33 kV_F5_Ex
Incomer3]]-DU81)*1000&lt;0,0,(RD[[#This Row],[33 kV_F5_Ex
Incomer3]]-DU81)*1000)</f>
        <v>148800.00000000291</v>
      </c>
      <c r="EM82" s="146">
        <f>IF((RD[[#This Row],[34 kV_F5_Im
Incomer3]]-DV81)*1000&lt;0,0,(RD[[#This Row],[34 kV_F5_Im
Incomer3]]-DV81)*1000)</f>
        <v>1699.9999999999886</v>
      </c>
      <c r="EN82" s="146">
        <f>IF((RD[[#This Row],[33 kV_F6_Ex
Incomer4]]-DW81)*1000&lt;0,0,(RD[[#This Row],[33 kV_F6_Ex
Incomer4]]-DW81)*1000)</f>
        <v>15500</v>
      </c>
      <c r="EO82" s="146">
        <f t="shared" si="166"/>
        <v>399.99999999997726</v>
      </c>
      <c r="EP82" s="146">
        <f>IF((RD[[#This Row],[33 kV_F7_Ex
Incomer5]]-DY81)*1000&lt;0,0,(RD[[#This Row],[33 kV_F7_Ex
Incomer5]]-DY81)*1000)</f>
        <v>151000</v>
      </c>
      <c r="EQ82" s="146">
        <f>IF((RD[[#This Row],[33 kV_F7_Im
Incomer5]]-DZ81)*1000&lt;0,0,(RD[[#This Row],[33 kV_F7_Im
Incomer5]]-DZ81)*1000)</f>
        <v>699.99999999999932</v>
      </c>
      <c r="ER82" s="146">
        <f>IF((RD[[#This Row],[33 kV_Aux Trafo]]-EA81)*1000&lt;0,0,(RD[[#This Row],[33 kV_Aux Trafo]]-EA81)*1000)</f>
        <v>340.00000000000341</v>
      </c>
      <c r="ES82" s="158">
        <f>IF((RD[[#This Row],[33kV_OG1_Ex_]]-EB81)*1&lt;0,0,(RD[[#This Row],[33kV_OG1_Ex_]]-EB81)*1)</f>
        <v>584303</v>
      </c>
      <c r="ET82" s="146">
        <f>IF((RD[[#This Row],[33kV_OG1_Im]]-EC81)*1&lt;0,0,(RD[[#This Row],[33kV_OG1_Im]]-EC81)*1)</f>
        <v>4027.5200000000186</v>
      </c>
      <c r="EU82" s="146">
        <f>IF((RD[[#This Row],[132kV_TX1_EX]]-ED81)*720&lt;=0,"",(RD[[#This Row],[132kV_TX1_EX]]-ED81)*720)</f>
        <v>2880</v>
      </c>
      <c r="EV82" s="146">
        <f>IF((RD[[#This Row],[132 kV_Tx1_Im]]-EE81)*720&lt;=0,0,(RD[[#This Row],[132 kV_Tx1_Im]]-EE81)*720)</f>
        <v>419040</v>
      </c>
      <c r="EW82" s="146">
        <f>IF((RD[[#This Row],[132kV_L1_Ex]]-EF81)*720&lt;=0,0,(RD[[#This Row],[132kV_L1_Ex]]-EF81)*720)</f>
        <v>582480</v>
      </c>
      <c r="EX82" s="146">
        <f>IF((RD[[#This Row],[132kV_L1_Im]]-EG81)*720&lt;=0,0,(RD[[#This Row],[132kV_L1_Im]]-EG81)*720)</f>
        <v>4752.0000000000982</v>
      </c>
      <c r="EY82" s="242">
        <f>IFERROR(RD[[#This Row],[33kV_OG1_Ex (MWh)]]+RD[[#This Row],[33kV_OG1_Im (MWh)]],"")</f>
        <v>588330.52</v>
      </c>
      <c r="EZ82" s="148">
        <f>RD[[#This Row],[33kV_OG1_Ex (MWh)]]-RD[[#This Row],[33kV_OG1_Im (MWh)]]</f>
        <v>580275.48</v>
      </c>
      <c r="FA82" s="148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43">
        <f>IFERROR((RD[[#This Row],[Sunset Time (POA&lt;20 W/m2)]]-RD[[#This Row],[Sunrise Time (POA&gt;20 W/m2)]])*24,0)</f>
        <v>12.600000000000001</v>
      </c>
      <c r="FD82" s="244">
        <v>122.7</v>
      </c>
      <c r="FE82" s="303" t="s">
        <v>293</v>
      </c>
      <c r="FG82" s="144" t="str">
        <f>IFERROR(RD[[#This Row],[E_AC (WPR)]]/RD[[#This Row],[E_DC (WPR)]],"")</f>
        <v/>
      </c>
    </row>
    <row r="83" spans="1:163">
      <c r="A83" s="133">
        <f t="shared" si="161"/>
        <v>45823</v>
      </c>
      <c r="B83" s="138">
        <f>YEAR(RD[[#This Row],[Date]])+IF(MONTH(RD[[#This Row],[Date]])&gt;=4,1,0)</f>
        <v>2026</v>
      </c>
      <c r="C83" s="138">
        <f>YEAR(RD[[#This Row],[Date]])</f>
        <v>2025</v>
      </c>
      <c r="D83" s="139">
        <f t="shared" si="165"/>
        <v>45809</v>
      </c>
      <c r="E83" s="138">
        <f>DAY(EOMONTH(RD[[#This Row],[Date]],0))</f>
        <v>30</v>
      </c>
      <c r="F83" s="152">
        <v>0.25694444444444442</v>
      </c>
      <c r="G83" s="162">
        <v>0.76111111111111107</v>
      </c>
      <c r="H83" s="124">
        <v>7252.8</v>
      </c>
      <c r="I83" s="268">
        <v>7317.7</v>
      </c>
      <c r="J83" s="124">
        <v>6979.5</v>
      </c>
      <c r="K83" s="124">
        <v>6687</v>
      </c>
      <c r="L83" s="124">
        <v>6735.1</v>
      </c>
      <c r="M83" s="124">
        <v>7138.4</v>
      </c>
      <c r="N83" s="124">
        <v>7024.1</v>
      </c>
      <c r="O83" s="124">
        <v>7553.1</v>
      </c>
      <c r="P83" s="124">
        <v>6927.4</v>
      </c>
      <c r="Q83" s="124">
        <v>6542</v>
      </c>
      <c r="R83" s="124">
        <v>6661.7</v>
      </c>
      <c r="S83" s="266">
        <v>6697.9</v>
      </c>
      <c r="T83" s="124">
        <v>7254.5</v>
      </c>
      <c r="U83" s="124">
        <v>6291</v>
      </c>
      <c r="V83" s="124">
        <v>7022.9</v>
      </c>
      <c r="W83" s="124">
        <v>6903.7</v>
      </c>
      <c r="X83" s="266">
        <v>9264.9</v>
      </c>
      <c r="Y83" s="203">
        <v>9725.7999999999993</v>
      </c>
      <c r="Z83" s="203">
        <v>9434.2000000000007</v>
      </c>
      <c r="AA83" s="203">
        <v>10013.299999999999</v>
      </c>
      <c r="AB83" s="266">
        <v>9562.9</v>
      </c>
      <c r="AC83" s="203">
        <v>6039.6</v>
      </c>
      <c r="AD83" s="203">
        <v>9095.7999999999993</v>
      </c>
      <c r="AE83" s="203">
        <v>9142.6</v>
      </c>
      <c r="AF83" s="266">
        <v>8855.9</v>
      </c>
      <c r="AG83" s="203">
        <v>8857.7999999999993</v>
      </c>
      <c r="AH83" s="203">
        <v>8872.2999999999993</v>
      </c>
      <c r="AI83" s="266">
        <v>8790.1</v>
      </c>
      <c r="AJ83" s="203">
        <v>7096.8</v>
      </c>
      <c r="AK83" s="266">
        <v>7232.8</v>
      </c>
      <c r="AL83" s="203">
        <v>7110.8</v>
      </c>
      <c r="AM83" s="266">
        <v>7172.9</v>
      </c>
      <c r="AN83" s="203">
        <v>7063.9</v>
      </c>
      <c r="AO83" s="266">
        <v>7257.8</v>
      </c>
      <c r="AP83" s="203">
        <v>7155.8</v>
      </c>
      <c r="AQ83" s="266">
        <v>7080.3</v>
      </c>
      <c r="AR83" s="203">
        <v>5614</v>
      </c>
      <c r="AS83" s="266">
        <v>5648.2</v>
      </c>
      <c r="AT83" s="203">
        <v>5681</v>
      </c>
      <c r="AU83" s="266">
        <v>5680.7</v>
      </c>
      <c r="AV83" s="203">
        <v>5771.3</v>
      </c>
      <c r="AW83" s="203">
        <v>5693</v>
      </c>
      <c r="AX83" s="203">
        <v>8261</v>
      </c>
      <c r="AY83" s="203">
        <v>9352.7999999999993</v>
      </c>
      <c r="AZ83" s="203">
        <v>6667.8</v>
      </c>
      <c r="BA83" s="203">
        <v>7863.8</v>
      </c>
      <c r="BB83" s="203">
        <v>8851.7000000000007</v>
      </c>
      <c r="BC83" s="203">
        <v>8503.9</v>
      </c>
      <c r="BD83" s="203">
        <v>9082.1</v>
      </c>
      <c r="BE83" s="203">
        <v>10040.799999999999</v>
      </c>
      <c r="BF83" s="203">
        <v>10840</v>
      </c>
      <c r="BG83" s="203">
        <v>10971.9</v>
      </c>
      <c r="BH83" s="203">
        <v>10816</v>
      </c>
      <c r="BI83" s="203">
        <v>11200.4</v>
      </c>
      <c r="BJ83" s="203">
        <v>7603.5</v>
      </c>
      <c r="BK83" s="203">
        <v>6136</v>
      </c>
      <c r="BL83" s="203">
        <v>7289.8</v>
      </c>
      <c r="BM83" s="203">
        <v>6136</v>
      </c>
      <c r="BN83" s="203">
        <v>7655.1</v>
      </c>
      <c r="BO83" s="203">
        <v>7345.9</v>
      </c>
      <c r="BP83" s="203">
        <v>7833</v>
      </c>
      <c r="BQ83" s="203">
        <v>7869.2</v>
      </c>
      <c r="BR83" s="203">
        <v>8864.6</v>
      </c>
      <c r="BS83" s="203">
        <v>9237.2999999999993</v>
      </c>
      <c r="BT83" s="203">
        <v>8577.7999999999993</v>
      </c>
      <c r="BU83" s="203">
        <v>9229.6</v>
      </c>
      <c r="BV83" s="203"/>
      <c r="BW83" s="203"/>
      <c r="BX83" s="203"/>
      <c r="BY83" s="203"/>
      <c r="BZ83" s="203">
        <v>1268.7</v>
      </c>
      <c r="CA83" s="203">
        <v>1075.5</v>
      </c>
      <c r="CB83" s="203">
        <v>4858.1000000000004</v>
      </c>
      <c r="CC83" s="203">
        <v>7882.5</v>
      </c>
      <c r="CD83" s="261">
        <v>6.834107899999994</v>
      </c>
      <c r="CE83" s="261">
        <v>6.834107899999994</v>
      </c>
      <c r="CF83" s="261">
        <v>5.2119190499999979</v>
      </c>
      <c r="CG83" s="261">
        <v>5.2119190499999979</v>
      </c>
      <c r="CH83" s="261">
        <v>0.68744010000000055</v>
      </c>
      <c r="CI83" s="261">
        <v>0.68744010000000055</v>
      </c>
      <c r="CJ83" s="261">
        <v>0.96393041666666623</v>
      </c>
      <c r="CK83" s="261">
        <v>0.96393041666666623</v>
      </c>
      <c r="CL83" s="261">
        <v>30.29257188498401</v>
      </c>
      <c r="CM83" s="261">
        <v>30.29257188498401</v>
      </c>
      <c r="CN83" s="261">
        <v>44.882682108626092</v>
      </c>
      <c r="CO83" s="261">
        <v>44.882682108626092</v>
      </c>
      <c r="CP83" s="261">
        <v>74.660862619808299</v>
      </c>
      <c r="CQ83" s="261">
        <v>74.660862619808299</v>
      </c>
      <c r="CR83" s="261">
        <v>0.10716627634660419</v>
      </c>
      <c r="CS83" s="261">
        <v>7.0962609387430375E-2</v>
      </c>
      <c r="CT83" s="261">
        <v>1.1507822014051516</v>
      </c>
      <c r="CU83" s="261">
        <v>1.1507822014051516</v>
      </c>
      <c r="CV83" s="261">
        <v>3.3420000000000001</v>
      </c>
      <c r="CW83" s="261">
        <v>3.3420000000000001</v>
      </c>
      <c r="CX83" s="204">
        <f>IFERROR(AVERAGEIF(RD[[#This Row],[IS1POA1 (KWh/m2)]:[IS7POA2 (KWh/m2)]],"&lt;&gt;0",RD[[#This Row],[IS1POA1 (KWh/m2)]:[IS7POA2 (KWh/m2)]]),"")</f>
        <v>6.834107899999994</v>
      </c>
      <c r="CY83" s="204">
        <f>IFERROR(AVERAGEIF(RD[[#This Row],[IS1GHI1 (KWh/m2)]:[IS7GHI2 (KWh/m2)]],"&lt;&gt;0",RD[[#This Row],[IS1GHI1 (KWh/m2)]:[IS7GHI2 (KWh/m2)]]),"")</f>
        <v>5.2119190499999979</v>
      </c>
      <c r="CZ83" s="204">
        <f>IFERROR(AVERAGEIF(RD[[#This Row],[IS1POA_BS1 (KWh/m2)]:[IS7POA_BS2 (KWh/m2)]],"&lt;&gt;0",RD[[#This Row],[IS1POA_BS1 (KWh/m2)]:[IS7POA_BS2 (KWh/m2)]]),"")</f>
        <v>0.68744010000000055</v>
      </c>
      <c r="DA83" s="204">
        <f>IFERROR(AVERAGEIF(RD[[#This Row],[IS1GHI_BS1 (KWh/m2)]:[IS1GHI_BS1 (KWh/m2)2]],"&lt;&gt;0",RD[[#This Row],[IS1GHI_BS1 (KWh/m2)]:[IS1GHI_BS1 (KWh/m2)2]]),"")</f>
        <v>0.96393041666666623</v>
      </c>
      <c r="DB83" s="204">
        <f>IFERROR(AVERAGEIF(RD[[#This Row],[IS1AT1 (°C)]:[IS7AT2 (°C)]],"&lt;&gt;0",RD[[#This Row],[IS1AT1 (°C)]:[IS7AT2 (°C)]]),"")</f>
        <v>30.29257188498401</v>
      </c>
      <c r="DC83" s="204">
        <f>IFERROR(AVERAGEIF(RD[[#This Row],[IS1MT1 (°C)]:[IS7MT2 (°C)]],"&lt;&gt;0",RD[[#This Row],[IS1MT1 (°C)]:[IS7MT2 (°C)]]),"")</f>
        <v>44.882682108626092</v>
      </c>
      <c r="DD83" s="204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204">
        <f>IFERROR(AVERAGEIF(RD[[#This Row],[WS_Solar1_Avg (m/s)]:[IS7_WS_Solar1_Avg (m/s)]],"&lt;&gt;0",RD[[#This Row],[WS_Solar1_Avg (m/s)]:[IS7_WS_Solar1_Avg (m/s)]]),"")</f>
        <v>1.1507822014051516</v>
      </c>
      <c r="DG83" s="204">
        <f>IFERROR(AVERAGEIF(RD[[#This Row],[WS_Solar1_Max (m/s)]:[IS7_WS_Solar1_Max (m/s)]],"&lt;&gt;0",RD[[#This Row],[WS_Solar1_Max (m/s)]:[IS7_WS_Solar1_Max (m/s)]]),"")</f>
        <v>3.3420000000000001</v>
      </c>
      <c r="DH83" s="204">
        <f>SUM(RD[[#This Row],[IS1Inv1M1]:[IS4Inv4M2]])</f>
        <v>218643.99999999994</v>
      </c>
      <c r="DI83" s="205">
        <f>SUM(RD[[#This Row],[IS7Inv1M1]]+RD[[#This Row],[IS7Inv2M1]])</f>
        <v>11262.2</v>
      </c>
      <c r="DJ83" s="204">
        <f>SUM(RD[[#This Row],[IS5Inv1M1]:[IS5Inv2M2]])</f>
        <v>28613.300000000003</v>
      </c>
      <c r="DK83" s="204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86">
        <f>SUM(RD[[#This Row],[IS12Inv1M1]:[IS12Inv1M4]])</f>
        <v>30703.200000000001</v>
      </c>
      <c r="DO83" s="286">
        <f>SUM(RD[[#This Row],[IS13Inv1M1]:[IS13Inv2M2]])</f>
        <v>35909.300000000003</v>
      </c>
      <c r="DP83" s="204">
        <f>SUM(RD[[#This Row],[O2R15]:[O2R26]])</f>
        <v>531218.1</v>
      </c>
      <c r="DQ83" s="164">
        <v>43507.1</v>
      </c>
      <c r="DR83" s="168">
        <v>220.6</v>
      </c>
      <c r="DS83" s="164">
        <v>37938</v>
      </c>
      <c r="DT83" s="164">
        <v>233.1</v>
      </c>
      <c r="DU83" s="168">
        <v>44594.1</v>
      </c>
      <c r="DV83" s="168">
        <v>420.3</v>
      </c>
      <c r="DW83" s="164">
        <v>10332.9</v>
      </c>
      <c r="DX83" s="168">
        <v>52.1</v>
      </c>
      <c r="DY83" s="168">
        <v>2128.1</v>
      </c>
      <c r="DZ83" s="168">
        <v>7.6</v>
      </c>
      <c r="EA83" s="140">
        <v>102.68</v>
      </c>
      <c r="EB83" s="241">
        <v>142178959</v>
      </c>
      <c r="EC83" s="240">
        <v>999191.16799999995</v>
      </c>
      <c r="ED83" s="241">
        <v>1201</v>
      </c>
      <c r="EE83" s="241">
        <v>136411</v>
      </c>
      <c r="EF83" s="164">
        <v>197139.4</v>
      </c>
      <c r="EG83" s="164">
        <v>1941</v>
      </c>
      <c r="EH83" s="146">
        <f>IF((RD[[#This Row],[33 kV_F3_Ex
Incomer1]]-DQ82)*1000&lt;0,0,(RD[[#This Row],[33 kV_F3_Ex
Incomer1]]-DQ82)*1000)</f>
        <v>106900.00000000146</v>
      </c>
      <c r="EI83" s="146">
        <f>IF((RD[[#This Row],[34 kV_F3_Im
Incomer1]]-DR82)*1000&lt;0,0,(RD[[#This Row],[34 kV_F3_Im
Incomer1]]-DR82)*1000)</f>
        <v>199.99999999998863</v>
      </c>
      <c r="EJ83" s="146">
        <f>IF((RD[[#This Row],[33 kV_F4_Ex
Incomer2]]-DS82)*1000&lt;0,0,(RD[[#This Row],[33 kV_F4_Ex
Incomer2]]-DS82)*1000)</f>
        <v>107400.00000000146</v>
      </c>
      <c r="EK83" s="146">
        <f>IF((RD[[#This Row],[34 kV_F4_Im
Incomer2]]-DT82)*1000&lt;0,0,(RD[[#This Row],[34 kV_F4_Im
Incomer2]]-DT82)*1000)</f>
        <v>199.99999999998863</v>
      </c>
      <c r="EL83" s="146">
        <f>IF((RD[[#This Row],[33 kV_F5_Ex
Incomer3]]-DU82)*1000&lt;0,0,(RD[[#This Row],[33 kV_F5_Ex
Incomer3]]-DU82)*1000)</f>
        <v>122099.99999999854</v>
      </c>
      <c r="EM83" s="146">
        <f>IF((RD[[#This Row],[34 kV_F5_Im
Incomer3]]-DV82)*1000&lt;0,0,(RD[[#This Row],[34 kV_F5_Im
Incomer3]]-DV82)*1000)</f>
        <v>900.00000000003411</v>
      </c>
      <c r="EN83" s="146">
        <f>IF((RD[[#This Row],[33 kV_F6_Ex
Incomer4]]-DW82)*1000&lt;0,0,(RD[[#This Row],[33 kV_F6_Ex
Incomer4]]-DW82)*1000)</f>
        <v>15000</v>
      </c>
      <c r="EO83" s="146">
        <f t="shared" si="166"/>
        <v>400.00000000000568</v>
      </c>
      <c r="EP83" s="146">
        <f>IF((RD[[#This Row],[33 kV_F7_Ex
Incomer5]]-DY82)*1000&lt;0,0,(RD[[#This Row],[33 kV_F7_Ex
Incomer5]]-DY82)*1000)</f>
        <v>147399.99999999985</v>
      </c>
      <c r="EQ83" s="146">
        <f>IF((RD[[#This Row],[33 kV_F7_Im
Incomer5]]-DZ82)*1000&lt;0,0,(RD[[#This Row],[33 kV_F7_Im
Incomer5]]-DZ82)*1000)</f>
        <v>500</v>
      </c>
      <c r="ER83" s="146">
        <f>IF((RD[[#This Row],[33 kV_Aux Trafo]]-EA82)*1000&lt;0,0,(RD[[#This Row],[33 kV_Aux Trafo]]-EA82)*1000)</f>
        <v>230.00000000000398</v>
      </c>
      <c r="ES83" s="158">
        <f>IF((RD[[#This Row],[33kV_OG1_Ex_]]-EB82)*1&lt;0,0,(RD[[#This Row],[33kV_OG1_Ex_]]-EB82)*1)</f>
        <v>524796</v>
      </c>
      <c r="ET83" s="146">
        <f>IF((RD[[#This Row],[33kV_OG1_Im]]-EC82)*1&lt;0,0,(RD[[#This Row],[33kV_OG1_Im]]-EC82)*1)</f>
        <v>2253.311999999918</v>
      </c>
      <c r="EU83" s="146">
        <f>IF((RD[[#This Row],[132kV_TX1_EX]]-ED82)*720&lt;=0,"",(RD[[#This Row],[132kV_TX1_EX]]-ED82)*720)</f>
        <v>2160</v>
      </c>
      <c r="EV83" s="146">
        <f>IF((RD[[#This Row],[132 kV_Tx1_Im]]-EE82)*720&lt;=0,0,(RD[[#This Row],[132 kV_Tx1_Im]]-EE82)*720)</f>
        <v>375840</v>
      </c>
      <c r="EW83" s="146">
        <f>IF((RD[[#This Row],[132kV_L1_Ex]]-EF82)*720&lt;=0,0,(RD[[#This Row],[132kV_L1_Ex]]-EF82)*720)</f>
        <v>523152.00000000419</v>
      </c>
      <c r="EX83" s="146">
        <f>IF((RD[[#This Row],[132kV_L1_Im]]-EG82)*720&lt;=0,0,(RD[[#This Row],[132kV_L1_Im]]-EG82)*720)</f>
        <v>2591.9999999999345</v>
      </c>
      <c r="EY83" s="242">
        <f>IFERROR(RD[[#This Row],[33kV_OG1_Ex (MWh)]]+RD[[#This Row],[33kV_OG1_Im (MWh)]],"")</f>
        <v>527049.31199999992</v>
      </c>
      <c r="EZ83" s="148">
        <f>RD[[#This Row],[33kV_OG1_Ex (MWh)]]-RD[[#This Row],[33kV_OG1_Im (MWh)]]</f>
        <v>522542.68800000008</v>
      </c>
      <c r="FA83" s="148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43">
        <f>IFERROR((RD[[#This Row],[Sunset Time (POA&lt;20 W/m2)]]-RD[[#This Row],[Sunrise Time (POA&gt;20 W/m2)]])*24,0)</f>
        <v>12.1</v>
      </c>
      <c r="FD83" s="244">
        <v>122.7</v>
      </c>
      <c r="FE83" s="303" t="s">
        <v>297</v>
      </c>
      <c r="FG83" s="144" t="str">
        <f>IFERROR(RD[[#This Row],[E_AC (WPR)]]/RD[[#This Row],[E_DC (WPR)]],"")</f>
        <v/>
      </c>
    </row>
    <row r="84" spans="1:163">
      <c r="A84" s="133">
        <f t="shared" si="161"/>
        <v>45824</v>
      </c>
      <c r="B84" s="138">
        <f>YEAR(RD[[#This Row],[Date]])+IF(MONTH(RD[[#This Row],[Date]])&gt;=4,1,0)</f>
        <v>2026</v>
      </c>
      <c r="C84" s="138">
        <f>YEAR(RD[[#This Row],[Date]])</f>
        <v>2025</v>
      </c>
      <c r="D84" s="139">
        <f t="shared" si="165"/>
        <v>45809</v>
      </c>
      <c r="E84" s="138">
        <f>DAY(EOMONTH(RD[[#This Row],[Date]],0))</f>
        <v>30</v>
      </c>
      <c r="F84" s="152">
        <v>0.24722222222222223</v>
      </c>
      <c r="G84" s="162">
        <v>0.78472222222222221</v>
      </c>
      <c r="H84" s="124">
        <v>6264.3</v>
      </c>
      <c r="I84" s="268">
        <v>6230.5</v>
      </c>
      <c r="J84" s="124">
        <v>5935.7</v>
      </c>
      <c r="K84" s="124">
        <v>5918.3</v>
      </c>
      <c r="L84" s="124">
        <v>6084.2</v>
      </c>
      <c r="M84" s="124">
        <v>6303.5</v>
      </c>
      <c r="N84" s="124">
        <v>6117.1</v>
      </c>
      <c r="O84" s="124">
        <v>6554.9</v>
      </c>
      <c r="P84" s="124">
        <v>6156</v>
      </c>
      <c r="Q84" s="124">
        <v>5967.3</v>
      </c>
      <c r="R84" s="124">
        <v>6240.7</v>
      </c>
      <c r="S84" s="266">
        <v>6290.9</v>
      </c>
      <c r="T84" s="124">
        <v>6575</v>
      </c>
      <c r="U84" s="124">
        <v>6531.4</v>
      </c>
      <c r="V84" s="124">
        <v>6373.1</v>
      </c>
      <c r="W84" s="124">
        <v>6179.6</v>
      </c>
      <c r="X84" s="266">
        <v>8924.9</v>
      </c>
      <c r="Y84" s="203">
        <v>9869.2000000000007</v>
      </c>
      <c r="Z84" s="203">
        <v>8527.9</v>
      </c>
      <c r="AA84" s="203">
        <v>9107</v>
      </c>
      <c r="AB84" s="266">
        <v>9668.1</v>
      </c>
      <c r="AC84" s="203">
        <v>6212</v>
      </c>
      <c r="AD84" s="203">
        <v>9358.1</v>
      </c>
      <c r="AE84" s="203">
        <v>9242.4</v>
      </c>
      <c r="AF84" s="266">
        <v>9139.7999999999993</v>
      </c>
      <c r="AG84" s="203">
        <v>9172.6</v>
      </c>
      <c r="AH84" s="203">
        <v>9263.1</v>
      </c>
      <c r="AI84" s="266">
        <v>9078.2000000000007</v>
      </c>
      <c r="AJ84" s="203">
        <v>7633.4</v>
      </c>
      <c r="AK84" s="266">
        <v>7775.4</v>
      </c>
      <c r="AL84" s="203">
        <v>7606.4</v>
      </c>
      <c r="AM84" s="266">
        <v>7628.3</v>
      </c>
      <c r="AN84" s="203">
        <v>7632.3</v>
      </c>
      <c r="AO84" s="266">
        <v>7862.5</v>
      </c>
      <c r="AP84" s="203">
        <v>7773.7</v>
      </c>
      <c r="AQ84" s="266">
        <v>7676.7</v>
      </c>
      <c r="AR84" s="203">
        <v>6020.6</v>
      </c>
      <c r="AS84" s="266">
        <v>5994.1</v>
      </c>
      <c r="AT84" s="203">
        <v>6012.3</v>
      </c>
      <c r="AU84" s="266">
        <v>5980.8</v>
      </c>
      <c r="AV84" s="203">
        <v>6068.3</v>
      </c>
      <c r="AW84" s="203">
        <v>6006</v>
      </c>
      <c r="AX84" s="203">
        <v>8777</v>
      </c>
      <c r="AY84" s="203">
        <v>9591</v>
      </c>
      <c r="AZ84" s="203">
        <v>7292</v>
      </c>
      <c r="BA84" s="203">
        <v>8493.9</v>
      </c>
      <c r="BB84" s="203">
        <v>8022.2</v>
      </c>
      <c r="BC84" s="203">
        <v>7751.3</v>
      </c>
      <c r="BD84" s="203">
        <v>7938</v>
      </c>
      <c r="BE84" s="203">
        <v>8562.7999999999993</v>
      </c>
      <c r="BF84" s="203">
        <v>9127.5</v>
      </c>
      <c r="BG84" s="203">
        <v>9102.7000000000007</v>
      </c>
      <c r="BH84" s="203">
        <v>8888</v>
      </c>
      <c r="BI84" s="203">
        <v>9277.7999999999993</v>
      </c>
      <c r="BJ84" s="203">
        <v>6075.9</v>
      </c>
      <c r="BK84" s="203">
        <v>4869.2</v>
      </c>
      <c r="BL84" s="203">
        <v>5738.4</v>
      </c>
      <c r="BM84" s="203">
        <v>5685.4</v>
      </c>
      <c r="BN84" s="203">
        <v>6170.6</v>
      </c>
      <c r="BO84" s="203">
        <v>5797.1</v>
      </c>
      <c r="BP84" s="203">
        <v>6314.1</v>
      </c>
      <c r="BQ84" s="203">
        <v>6399.5</v>
      </c>
      <c r="BR84" s="203">
        <v>6889.3</v>
      </c>
      <c r="BS84" s="203">
        <v>7144.4</v>
      </c>
      <c r="BT84" s="203">
        <v>6695.6</v>
      </c>
      <c r="BU84" s="203">
        <v>7170.8</v>
      </c>
      <c r="BV84" s="203"/>
      <c r="BW84" s="203"/>
      <c r="BX84" s="203"/>
      <c r="BY84" s="203"/>
      <c r="BZ84" s="203">
        <v>906.9</v>
      </c>
      <c r="CA84" s="203">
        <v>758.7</v>
      </c>
      <c r="CB84" s="203">
        <v>3630.5</v>
      </c>
      <c r="CC84" s="203">
        <v>6041.2</v>
      </c>
      <c r="CD84" s="261">
        <v>5.8581051999999998</v>
      </c>
      <c r="CE84" s="261">
        <v>5.007673700000006</v>
      </c>
      <c r="CF84" s="261">
        <v>4.4696527999999995</v>
      </c>
      <c r="CG84" s="261">
        <v>5.1749865833333288</v>
      </c>
      <c r="CH84" s="261">
        <v>0.60221363333333311</v>
      </c>
      <c r="CI84" s="261">
        <v>0.64480575000000029</v>
      </c>
      <c r="CJ84" s="261">
        <v>0.81990478333333328</v>
      </c>
      <c r="CK84" s="261">
        <v>0.72478804999999868</v>
      </c>
      <c r="CL84" s="261">
        <v>29.729337105901458</v>
      </c>
      <c r="CM84" s="261">
        <v>28.241559485530548</v>
      </c>
      <c r="CN84" s="261">
        <v>42.334820533548942</v>
      </c>
      <c r="CO84" s="261">
        <v>39.881704983922852</v>
      </c>
      <c r="CP84" s="261">
        <v>78.556572352465622</v>
      </c>
      <c r="CQ84" s="261">
        <v>84.073553054662213</v>
      </c>
      <c r="CR84" s="261">
        <v>6.7890056588520611E-2</v>
      </c>
      <c r="CS84" s="261">
        <v>0.20257234726688103</v>
      </c>
      <c r="CT84" s="261">
        <v>1.1323654001616803</v>
      </c>
      <c r="CU84" s="261">
        <v>0.93926045016077098</v>
      </c>
      <c r="CV84" s="261">
        <v>3.5430000000000001</v>
      </c>
      <c r="CW84" s="261">
        <v>3.8610000000000002</v>
      </c>
      <c r="CX84" s="204">
        <f>IFERROR(AVERAGEIF(RD[[#This Row],[IS1POA1 (KWh/m2)]:[IS7POA2 (KWh/m2)]],"&lt;&gt;0",RD[[#This Row],[IS1POA1 (KWh/m2)]:[IS7POA2 (KWh/m2)]]),"")</f>
        <v>5.4328894500000029</v>
      </c>
      <c r="CY84" s="204">
        <f>IFERROR(AVERAGEIF(RD[[#This Row],[IS1GHI1 (KWh/m2)]:[IS7GHI2 (KWh/m2)]],"&lt;&gt;0",RD[[#This Row],[IS1GHI1 (KWh/m2)]:[IS7GHI2 (KWh/m2)]]),"")</f>
        <v>4.8223196916666637</v>
      </c>
      <c r="CZ84" s="204">
        <f>IFERROR(AVERAGEIF(RD[[#This Row],[IS1POA_BS1 (KWh/m2)]:[IS7POA_BS2 (KWh/m2)]],"&lt;&gt;0",RD[[#This Row],[IS1POA_BS1 (KWh/m2)]:[IS7POA_BS2 (KWh/m2)]]),"")</f>
        <v>0.6235096916666667</v>
      </c>
      <c r="DA84" s="204">
        <f>IFERROR(AVERAGEIF(RD[[#This Row],[IS1GHI_BS1 (KWh/m2)]:[IS1GHI_BS1 (KWh/m2)2]],"&lt;&gt;0",RD[[#This Row],[IS1GHI_BS1 (KWh/m2)]:[IS1GHI_BS1 (KWh/m2)2]]),"")</f>
        <v>0.77234641666666604</v>
      </c>
      <c r="DB84" s="204">
        <f>IFERROR(AVERAGEIF(RD[[#This Row],[IS1AT1 (°C)]:[IS7AT2 (°C)]],"&lt;&gt;0",RD[[#This Row],[IS1AT1 (°C)]:[IS7AT2 (°C)]]),"")</f>
        <v>28.985448295716004</v>
      </c>
      <c r="DC84" s="204">
        <f>IFERROR(AVERAGEIF(RD[[#This Row],[IS1MT1 (°C)]:[IS7MT2 (°C)]],"&lt;&gt;0",RD[[#This Row],[IS1MT1 (°C)]:[IS7MT2 (°C)]]),"")</f>
        <v>41.108262758735897</v>
      </c>
      <c r="DD84" s="204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204">
        <f>IFERROR(AVERAGEIF(RD[[#This Row],[WS_Solar1_Avg (m/s)]:[IS7_WS_Solar1_Avg (m/s)]],"&lt;&gt;0",RD[[#This Row],[WS_Solar1_Avg (m/s)]:[IS7_WS_Solar1_Avg (m/s)]]),"")</f>
        <v>1.0358129251612256</v>
      </c>
      <c r="DG84" s="204">
        <f>IFERROR(AVERAGEIF(RD[[#This Row],[WS_Solar1_Max (m/s)]:[IS7_WS_Solar1_Max (m/s)]],"&lt;&gt;0",RD[[#This Row],[WS_Solar1_Max (m/s)]:[IS7_WS_Solar1_Max (m/s)]]),"")</f>
        <v>3.702</v>
      </c>
      <c r="DH84" s="204">
        <f>SUM(RD[[#This Row],[IS1Inv1M1]:[IS4Inv4M2]])</f>
        <v>207285.80000000002</v>
      </c>
      <c r="DI84" s="205">
        <f>SUM(RD[[#This Row],[IS7Inv1M1]]+RD[[#This Row],[IS7Inv2M1]])</f>
        <v>12014.7</v>
      </c>
      <c r="DJ84" s="204">
        <f>SUM(RD[[#This Row],[IS5Inv1M1]:[IS5Inv2M2]])</f>
        <v>30643.499999999996</v>
      </c>
      <c r="DK84" s="204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86">
        <f>SUM(RD[[#This Row],[IS12Inv1M1]:[IS12Inv1M4]])</f>
        <v>24681.300000000003</v>
      </c>
      <c r="DO84" s="286">
        <f>SUM(RD[[#This Row],[IS13Inv1M1]:[IS13Inv2M2]])</f>
        <v>27900.100000000002</v>
      </c>
      <c r="DP84" s="204">
        <f>SUM(RD[[#This Row],[O2R15]:[O2R26]])</f>
        <v>494068.39999999997</v>
      </c>
      <c r="DQ84" s="164">
        <v>43614</v>
      </c>
      <c r="DR84" s="168">
        <v>221</v>
      </c>
      <c r="DS84" s="164">
        <v>38034.699999999997</v>
      </c>
      <c r="DT84" s="164">
        <v>233.5</v>
      </c>
      <c r="DU84" s="168">
        <v>44724.5</v>
      </c>
      <c r="DV84" s="168">
        <v>421.6</v>
      </c>
      <c r="DW84" s="164">
        <v>10344.200000000001</v>
      </c>
      <c r="DX84" s="168">
        <v>52.3</v>
      </c>
      <c r="DY84" s="168">
        <v>2249.5</v>
      </c>
      <c r="DZ84" s="168">
        <v>8.3000000000000007</v>
      </c>
      <c r="EA84" s="140">
        <v>102.94</v>
      </c>
      <c r="EB84" s="241">
        <v>142667268</v>
      </c>
      <c r="EC84" s="240">
        <v>1002321.216</v>
      </c>
      <c r="ED84" s="241">
        <v>1205</v>
      </c>
      <c r="EE84" s="241">
        <v>136898</v>
      </c>
      <c r="EF84" s="164">
        <v>197815.5</v>
      </c>
      <c r="EG84" s="164">
        <v>1946.1</v>
      </c>
      <c r="EH84" s="146">
        <f>IF((RD[[#This Row],[33 kV_F3_Ex
Incomer1]]-DQ83)*1000&lt;0,0,(RD[[#This Row],[33 kV_F3_Ex
Incomer1]]-DQ83)*1000)</f>
        <v>106900.00000000146</v>
      </c>
      <c r="EI84" s="146">
        <f>IF((RD[[#This Row],[34 kV_F3_Im
Incomer1]]-DR83)*1000&lt;0,0,(RD[[#This Row],[34 kV_F3_Im
Incomer1]]-DR83)*1000)</f>
        <v>400.00000000000568</v>
      </c>
      <c r="EJ84" s="146">
        <f>IF((RD[[#This Row],[33 kV_F4_Ex
Incomer2]]-DS83)*1000&lt;0,0,(RD[[#This Row],[33 kV_F4_Ex
Incomer2]]-DS83)*1000)</f>
        <v>96699.99999999709</v>
      </c>
      <c r="EK84" s="146">
        <f>IF((RD[[#This Row],[34 kV_F4_Im
Incomer2]]-DT83)*1000&lt;0,0,(RD[[#This Row],[34 kV_F4_Im
Incomer2]]-DT83)*1000)</f>
        <v>400.00000000000568</v>
      </c>
      <c r="EL84" s="146">
        <f>IF((RD[[#This Row],[33 kV_F5_Ex
Incomer3]]-DU83)*1000&lt;0,0,(RD[[#This Row],[33 kV_F5_Ex
Incomer3]]-DU83)*1000)</f>
        <v>130400.00000000146</v>
      </c>
      <c r="EM84" s="146">
        <f>IF((RD[[#This Row],[34 kV_F5_Im
Incomer3]]-DV83)*1000&lt;0,0,(RD[[#This Row],[34 kV_F5_Im
Incomer3]]-DV83)*1000)</f>
        <v>1300.0000000000114</v>
      </c>
      <c r="EN84" s="146">
        <f>IF((RD[[#This Row],[33 kV_F6_Ex
Incomer4]]-DW83)*1000&lt;0,0,(RD[[#This Row],[33 kV_F6_Ex
Incomer4]]-DW83)*1000)</f>
        <v>11300.000000001091</v>
      </c>
      <c r="EO84" s="146">
        <f t="shared" si="166"/>
        <v>300.00000000001137</v>
      </c>
      <c r="EP84" s="146">
        <f>IF((RD[[#This Row],[33 kV_F7_Ex
Incomer5]]-DY83)*1000&lt;0,0,(RD[[#This Row],[33 kV_F7_Ex
Incomer5]]-DY83)*1000)</f>
        <v>121400.00000000009</v>
      </c>
      <c r="EQ84" s="146">
        <f>IF((RD[[#This Row],[33 kV_F7_Im
Incomer5]]-DZ83)*1000&lt;0,0,(RD[[#This Row],[33 kV_F7_Im
Incomer5]]-DZ83)*1000)</f>
        <v>700.00000000000102</v>
      </c>
      <c r="ER84" s="146">
        <f>IF((RD[[#This Row],[33 kV_Aux Trafo]]-EA83)*1000&lt;0,0,(RD[[#This Row],[33 kV_Aux Trafo]]-EA83)*1000)</f>
        <v>259.99999999999091</v>
      </c>
      <c r="ES84" s="158">
        <f>IF((RD[[#This Row],[33kV_OG1_Ex_]]-EB83)*1&lt;0,0,(RD[[#This Row],[33kV_OG1_Ex_]]-EB83)*1)</f>
        <v>488309</v>
      </c>
      <c r="ET84" s="146">
        <f>IF((RD[[#This Row],[33kV_OG1_Im]]-EC83)*1&lt;0,0,(RD[[#This Row],[33kV_OG1_Im]]-EC83)*1)</f>
        <v>3130.048000000068</v>
      </c>
      <c r="EU84" s="146">
        <f>IF((RD[[#This Row],[132kV_TX1_EX]]-ED83)*720&lt;=0,"",(RD[[#This Row],[132kV_TX1_EX]]-ED83)*720)</f>
        <v>2880</v>
      </c>
      <c r="EV84" s="146">
        <f>IF((RD[[#This Row],[132 kV_Tx1_Im]]-EE83)*720&lt;=0,0,(RD[[#This Row],[132 kV_Tx1_Im]]-EE83)*720)</f>
        <v>350640</v>
      </c>
      <c r="EW84" s="146">
        <f>IF((RD[[#This Row],[132kV_L1_Ex]]-EF83)*720&lt;=0,0,(RD[[#This Row],[132kV_L1_Ex]]-EF83)*720)</f>
        <v>486792.00000000419</v>
      </c>
      <c r="EX84" s="146">
        <f>IF((RD[[#This Row],[132kV_L1_Im]]-EG83)*720&lt;=0,0,(RD[[#This Row],[132kV_L1_Im]]-EG83)*720)</f>
        <v>3671.9999999999345</v>
      </c>
      <c r="EY84" s="242">
        <f>IFERROR(RD[[#This Row],[33kV_OG1_Ex (MWh)]]+RD[[#This Row],[33kV_OG1_Im (MWh)]],"")</f>
        <v>491439.04800000007</v>
      </c>
      <c r="EZ84" s="148">
        <f>RD[[#This Row],[33kV_OG1_Ex (MWh)]]-RD[[#This Row],[33kV_OG1_Im (MWh)]]</f>
        <v>485178.95199999993</v>
      </c>
      <c r="FA84" s="148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43">
        <f>IFERROR((RD[[#This Row],[Sunset Time (POA&lt;20 W/m2)]]-RD[[#This Row],[Sunrise Time (POA&gt;20 W/m2)]])*24,0)</f>
        <v>12.899999999999999</v>
      </c>
      <c r="FD84" s="244">
        <v>122.7</v>
      </c>
      <c r="FE84" s="303" t="s">
        <v>300</v>
      </c>
      <c r="FG84" s="144" t="str">
        <f>IFERROR(RD[[#This Row],[E_AC (WPR)]]/RD[[#This Row],[E_DC (WPR)]],"")</f>
        <v/>
      </c>
    </row>
    <row r="85" spans="1:163">
      <c r="A85" s="133">
        <f t="shared" si="161"/>
        <v>45825</v>
      </c>
      <c r="B85" s="138">
        <f>YEAR(RD[[#This Row],[Date]])+IF(MONTH(RD[[#This Row],[Date]])&gt;=4,1,0)</f>
        <v>2026</v>
      </c>
      <c r="C85" s="138">
        <f>YEAR(RD[[#This Row],[Date]])</f>
        <v>2025</v>
      </c>
      <c r="D85" s="139">
        <f t="shared" si="165"/>
        <v>45809</v>
      </c>
      <c r="E85" s="138">
        <f>DAY(EOMONTH(RD[[#This Row],[Date]],0))</f>
        <v>30</v>
      </c>
      <c r="F85" s="152">
        <v>0.25763888888888886</v>
      </c>
      <c r="G85" s="162">
        <v>0.78402777777777777</v>
      </c>
      <c r="H85" s="124">
        <v>7829</v>
      </c>
      <c r="I85" s="268">
        <v>7899.7</v>
      </c>
      <c r="J85" s="124">
        <v>7589.5</v>
      </c>
      <c r="K85" s="124">
        <v>7418.4</v>
      </c>
      <c r="L85" s="124">
        <v>7520.1</v>
      </c>
      <c r="M85" s="124">
        <v>7726.1</v>
      </c>
      <c r="N85" s="124">
        <v>7649.7</v>
      </c>
      <c r="O85" s="124">
        <v>8123.5</v>
      </c>
      <c r="P85" s="124">
        <v>7786.6</v>
      </c>
      <c r="Q85" s="124">
        <v>7569.6</v>
      </c>
      <c r="R85" s="124">
        <v>7878.5</v>
      </c>
      <c r="S85" s="266">
        <v>7941.7</v>
      </c>
      <c r="T85" s="124">
        <v>8302.7999999999993</v>
      </c>
      <c r="U85" s="124">
        <v>8170.6</v>
      </c>
      <c r="V85" s="124">
        <v>8080.4</v>
      </c>
      <c r="W85" s="124">
        <v>7885.2</v>
      </c>
      <c r="X85" s="266">
        <v>11189.2</v>
      </c>
      <c r="Y85" s="203">
        <v>12049.6</v>
      </c>
      <c r="Z85" s="203">
        <v>10808.5</v>
      </c>
      <c r="AA85" s="203">
        <v>11624.6</v>
      </c>
      <c r="AB85" s="266">
        <v>12117.2</v>
      </c>
      <c r="AC85" s="203">
        <v>7745.3</v>
      </c>
      <c r="AD85" s="203">
        <v>11790.6</v>
      </c>
      <c r="AE85" s="203">
        <v>11595.5</v>
      </c>
      <c r="AF85" s="266">
        <v>11463.6</v>
      </c>
      <c r="AG85" s="203">
        <v>11430</v>
      </c>
      <c r="AH85" s="203">
        <v>11599.8</v>
      </c>
      <c r="AI85" s="266">
        <v>11622.2</v>
      </c>
      <c r="AJ85" s="203">
        <v>8368.6</v>
      </c>
      <c r="AK85" s="266">
        <v>8592.1</v>
      </c>
      <c r="AL85" s="203">
        <v>8402.4</v>
      </c>
      <c r="AM85" s="266">
        <v>8517.5</v>
      </c>
      <c r="AN85" s="203">
        <v>8435.1</v>
      </c>
      <c r="AO85" s="266">
        <v>8771.2000000000007</v>
      </c>
      <c r="AP85" s="203">
        <v>8623.1</v>
      </c>
      <c r="AQ85" s="266">
        <v>8563.7999999999993</v>
      </c>
      <c r="AR85" s="203">
        <v>6859.8</v>
      </c>
      <c r="AS85" s="266">
        <v>6918.6</v>
      </c>
      <c r="AT85" s="203">
        <v>6784.2</v>
      </c>
      <c r="AU85" s="266">
        <v>6779.4</v>
      </c>
      <c r="AV85" s="203">
        <v>6895</v>
      </c>
      <c r="AW85" s="203">
        <v>6896.2</v>
      </c>
      <c r="AX85" s="203">
        <v>9750.2999999999993</v>
      </c>
      <c r="AY85" s="203">
        <v>10715.1</v>
      </c>
      <c r="AZ85" s="203">
        <v>8070.5</v>
      </c>
      <c r="BA85" s="203">
        <v>9646.7999999999993</v>
      </c>
      <c r="BB85" s="203">
        <v>9044.5</v>
      </c>
      <c r="BC85" s="203">
        <v>8769.6</v>
      </c>
      <c r="BD85" s="203">
        <v>9427.6</v>
      </c>
      <c r="BE85" s="203">
        <v>10323.200000000001</v>
      </c>
      <c r="BF85" s="203">
        <v>11031.6</v>
      </c>
      <c r="BG85" s="203">
        <v>11055.6</v>
      </c>
      <c r="BH85" s="203">
        <v>10841.1</v>
      </c>
      <c r="BI85" s="203">
        <v>11208.8</v>
      </c>
      <c r="BJ85" s="203">
        <v>7584.6</v>
      </c>
      <c r="BK85" s="203">
        <v>6087.5</v>
      </c>
      <c r="BL85" s="203">
        <v>7178.9</v>
      </c>
      <c r="BM85" s="203">
        <v>6087.5</v>
      </c>
      <c r="BN85" s="203">
        <v>7686</v>
      </c>
      <c r="BO85" s="203">
        <v>7359</v>
      </c>
      <c r="BP85" s="203">
        <v>7880.3</v>
      </c>
      <c r="BQ85" s="203">
        <v>7904.9</v>
      </c>
      <c r="BR85" s="203">
        <v>8782.1</v>
      </c>
      <c r="BS85" s="203">
        <v>9057.6</v>
      </c>
      <c r="BT85" s="203">
        <v>8568.2999999999993</v>
      </c>
      <c r="BU85" s="203">
        <v>9212.5</v>
      </c>
      <c r="BV85" s="203"/>
      <c r="BW85" s="203"/>
      <c r="BX85" s="203"/>
      <c r="BY85" s="203"/>
      <c r="BZ85" s="203">
        <v>1233.9000000000001</v>
      </c>
      <c r="CA85" s="203">
        <v>1045</v>
      </c>
      <c r="CB85" s="203">
        <v>4770</v>
      </c>
      <c r="CC85" s="203">
        <v>7784.4</v>
      </c>
      <c r="CD85" s="261">
        <v>6.9962027333333277</v>
      </c>
      <c r="CE85" s="261">
        <v>5.6715885500000072</v>
      </c>
      <c r="CF85" s="261">
        <v>5.6283849500000018</v>
      </c>
      <c r="CG85" s="261">
        <v>5.8647795000000018</v>
      </c>
      <c r="CH85" s="261">
        <v>0.75191903333333265</v>
      </c>
      <c r="CI85" s="261">
        <v>0.77415861666666708</v>
      </c>
      <c r="CJ85" s="261">
        <v>1.0799913833333323</v>
      </c>
      <c r="CK85" s="261">
        <v>0.87412676666666655</v>
      </c>
      <c r="CL85" s="261">
        <v>30.48822847682122</v>
      </c>
      <c r="CM85" s="261">
        <v>30.158538587848902</v>
      </c>
      <c r="CN85" s="261">
        <v>44.885300496688764</v>
      </c>
      <c r="CO85" s="261">
        <v>41.15810016420361</v>
      </c>
      <c r="CP85" s="261">
        <v>62.429478476821309</v>
      </c>
      <c r="CQ85" s="261">
        <v>65.81847290640394</v>
      </c>
      <c r="CR85" s="261">
        <v>0</v>
      </c>
      <c r="CS85" s="261">
        <v>1.9704433497536932E-2</v>
      </c>
      <c r="CT85" s="261">
        <v>1.6341953642384108</v>
      </c>
      <c r="CU85" s="261">
        <v>1.573842364532019</v>
      </c>
      <c r="CV85" s="261">
        <v>4.6379999999999999</v>
      </c>
      <c r="CW85" s="261">
        <v>4.1189999999999998</v>
      </c>
      <c r="CX85" s="204">
        <f>IFERROR(AVERAGEIF(RD[[#This Row],[IS1POA1 (KWh/m2)]:[IS7POA2 (KWh/m2)]],"&lt;&gt;0",RD[[#This Row],[IS1POA1 (KWh/m2)]:[IS7POA2 (KWh/m2)]]),"")</f>
        <v>6.3338956416666674</v>
      </c>
      <c r="CY85" s="204">
        <f>IFERROR(AVERAGEIF(RD[[#This Row],[IS1GHI1 (KWh/m2)]:[IS7GHI2 (KWh/m2)]],"&lt;&gt;0",RD[[#This Row],[IS1GHI1 (KWh/m2)]:[IS7GHI2 (KWh/m2)]]),"")</f>
        <v>5.7465822250000018</v>
      </c>
      <c r="CZ85" s="204">
        <f>IFERROR(AVERAGEIF(RD[[#This Row],[IS1POA_BS1 (KWh/m2)]:[IS7POA_BS2 (KWh/m2)]],"&lt;&gt;0",RD[[#This Row],[IS1POA_BS1 (KWh/m2)]:[IS7POA_BS2 (KWh/m2)]]),"")</f>
        <v>0.76303882499999987</v>
      </c>
      <c r="DA85" s="204">
        <f>IFERROR(AVERAGEIF(RD[[#This Row],[IS1GHI_BS1 (KWh/m2)]:[IS1GHI_BS1 (KWh/m2)2]],"&lt;&gt;0",RD[[#This Row],[IS1GHI_BS1 (KWh/m2)]:[IS1GHI_BS1 (KWh/m2)2]]),"")</f>
        <v>0.97705907499999944</v>
      </c>
      <c r="DB85" s="204">
        <f>IFERROR(AVERAGEIF(RD[[#This Row],[IS1AT1 (°C)]:[IS7AT2 (°C)]],"&lt;&gt;0",RD[[#This Row],[IS1AT1 (°C)]:[IS7AT2 (°C)]]),"")</f>
        <v>30.323383532335061</v>
      </c>
      <c r="DC85" s="204">
        <f>IFERROR(AVERAGEIF(RD[[#This Row],[IS1MT1 (°C)]:[IS7MT2 (°C)]],"&lt;&gt;0",RD[[#This Row],[IS1MT1 (°C)]:[IS7MT2 (°C)]]),"")</f>
        <v>43.021700330446187</v>
      </c>
      <c r="DD85" s="204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204">
        <f>IFERROR(AVERAGEIF(RD[[#This Row],[WS_Solar1_Avg (m/s)]:[IS7_WS_Solar1_Avg (m/s)]],"&lt;&gt;0",RD[[#This Row],[WS_Solar1_Avg (m/s)]:[IS7_WS_Solar1_Avg (m/s)]]),"")</f>
        <v>1.6040188643852149</v>
      </c>
      <c r="DG85" s="204">
        <f>IFERROR(AVERAGEIF(RD[[#This Row],[WS_Solar1_Max (m/s)]:[IS7_WS_Solar1_Max (m/s)]],"&lt;&gt;0",RD[[#This Row],[WS_Solar1_Max (m/s)]:[IS7_WS_Solar1_Max (m/s)]]),"")</f>
        <v>4.3784999999999998</v>
      </c>
      <c r="DH85" s="204">
        <f>SUM(RD[[#This Row],[IS1Inv1M1]:[IS4Inv4M2]])</f>
        <v>260407.50000000003</v>
      </c>
      <c r="DI85" s="205">
        <f>SUM(RD[[#This Row],[IS7Inv1M1]]+RD[[#This Row],[IS7Inv2M1]])</f>
        <v>13778.400000000001</v>
      </c>
      <c r="DJ85" s="204">
        <f>SUM(RD[[#This Row],[IS5Inv1M1]:[IS5Inv2M2]])</f>
        <v>33880.6</v>
      </c>
      <c r="DK85" s="204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86">
        <f>SUM(RD[[#This Row],[IS12Inv1M1]:[IS12Inv1M4]])</f>
        <v>30830.199999999997</v>
      </c>
      <c r="DO85" s="286">
        <f>SUM(RD[[#This Row],[IS13Inv1M1]:[IS13Inv2M2]])</f>
        <v>35620.5</v>
      </c>
      <c r="DP85" s="204">
        <f>SUM(RD[[#This Row],[O2R15]:[O2R26]])</f>
        <v>597921.69999999995</v>
      </c>
      <c r="DQ85" s="164">
        <v>43748</v>
      </c>
      <c r="DR85" s="168">
        <v>221.4</v>
      </c>
      <c r="DS85" s="164">
        <v>38156</v>
      </c>
      <c r="DT85" s="164">
        <v>233.8</v>
      </c>
      <c r="DU85" s="168">
        <v>44870.3</v>
      </c>
      <c r="DV85" s="168">
        <v>422.9</v>
      </c>
      <c r="DW85" s="164">
        <v>10359</v>
      </c>
      <c r="DX85" s="168">
        <v>52.6</v>
      </c>
      <c r="DY85" s="168">
        <v>2397.9</v>
      </c>
      <c r="DZ85" s="168">
        <v>9.1</v>
      </c>
      <c r="EA85" s="140">
        <v>103.22</v>
      </c>
      <c r="EB85" s="241">
        <v>143257403</v>
      </c>
      <c r="EC85" s="240">
        <v>1005652.224</v>
      </c>
      <c r="ED85" s="241">
        <v>1209</v>
      </c>
      <c r="EE85" s="241">
        <v>137486</v>
      </c>
      <c r="EF85" s="164">
        <v>198632.4</v>
      </c>
      <c r="EG85" s="164">
        <v>1951.4</v>
      </c>
      <c r="EH85" s="146">
        <f>IF((RD[[#This Row],[33 kV_F3_Ex
Incomer1]]-DQ84)*1000&lt;0,0,(RD[[#This Row],[33 kV_F3_Ex
Incomer1]]-DQ84)*1000)</f>
        <v>134000</v>
      </c>
      <c r="EI85" s="146">
        <f>IF((RD[[#This Row],[34 kV_F3_Im
Incomer1]]-DR84)*1000&lt;0,0,(RD[[#This Row],[34 kV_F3_Im
Incomer1]]-DR84)*1000)</f>
        <v>400.00000000000568</v>
      </c>
      <c r="EJ85" s="146">
        <f>IF((RD[[#This Row],[33 kV_F4_Ex
Incomer2]]-DS84)*1000&lt;0,0,(RD[[#This Row],[33 kV_F4_Ex
Incomer2]]-DS84)*1000)</f>
        <v>121300.00000000291</v>
      </c>
      <c r="EK85" s="146">
        <f>IF((RD[[#This Row],[34 kV_F4_Im
Incomer2]]-DT84)*1000&lt;0,0,(RD[[#This Row],[34 kV_F4_Im
Incomer2]]-DT84)*1000)</f>
        <v>300.00000000001137</v>
      </c>
      <c r="EL85" s="146">
        <f>IF((RD[[#This Row],[33 kV_F5_Ex
Incomer3]]-DU84)*1000&lt;0,0,(RD[[#This Row],[33 kV_F5_Ex
Incomer3]]-DU84)*1000)</f>
        <v>145800.00000000291</v>
      </c>
      <c r="EM85" s="146">
        <f>IF((RD[[#This Row],[34 kV_F5_Im
Incomer3]]-DV84)*1000&lt;0,0,(RD[[#This Row],[34 kV_F5_Im
Incomer3]]-DV84)*1000)</f>
        <v>1299.9999999999545</v>
      </c>
      <c r="EN85" s="146">
        <f>IF((RD[[#This Row],[33 kV_F6_Ex
Incomer4]]-DW84)*1000&lt;0,0,(RD[[#This Row],[33 kV_F6_Ex
Incomer4]]-DW84)*1000)</f>
        <v>14799.999999999272</v>
      </c>
      <c r="EO85" s="146">
        <f t="shared" si="166"/>
        <v>500</v>
      </c>
      <c r="EP85" s="146">
        <f>IF((RD[[#This Row],[33 kV_F7_Ex
Incomer5]]-DY84)*1000&lt;0,0,(RD[[#This Row],[33 kV_F7_Ex
Incomer5]]-DY84)*1000)</f>
        <v>148400.00000000009</v>
      </c>
      <c r="EQ85" s="146">
        <f>IF((RD[[#This Row],[33 kV_F7_Im
Incomer5]]-DZ84)*1000&lt;0,0,(RD[[#This Row],[33 kV_F7_Im
Incomer5]]-DZ84)*1000)</f>
        <v>799.99999999999898</v>
      </c>
      <c r="ER85" s="146">
        <f>IF((RD[[#This Row],[33 kV_Aux Trafo]]-EA84)*1000&lt;0,0,(RD[[#This Row],[33 kV_Aux Trafo]]-EA84)*1000)</f>
        <v>280.00000000000114</v>
      </c>
      <c r="ES85" s="158">
        <f>IF((RD[[#This Row],[33kV_OG1_Ex_]]-EB84)*1&lt;0,0,(RD[[#This Row],[33kV_OG1_Ex_]]-EB84)*1)</f>
        <v>590135</v>
      </c>
      <c r="ET85" s="146">
        <f>IF((RD[[#This Row],[33kV_OG1_Im]]-EC84)*1&lt;0,0,(RD[[#This Row],[33kV_OG1_Im]]-EC84)*1)</f>
        <v>3331.0080000000307</v>
      </c>
      <c r="EU85" s="146">
        <f>IF((RD[[#This Row],[132kV_TX1_EX]]-ED84)*720&lt;=0,"",(RD[[#This Row],[132kV_TX1_EX]]-ED84)*720)</f>
        <v>2880</v>
      </c>
      <c r="EV85" s="146">
        <f>IF((RD[[#This Row],[132 kV_Tx1_Im]]-EE84)*720&lt;=0,0,(RD[[#This Row],[132 kV_Tx1_Im]]-EE84)*720)</f>
        <v>423360</v>
      </c>
      <c r="EW85" s="146">
        <f>IF((RD[[#This Row],[132kV_L1_Ex]]-EF84)*720&lt;=0,0,(RD[[#This Row],[132kV_L1_Ex]]-EF84)*720)</f>
        <v>588167.99999999581</v>
      </c>
      <c r="EX85" s="146">
        <f>IF((RD[[#This Row],[132kV_L1_Im]]-EG84)*720&lt;=0,0,(RD[[#This Row],[132kV_L1_Im]]-EG84)*720)</f>
        <v>3816.000000000131</v>
      </c>
      <c r="EY85" s="242">
        <f>IFERROR(RD[[#This Row],[33kV_OG1_Ex (MWh)]]+RD[[#This Row],[33kV_OG1_Im (MWh)]],"")</f>
        <v>593466.00800000003</v>
      </c>
      <c r="EZ85" s="148">
        <f>RD[[#This Row],[33kV_OG1_Ex (MWh)]]-RD[[#This Row],[33kV_OG1_Im (MWh)]]</f>
        <v>586803.99199999997</v>
      </c>
      <c r="FA85" s="148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43">
        <f>IFERROR((RD[[#This Row],[Sunset Time (POA&lt;20 W/m2)]]-RD[[#This Row],[Sunrise Time (POA&gt;20 W/m2)]])*24,0)</f>
        <v>12.633333333333333</v>
      </c>
      <c r="FD85" s="244">
        <v>122.7</v>
      </c>
      <c r="FE85" t="s">
        <v>294</v>
      </c>
      <c r="FG85" s="144" t="str">
        <f>IFERROR(RD[[#This Row],[E_AC (WPR)]]/RD[[#This Row],[E_DC (WPR)]],"")</f>
        <v/>
      </c>
    </row>
    <row r="86" spans="1:163">
      <c r="A86" s="133">
        <f t="shared" si="161"/>
        <v>45826</v>
      </c>
      <c r="B86" s="138">
        <f>YEAR(RD[[#This Row],[Date]])+IF(MONTH(RD[[#This Row],[Date]])&gt;=4,1,0)</f>
        <v>2026</v>
      </c>
      <c r="C86" s="138">
        <f>YEAR(RD[[#This Row],[Date]])</f>
        <v>2025</v>
      </c>
      <c r="D86" s="139">
        <f t="shared" si="165"/>
        <v>45809</v>
      </c>
      <c r="E86" s="138">
        <f>DAY(EOMONTH(RD[[#This Row],[Date]],0))</f>
        <v>30</v>
      </c>
      <c r="F86" s="152">
        <v>0.25416666666666665</v>
      </c>
      <c r="G86" s="162">
        <v>0.77430555555555558</v>
      </c>
      <c r="H86" s="124">
        <v>5006.2</v>
      </c>
      <c r="I86" s="268">
        <v>4981.3999999999996</v>
      </c>
      <c r="J86" s="124">
        <v>4689.8999999999996</v>
      </c>
      <c r="K86" s="124">
        <v>4720.3</v>
      </c>
      <c r="L86" s="124">
        <v>4878.1000000000004</v>
      </c>
      <c r="M86" s="124">
        <v>4995.8999999999996</v>
      </c>
      <c r="N86" s="124">
        <v>4846.8999999999996</v>
      </c>
      <c r="O86" s="124">
        <v>5341.9</v>
      </c>
      <c r="P86" s="124">
        <v>4989</v>
      </c>
      <c r="Q86" s="124">
        <v>4840.8999999999996</v>
      </c>
      <c r="R86" s="124">
        <v>5038.7</v>
      </c>
      <c r="S86" s="266">
        <v>5079.1000000000004</v>
      </c>
      <c r="T86" s="124">
        <v>5310.2</v>
      </c>
      <c r="U86" s="124">
        <v>5127.8</v>
      </c>
      <c r="V86" s="124">
        <v>5170.6000000000004</v>
      </c>
      <c r="W86" s="124">
        <v>4951.7</v>
      </c>
      <c r="X86" s="266">
        <v>7030.6</v>
      </c>
      <c r="Y86" s="203">
        <v>7920.7</v>
      </c>
      <c r="Z86" s="203">
        <v>6801.4</v>
      </c>
      <c r="AA86" s="203">
        <v>7132.1</v>
      </c>
      <c r="AB86" s="266">
        <v>7731.7</v>
      </c>
      <c r="AC86" s="203">
        <v>4722.8</v>
      </c>
      <c r="AD86" s="203">
        <v>7212</v>
      </c>
      <c r="AE86" s="203">
        <v>7349.3</v>
      </c>
      <c r="AF86" s="266">
        <v>7127.1</v>
      </c>
      <c r="AG86" s="203">
        <v>7119.5</v>
      </c>
      <c r="AH86" s="203">
        <v>7095.5</v>
      </c>
      <c r="AI86" s="266">
        <v>7153.5</v>
      </c>
      <c r="AJ86" s="203">
        <v>6012.1</v>
      </c>
      <c r="AK86" s="266">
        <v>6181</v>
      </c>
      <c r="AL86" s="203">
        <v>6063</v>
      </c>
      <c r="AM86" s="266">
        <v>6147.4</v>
      </c>
      <c r="AN86" s="203">
        <v>6029.9</v>
      </c>
      <c r="AO86" s="266">
        <v>6226</v>
      </c>
      <c r="AP86" s="203">
        <v>6094.8</v>
      </c>
      <c r="AQ86" s="266">
        <v>6055.7</v>
      </c>
      <c r="AR86" s="203">
        <v>4832.6000000000004</v>
      </c>
      <c r="AS86" s="266">
        <v>4870.8</v>
      </c>
      <c r="AT86" s="203">
        <v>4893.7</v>
      </c>
      <c r="AU86" s="266">
        <v>4897.5</v>
      </c>
      <c r="AV86" s="203">
        <v>4992.3</v>
      </c>
      <c r="AW86" s="203">
        <v>4926.3999999999996</v>
      </c>
      <c r="AX86" s="203">
        <v>6872</v>
      </c>
      <c r="AY86" s="203">
        <v>7721.2</v>
      </c>
      <c r="AZ86" s="203">
        <v>5616.4</v>
      </c>
      <c r="BA86" s="203">
        <v>6799.8</v>
      </c>
      <c r="BB86" s="203">
        <v>6695.4</v>
      </c>
      <c r="BC86" s="203">
        <v>6424.7</v>
      </c>
      <c r="BD86" s="203">
        <v>5996.9</v>
      </c>
      <c r="BE86" s="203">
        <v>6578.3</v>
      </c>
      <c r="BF86" s="203">
        <v>7152.4</v>
      </c>
      <c r="BG86" s="203">
        <v>7135.1</v>
      </c>
      <c r="BH86" s="203">
        <v>6924.8</v>
      </c>
      <c r="BI86" s="203">
        <v>7200.3</v>
      </c>
      <c r="BJ86" s="203">
        <v>4645.1000000000004</v>
      </c>
      <c r="BK86" s="203">
        <v>3687.7</v>
      </c>
      <c r="BL86" s="203">
        <v>4313.2</v>
      </c>
      <c r="BM86" s="203">
        <v>3687.7</v>
      </c>
      <c r="BN86" s="203">
        <v>4924.8</v>
      </c>
      <c r="BO86" s="203">
        <v>4589.8</v>
      </c>
      <c r="BP86" s="203">
        <v>5089.7</v>
      </c>
      <c r="BQ86" s="203">
        <v>5104.1000000000004</v>
      </c>
      <c r="BR86" s="203">
        <v>5362</v>
      </c>
      <c r="BS86" s="203">
        <v>5532.1</v>
      </c>
      <c r="BT86" s="203">
        <v>5230.7</v>
      </c>
      <c r="BU86" s="203">
        <v>5642.9</v>
      </c>
      <c r="BV86" s="203">
        <v>121</v>
      </c>
      <c r="BW86" s="203">
        <v>44</v>
      </c>
      <c r="BX86" s="203">
        <v>21</v>
      </c>
      <c r="BY86" s="203">
        <v>33</v>
      </c>
      <c r="BZ86" s="203">
        <v>690.4</v>
      </c>
      <c r="CA86" s="203">
        <v>575.5</v>
      </c>
      <c r="CB86" s="203">
        <v>2842.7</v>
      </c>
      <c r="CC86" s="203">
        <v>4742.7</v>
      </c>
      <c r="CD86" s="261">
        <v>4.1243214333333285</v>
      </c>
      <c r="CE86" s="261">
        <v>3.7579417499999987</v>
      </c>
      <c r="CF86" s="261">
        <v>3.2680838166666657</v>
      </c>
      <c r="CG86" s="261">
        <v>3.8209683166666659</v>
      </c>
      <c r="CH86" s="261">
        <v>0.44054498333333375</v>
      </c>
      <c r="CI86" s="261">
        <v>0.53942839999999992</v>
      </c>
      <c r="CJ86" s="261">
        <v>0.63137855000000009</v>
      </c>
      <c r="CK86" s="261">
        <v>0.58529831666666698</v>
      </c>
      <c r="CL86" s="261">
        <v>29.453617200674511</v>
      </c>
      <c r="CM86" s="261">
        <v>29.411989881956224</v>
      </c>
      <c r="CN86" s="261">
        <v>40.356493254637421</v>
      </c>
      <c r="CO86" s="261">
        <v>37.997263069139976</v>
      </c>
      <c r="CP86" s="261">
        <v>66.203102866779091</v>
      </c>
      <c r="CQ86" s="261">
        <v>67.96060708263073</v>
      </c>
      <c r="CR86" s="261">
        <v>4.0489038785834756E-2</v>
      </c>
      <c r="CS86" s="261">
        <v>0.11129848229342335</v>
      </c>
      <c r="CT86" s="261">
        <v>1.7751323777403052</v>
      </c>
      <c r="CU86" s="261">
        <v>1.8103912310286676</v>
      </c>
      <c r="CV86" s="261">
        <v>3.9089999999999998</v>
      </c>
      <c r="CW86" s="261">
        <v>4.1790000000000003</v>
      </c>
      <c r="CX86" s="204">
        <f>IFERROR(AVERAGEIF(RD[[#This Row],[IS1POA1 (KWh/m2)]:[IS7POA2 (KWh/m2)]],"&lt;&gt;0",RD[[#This Row],[IS1POA1 (KWh/m2)]:[IS7POA2 (KWh/m2)]]),"")</f>
        <v>3.9411315916666636</v>
      </c>
      <c r="CY86" s="204">
        <f>IFERROR(AVERAGEIF(RD[[#This Row],[IS1GHI1 (KWh/m2)]:[IS7GHI2 (KWh/m2)]],"&lt;&gt;0",RD[[#This Row],[IS1GHI1 (KWh/m2)]:[IS7GHI2 (KWh/m2)]]),"")</f>
        <v>3.5445260666666658</v>
      </c>
      <c r="CZ86" s="204">
        <f>IFERROR(AVERAGEIF(RD[[#This Row],[IS1POA_BS1 (KWh/m2)]:[IS7POA_BS2 (KWh/m2)]],"&lt;&gt;0",RD[[#This Row],[IS1POA_BS1 (KWh/m2)]:[IS7POA_BS2 (KWh/m2)]]),"")</f>
        <v>0.48998669166666686</v>
      </c>
      <c r="DA86" s="204">
        <f>IFERROR(AVERAGEIF(RD[[#This Row],[IS1GHI_BS1 (KWh/m2)]:[IS1GHI_BS1 (KWh/m2)2]],"&lt;&gt;0",RD[[#This Row],[IS1GHI_BS1 (KWh/m2)]:[IS1GHI_BS1 (KWh/m2)2]]),"")</f>
        <v>0.60833843333333348</v>
      </c>
      <c r="DB86" s="204">
        <f>IFERROR(AVERAGEIF(RD[[#This Row],[IS1AT1 (°C)]:[IS7AT2 (°C)]],"&lt;&gt;0",RD[[#This Row],[IS1AT1 (°C)]:[IS7AT2 (°C)]]),"")</f>
        <v>29.432803541315366</v>
      </c>
      <c r="DC86" s="204">
        <f>IFERROR(AVERAGEIF(RD[[#This Row],[IS1MT1 (°C)]:[IS7MT2 (°C)]],"&lt;&gt;0",RD[[#This Row],[IS1MT1 (°C)]:[IS7MT2 (°C)]]),"")</f>
        <v>39.176878161888695</v>
      </c>
      <c r="DD86" s="204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204">
        <f>IFERROR(AVERAGEIF(RD[[#This Row],[WS_Solar1_Avg (m/s)]:[IS7_WS_Solar1_Avg (m/s)]],"&lt;&gt;0",RD[[#This Row],[WS_Solar1_Avg (m/s)]:[IS7_WS_Solar1_Avg (m/s)]]),"")</f>
        <v>1.7927618043844864</v>
      </c>
      <c r="DG86" s="204">
        <f>IFERROR(AVERAGEIF(RD[[#This Row],[WS_Solar1_Max (m/s)]:[IS7_WS_Solar1_Max (m/s)]],"&lt;&gt;0",RD[[#This Row],[WS_Solar1_Max (m/s)]:[IS7_WS_Solar1_Max (m/s)]]),"")</f>
        <v>4.0440000000000005</v>
      </c>
      <c r="DH86" s="204">
        <f>SUM(RD[[#This Row],[IS1Inv1M1]:[IS4Inv4M2]])</f>
        <v>164364.80000000002</v>
      </c>
      <c r="DI86" s="205">
        <f>SUM(RD[[#This Row],[IS7Inv1M1]]+RD[[#This Row],[IS7Inv2M1]])</f>
        <v>9703.4000000000015</v>
      </c>
      <c r="DJ86" s="204">
        <f>SUM(RD[[#This Row],[IS5Inv1M1]:[IS5Inv2M2]])</f>
        <v>24403.5</v>
      </c>
      <c r="DK86" s="204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86">
        <f>SUM(RD[[#This Row],[IS12Inv1M1]:[IS12Inv1M4]])</f>
        <v>19708.400000000001</v>
      </c>
      <c r="DO86" s="286">
        <f>SUM(RD[[#This Row],[IS13Inv1M1]:[IS13Inv2M2]])</f>
        <v>21767.699999999997</v>
      </c>
      <c r="DP86" s="204">
        <f>SUM(RD[[#This Row],[O2R15]:[O2R26]])</f>
        <v>390585.4</v>
      </c>
      <c r="DQ86" s="164">
        <v>43832</v>
      </c>
      <c r="DR86" s="168">
        <v>221.8</v>
      </c>
      <c r="DS86" s="164">
        <v>38235.199999999997</v>
      </c>
      <c r="DT86" s="164">
        <v>234.1</v>
      </c>
      <c r="DU86" s="168">
        <v>44974.7</v>
      </c>
      <c r="DV86" s="168">
        <v>424.2</v>
      </c>
      <c r="DW86" s="164">
        <v>10368.200000000001</v>
      </c>
      <c r="DX86" s="168">
        <v>52.8</v>
      </c>
      <c r="DY86" s="168">
        <v>2493.5</v>
      </c>
      <c r="DZ86" s="168">
        <v>9.6</v>
      </c>
      <c r="EA86" s="140">
        <v>103.47</v>
      </c>
      <c r="EB86" s="241">
        <v>143645736</v>
      </c>
      <c r="EC86" s="240">
        <v>1008574.784</v>
      </c>
      <c r="ED86" s="241">
        <v>1212</v>
      </c>
      <c r="EE86" s="241">
        <v>137872</v>
      </c>
      <c r="EF86" s="164">
        <v>199170.1</v>
      </c>
      <c r="EG86" s="164">
        <v>1956.2</v>
      </c>
      <c r="EH86" s="146">
        <f>IF((RD[[#This Row],[33 kV_F3_Ex
Incomer1]]-DQ85)*1000&lt;0,0,(RD[[#This Row],[33 kV_F3_Ex
Incomer1]]-DQ85)*1000)</f>
        <v>84000</v>
      </c>
      <c r="EI86" s="146">
        <f>IF((RD[[#This Row],[34 kV_F3_Im
Incomer1]]-DR85)*1000&lt;0,0,(RD[[#This Row],[34 kV_F3_Im
Incomer1]]-DR85)*1000)</f>
        <v>400.00000000000568</v>
      </c>
      <c r="EJ86" s="146">
        <f>IF((RD[[#This Row],[33 kV_F4_Ex
Incomer2]]-DS85)*1000&lt;0,0,(RD[[#This Row],[33 kV_F4_Ex
Incomer2]]-DS85)*1000)</f>
        <v>79199.99999999709</v>
      </c>
      <c r="EK86" s="146">
        <f>IF((RD[[#This Row],[34 kV_F4_Im
Incomer2]]-DT85)*1000&lt;0,0,(RD[[#This Row],[34 kV_F4_Im
Incomer2]]-DT85)*1000)</f>
        <v>299.99999999998295</v>
      </c>
      <c r="EL86" s="146">
        <f>IF((RD[[#This Row],[33 kV_F5_Ex
Incomer3]]-DU85)*1000&lt;0,0,(RD[[#This Row],[33 kV_F5_Ex
Incomer3]]-DU85)*1000)</f>
        <v>104399.99999999418</v>
      </c>
      <c r="EM86" s="146">
        <f>IF((RD[[#This Row],[34 kV_F5_Im
Incomer3]]-DV85)*1000&lt;0,0,(RD[[#This Row],[34 kV_F5_Im
Incomer3]]-DV85)*1000)</f>
        <v>1300.0000000000114</v>
      </c>
      <c r="EN86" s="146">
        <f>IF((RD[[#This Row],[33 kV_F6_Ex
Incomer4]]-DW85)*1000&lt;0,0,(RD[[#This Row],[33 kV_F6_Ex
Incomer4]]-DW85)*1000)</f>
        <v>9200.0000000007276</v>
      </c>
      <c r="EO86" s="146">
        <f t="shared" si="166"/>
        <v>199.99999999998863</v>
      </c>
      <c r="EP86" s="146">
        <f>IF((RD[[#This Row],[33 kV_F7_Ex
Incomer5]]-DY85)*1000&lt;0,0,(RD[[#This Row],[33 kV_F7_Ex
Incomer5]]-DY85)*1000)</f>
        <v>95599.999999999913</v>
      </c>
      <c r="EQ86" s="146">
        <f>IF((RD[[#This Row],[33 kV_F7_Im
Incomer5]]-DZ85)*1000&lt;0,0,(RD[[#This Row],[33 kV_F7_Im
Incomer5]]-DZ85)*1000)</f>
        <v>500</v>
      </c>
      <c r="ER86" s="146">
        <f>IF((RD[[#This Row],[33 kV_Aux Trafo]]-EA85)*1000&lt;0,0,(RD[[#This Row],[33 kV_Aux Trafo]]-EA85)*1000)</f>
        <v>250</v>
      </c>
      <c r="ES86" s="158">
        <f>IF((RD[[#This Row],[33kV_OG1_Ex_]]-EB85)*1&lt;0,0,(RD[[#This Row],[33kV_OG1_Ex_]]-EB85)*1)</f>
        <v>388333</v>
      </c>
      <c r="ET86" s="146">
        <f>IF((RD[[#This Row],[33kV_OG1_Im]]-EC85)*1&lt;0,0,(RD[[#This Row],[33kV_OG1_Im]]-EC85)*1)</f>
        <v>2922.5599999999395</v>
      </c>
      <c r="EU86" s="146">
        <f>IF((RD[[#This Row],[132kV_TX1_EX]]-ED85)*720&lt;=0,"",(RD[[#This Row],[132kV_TX1_EX]]-ED85)*720)</f>
        <v>2160</v>
      </c>
      <c r="EV86" s="146">
        <f>IF((RD[[#This Row],[132 kV_Tx1_Im]]-EE85)*720&lt;=0,0,(RD[[#This Row],[132 kV_Tx1_Im]]-EE85)*720)</f>
        <v>277920</v>
      </c>
      <c r="EW86" s="146">
        <f>IF((RD[[#This Row],[132kV_L1_Ex]]-EF85)*720&lt;=0,0,(RD[[#This Row],[132kV_L1_Ex]]-EF85)*720)</f>
        <v>387144.00000000838</v>
      </c>
      <c r="EX86" s="146">
        <f>IF((RD[[#This Row],[132kV_L1_Im]]-EG85)*720&lt;=0,0,(RD[[#This Row],[132kV_L1_Im]]-EG85)*720)</f>
        <v>3455.9999999999673</v>
      </c>
      <c r="EY86" s="242">
        <f>IFERROR(RD[[#This Row],[33kV_OG1_Ex (MWh)]]+RD[[#This Row],[33kV_OG1_Im (MWh)]],"")</f>
        <v>391255.55999999994</v>
      </c>
      <c r="EZ86" s="148">
        <f>RD[[#This Row],[33kV_OG1_Ex (MWh)]]-RD[[#This Row],[33kV_OG1_Im (MWh)]]</f>
        <v>385410.44000000006</v>
      </c>
      <c r="FA86" s="148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43">
        <f>IFERROR((RD[[#This Row],[Sunset Time (POA&lt;20 W/m2)]]-RD[[#This Row],[Sunrise Time (POA&gt;20 W/m2)]])*24,0)</f>
        <v>12.483333333333334</v>
      </c>
      <c r="FD86" s="244">
        <v>122.7</v>
      </c>
      <c r="FE86" s="303" t="s">
        <v>297</v>
      </c>
      <c r="FG86" s="144" t="str">
        <f>IFERROR(RD[[#This Row],[E_AC (WPR)]]/RD[[#This Row],[E_DC (WPR)]],"")</f>
        <v/>
      </c>
    </row>
    <row r="87" spans="1:163">
      <c r="A87" s="133">
        <f t="shared" si="161"/>
        <v>45827</v>
      </c>
      <c r="B87" s="138">
        <f>YEAR(RD[[#This Row],[Date]])+IF(MONTH(RD[[#This Row],[Date]])&gt;=4,1,0)</f>
        <v>2026</v>
      </c>
      <c r="C87" s="138">
        <f>YEAR(RD[[#This Row],[Date]])</f>
        <v>2025</v>
      </c>
      <c r="D87" s="139">
        <f t="shared" si="165"/>
        <v>45809</v>
      </c>
      <c r="E87" s="138">
        <f>DAY(EOMONTH(RD[[#This Row],[Date]],0))</f>
        <v>30</v>
      </c>
      <c r="F87" s="152">
        <v>0.25277777777777777</v>
      </c>
      <c r="G87" s="162">
        <v>0.78055555555555556</v>
      </c>
      <c r="H87" s="124">
        <v>4827.5</v>
      </c>
      <c r="I87" s="268">
        <v>4762.6000000000004</v>
      </c>
      <c r="J87" s="124">
        <v>4533.6000000000004</v>
      </c>
      <c r="K87" s="124">
        <v>4592.2</v>
      </c>
      <c r="L87" s="124">
        <v>4746.8999999999996</v>
      </c>
      <c r="M87" s="124">
        <v>4863.7</v>
      </c>
      <c r="N87" s="124">
        <v>4711.8</v>
      </c>
      <c r="O87" s="124">
        <v>5092.8999999999996</v>
      </c>
      <c r="P87" s="124">
        <v>4805.1000000000004</v>
      </c>
      <c r="Q87" s="124">
        <v>4692.3</v>
      </c>
      <c r="R87" s="124">
        <v>4858.3</v>
      </c>
      <c r="S87" s="266">
        <v>4856.3</v>
      </c>
      <c r="T87" s="124">
        <v>5069.6000000000004</v>
      </c>
      <c r="U87" s="124">
        <v>4922.3999999999996</v>
      </c>
      <c r="V87" s="124">
        <v>4975.8</v>
      </c>
      <c r="W87" s="124">
        <v>4720.6000000000004</v>
      </c>
      <c r="X87" s="266">
        <v>6694.7</v>
      </c>
      <c r="Y87" s="203">
        <v>7492.2</v>
      </c>
      <c r="Z87" s="203">
        <v>6485.5</v>
      </c>
      <c r="AA87" s="203">
        <v>6818.1</v>
      </c>
      <c r="AB87" s="266">
        <v>7319.9</v>
      </c>
      <c r="AC87" s="203">
        <v>4533.2</v>
      </c>
      <c r="AD87" s="203">
        <v>6896</v>
      </c>
      <c r="AE87" s="203">
        <v>7042.5</v>
      </c>
      <c r="AF87" s="266">
        <v>6804.7</v>
      </c>
      <c r="AG87" s="203">
        <v>6779.6</v>
      </c>
      <c r="AH87" s="203">
        <v>6796.9</v>
      </c>
      <c r="AI87" s="266">
        <v>6838.5</v>
      </c>
      <c r="AJ87" s="203">
        <v>5809.9</v>
      </c>
      <c r="AK87" s="266">
        <v>5950.5</v>
      </c>
      <c r="AL87" s="203">
        <v>5836.5</v>
      </c>
      <c r="AM87" s="266">
        <v>5887.4</v>
      </c>
      <c r="AN87" s="203">
        <v>5900.8</v>
      </c>
      <c r="AO87" s="266">
        <v>6135.1</v>
      </c>
      <c r="AP87" s="203">
        <v>6058.2</v>
      </c>
      <c r="AQ87" s="266">
        <v>5986.9</v>
      </c>
      <c r="AR87" s="203">
        <v>4784.3</v>
      </c>
      <c r="AS87" s="266">
        <v>4796.3</v>
      </c>
      <c r="AT87" s="203">
        <v>4720.6000000000004</v>
      </c>
      <c r="AU87" s="266">
        <v>4686.1000000000004</v>
      </c>
      <c r="AV87" s="203">
        <v>4802.7</v>
      </c>
      <c r="AW87" s="203">
        <v>4790.3999999999996</v>
      </c>
      <c r="AX87" s="203">
        <v>6909.5</v>
      </c>
      <c r="AY87" s="203">
        <v>7768.3</v>
      </c>
      <c r="AZ87" s="203">
        <v>5749.2</v>
      </c>
      <c r="BA87" s="203">
        <v>6903.9</v>
      </c>
      <c r="BB87" s="203">
        <v>6610.5</v>
      </c>
      <c r="BC87" s="203">
        <v>6270.6</v>
      </c>
      <c r="BD87" s="203">
        <v>5893.4</v>
      </c>
      <c r="BE87" s="203">
        <v>6602.5</v>
      </c>
      <c r="BF87" s="203">
        <v>7240.8</v>
      </c>
      <c r="BG87" s="203">
        <v>7304.9</v>
      </c>
      <c r="BH87" s="203">
        <v>7204.7</v>
      </c>
      <c r="BI87" s="203">
        <v>7452.6</v>
      </c>
      <c r="BJ87" s="203">
        <v>4724.8999999999996</v>
      </c>
      <c r="BK87" s="203">
        <v>3817.9</v>
      </c>
      <c r="BL87" s="203">
        <v>4469.8</v>
      </c>
      <c r="BM87" s="203">
        <v>3817.9</v>
      </c>
      <c r="BN87" s="203">
        <v>5078</v>
      </c>
      <c r="BO87" s="203">
        <v>4761.6000000000004</v>
      </c>
      <c r="BP87" s="203">
        <v>5240.6000000000004</v>
      </c>
      <c r="BQ87" s="203">
        <v>5247.4</v>
      </c>
      <c r="BR87" s="203">
        <v>5749</v>
      </c>
      <c r="BS87" s="203">
        <v>5929.6</v>
      </c>
      <c r="BT87" s="203">
        <v>5570.8</v>
      </c>
      <c r="BU87" s="203">
        <v>6020.8</v>
      </c>
      <c r="BV87" s="203">
        <v>774</v>
      </c>
      <c r="BW87" s="203">
        <v>225</v>
      </c>
      <c r="BX87" s="203">
        <v>575</v>
      </c>
      <c r="BY87" s="203">
        <v>160</v>
      </c>
      <c r="BZ87" s="203">
        <v>762.4</v>
      </c>
      <c r="CA87" s="203">
        <v>641.5</v>
      </c>
      <c r="CB87" s="203">
        <v>3091.5</v>
      </c>
      <c r="CC87" s="203">
        <v>5096.5</v>
      </c>
      <c r="CD87" s="261">
        <v>3.9658979666666627</v>
      </c>
      <c r="CE87" s="261">
        <v>3.6993971166666646</v>
      </c>
      <c r="CF87" s="261">
        <v>3.1133417499999965</v>
      </c>
      <c r="CG87" s="261">
        <v>3.7331079999999934</v>
      </c>
      <c r="CH87" s="261">
        <v>0.41415269999999949</v>
      </c>
      <c r="CI87" s="261">
        <v>0.52956763333333345</v>
      </c>
      <c r="CJ87" s="261">
        <v>0.59487863333333368</v>
      </c>
      <c r="CK87" s="261">
        <v>0.57456168333333346</v>
      </c>
      <c r="CL87" s="261">
        <v>27.579281045751706</v>
      </c>
      <c r="CM87" s="261">
        <v>26.589804560260657</v>
      </c>
      <c r="CN87" s="261">
        <v>37.351043300653636</v>
      </c>
      <c r="CO87" s="261">
        <v>35.241377035830645</v>
      </c>
      <c r="CP87" s="261">
        <v>85.882287581699231</v>
      </c>
      <c r="CQ87" s="261">
        <v>86.065488599348527</v>
      </c>
      <c r="CR87" s="261">
        <v>0.10784313725490212</v>
      </c>
      <c r="CS87" s="261">
        <v>8.7947882736156474E-2</v>
      </c>
      <c r="CT87" s="261">
        <v>1.540825980392156</v>
      </c>
      <c r="CU87" s="261">
        <v>1.7563094462540703</v>
      </c>
      <c r="CV87" s="261">
        <v>4.5330000000000004</v>
      </c>
      <c r="CW87" s="261">
        <v>5.22</v>
      </c>
      <c r="CX87" s="204">
        <f>IFERROR(AVERAGEIF(RD[[#This Row],[IS1POA1 (KWh/m2)]:[IS7POA2 (KWh/m2)]],"&lt;&gt;0",RD[[#This Row],[IS1POA1 (KWh/m2)]:[IS7POA2 (KWh/m2)]]),"")</f>
        <v>3.8326475416666637</v>
      </c>
      <c r="CY87" s="204">
        <f>IFERROR(AVERAGEIF(RD[[#This Row],[IS1GHI1 (KWh/m2)]:[IS7GHI2 (KWh/m2)]],"&lt;&gt;0",RD[[#This Row],[IS1GHI1 (KWh/m2)]:[IS7GHI2 (KWh/m2)]]),"")</f>
        <v>3.4232248749999949</v>
      </c>
      <c r="CZ87" s="204">
        <f>IFERROR(AVERAGEIF(RD[[#This Row],[IS1POA_BS1 (KWh/m2)]:[IS7POA_BS2 (KWh/m2)]],"&lt;&gt;0",RD[[#This Row],[IS1POA_BS1 (KWh/m2)]:[IS7POA_BS2 (KWh/m2)]]),"")</f>
        <v>0.47186016666666647</v>
      </c>
      <c r="DA87" s="204">
        <f>IFERROR(AVERAGEIF(RD[[#This Row],[IS1GHI_BS1 (KWh/m2)]:[IS1GHI_BS1 (KWh/m2)2]],"&lt;&gt;0",RD[[#This Row],[IS1GHI_BS1 (KWh/m2)]:[IS1GHI_BS1 (KWh/m2)2]]),"")</f>
        <v>0.58472015833333357</v>
      </c>
      <c r="DB87" s="204">
        <f>IFERROR(AVERAGEIF(RD[[#This Row],[IS1AT1 (°C)]:[IS7AT2 (°C)]],"&lt;&gt;0",RD[[#This Row],[IS1AT1 (°C)]:[IS7AT2 (°C)]]),"")</f>
        <v>27.08454280300618</v>
      </c>
      <c r="DC87" s="204">
        <f>IFERROR(AVERAGEIF(RD[[#This Row],[IS1MT1 (°C)]:[IS7MT2 (°C)]],"&lt;&gt;0",RD[[#This Row],[IS1MT1 (°C)]:[IS7MT2 (°C)]]),"")</f>
        <v>36.296210168242141</v>
      </c>
      <c r="DD87" s="204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204">
        <f>IFERROR(AVERAGEIF(RD[[#This Row],[WS_Solar1_Avg (m/s)]:[IS7_WS_Solar1_Avg (m/s)]],"&lt;&gt;0",RD[[#This Row],[WS_Solar1_Avg (m/s)]:[IS7_WS_Solar1_Avg (m/s)]]),"")</f>
        <v>1.6485677133231131</v>
      </c>
      <c r="DG87" s="204">
        <f>IFERROR(AVERAGEIF(RD[[#This Row],[WS_Solar1_Max (m/s)]:[IS7_WS_Solar1_Max (m/s)]],"&lt;&gt;0",RD[[#This Row],[WS_Solar1_Max (m/s)]:[IS7_WS_Solar1_Max (m/s)]]),"")</f>
        <v>4.8765000000000001</v>
      </c>
      <c r="DH87" s="204">
        <f>SUM(RD[[#This Row],[IS1Inv1M1]:[IS4Inv4M2]])</f>
        <v>157533.40000000002</v>
      </c>
      <c r="DI87" s="205">
        <f>SUM(RD[[#This Row],[IS7Inv1M1]]+RD[[#This Row],[IS7Inv2M1]])</f>
        <v>9580.6</v>
      </c>
      <c r="DJ87" s="204">
        <f>SUM(RD[[#This Row],[IS5Inv1M1]:[IS5Inv2M2]])</f>
        <v>23484.300000000003</v>
      </c>
      <c r="DK87" s="204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86">
        <f>SUM(RD[[#This Row],[IS12Inv1M1]:[IS12Inv1M4]])</f>
        <v>20327.599999999999</v>
      </c>
      <c r="DO87" s="286">
        <f>SUM(RD[[#This Row],[IS13Inv1M1]:[IS13Inv2M2]])</f>
        <v>23270.2</v>
      </c>
      <c r="DP87" s="204">
        <f>SUM(RD[[#This Row],[O2R15]:[O2R26]])</f>
        <v>387344.2</v>
      </c>
      <c r="DQ87" s="164">
        <v>43912</v>
      </c>
      <c r="DR87" s="168">
        <v>222.2</v>
      </c>
      <c r="DS87" s="164">
        <v>38311.1</v>
      </c>
      <c r="DT87" s="164">
        <v>234.5</v>
      </c>
      <c r="DU87" s="168">
        <v>45077.4</v>
      </c>
      <c r="DV87" s="168">
        <v>425.6</v>
      </c>
      <c r="DW87" s="164">
        <v>10379.799999999999</v>
      </c>
      <c r="DX87" s="168">
        <v>52.9</v>
      </c>
      <c r="DY87" s="168">
        <v>2591.6</v>
      </c>
      <c r="DZ87" s="168">
        <v>10.4</v>
      </c>
      <c r="EA87" s="140">
        <v>103.72</v>
      </c>
      <c r="EB87" s="241">
        <v>144030826</v>
      </c>
      <c r="EC87" s="240">
        <v>1011936.512</v>
      </c>
      <c r="ED87" s="241">
        <v>1216</v>
      </c>
      <c r="EE87" s="241">
        <v>138256</v>
      </c>
      <c r="EF87" s="164">
        <v>199703.2</v>
      </c>
      <c r="EG87" s="164">
        <v>1961.6</v>
      </c>
      <c r="EH87" s="146">
        <f>IF((RD[[#This Row],[33 kV_F3_Ex
Incomer1]]-DQ86)*1000&lt;0,0,(RD[[#This Row],[33 kV_F3_Ex
Incomer1]]-DQ86)*1000)</f>
        <v>80000</v>
      </c>
      <c r="EI87" s="146">
        <f>IF((RD[[#This Row],[34 kV_F3_Im
Incomer1]]-DR86)*1000&lt;0,0,(RD[[#This Row],[34 kV_F3_Im
Incomer1]]-DR86)*1000)</f>
        <v>399.99999999997726</v>
      </c>
      <c r="EJ87" s="146">
        <f>IF((RD[[#This Row],[33 kV_F4_Ex
Incomer2]]-DS86)*1000&lt;0,0,(RD[[#This Row],[33 kV_F4_Ex
Incomer2]]-DS86)*1000)</f>
        <v>75900.000000001455</v>
      </c>
      <c r="EK87" s="146">
        <f>IF((RD[[#This Row],[34 kV_F4_Im
Incomer2]]-DT86)*1000&lt;0,0,(RD[[#This Row],[34 kV_F4_Im
Incomer2]]-DT86)*1000)</f>
        <v>400.00000000000568</v>
      </c>
      <c r="EL87" s="146">
        <f>IF((RD[[#This Row],[33 kV_F5_Ex
Incomer3]]-DU86)*1000&lt;0,0,(RD[[#This Row],[33 kV_F5_Ex
Incomer3]]-DU86)*1000)</f>
        <v>102700.00000000437</v>
      </c>
      <c r="EM87" s="146">
        <f>IF((RD[[#This Row],[34 kV_F5_Im
Incomer3]]-DV86)*1000&lt;0,0,(RD[[#This Row],[34 kV_F5_Im
Incomer3]]-DV86)*1000)</f>
        <v>1400.0000000000341</v>
      </c>
      <c r="EN87" s="146">
        <f>IF((RD[[#This Row],[33 kV_F6_Ex
Incomer4]]-DW86)*1000&lt;0,0,(RD[[#This Row],[33 kV_F6_Ex
Incomer4]]-DW86)*1000)</f>
        <v>11599.999999998545</v>
      </c>
      <c r="EO87" s="146">
        <f t="shared" si="166"/>
        <v>400.00000000000568</v>
      </c>
      <c r="EP87" s="146">
        <f>IF((RD[[#This Row],[33 kV_F7_Ex
Incomer5]]-DY86)*1000&lt;0,0,(RD[[#This Row],[33 kV_F7_Ex
Incomer5]]-DY86)*1000)</f>
        <v>98099.999999999913</v>
      </c>
      <c r="EQ87" s="146">
        <f>IF((RD[[#This Row],[33 kV_F7_Im
Incomer5]]-DZ86)*1000&lt;0,0,(RD[[#This Row],[33 kV_F7_Im
Incomer5]]-DZ86)*1000)</f>
        <v>800.00000000000068</v>
      </c>
      <c r="ER87" s="146">
        <f>IF((RD[[#This Row],[33 kV_Aux Trafo]]-EA86)*1000&lt;0,0,(RD[[#This Row],[33 kV_Aux Trafo]]-EA86)*1000)</f>
        <v>250</v>
      </c>
      <c r="ES87" s="158">
        <f>IF((RD[[#This Row],[33kV_OG1_Ex_]]-EB86)*1&lt;0,0,(RD[[#This Row],[33kV_OG1_Ex_]]-EB86)*1)</f>
        <v>385090</v>
      </c>
      <c r="ET87" s="146">
        <f>IF((RD[[#This Row],[33kV_OG1_Im]]-EC86)*1&lt;0,0,(RD[[#This Row],[33kV_OG1_Im]]-EC86)*1)</f>
        <v>3361.7280000000028</v>
      </c>
      <c r="EU87" s="146">
        <f>IF((RD[[#This Row],[132kV_TX1_EX]]-ED86)*720&lt;=0,"",(RD[[#This Row],[132kV_TX1_EX]]-ED86)*720)</f>
        <v>2880</v>
      </c>
      <c r="EV87" s="146">
        <f>IF((RD[[#This Row],[132 kV_Tx1_Im]]-EE86)*720&lt;=0,0,(RD[[#This Row],[132 kV_Tx1_Im]]-EE86)*720)</f>
        <v>276480</v>
      </c>
      <c r="EW87" s="146">
        <f>IF((RD[[#This Row],[132kV_L1_Ex]]-EF86)*720&lt;=0,0,(RD[[#This Row],[132kV_L1_Ex]]-EF86)*720)</f>
        <v>383832.00000000419</v>
      </c>
      <c r="EX87" s="146">
        <f>IF((RD[[#This Row],[132kV_L1_Im]]-EG86)*720&lt;=0,0,(RD[[#This Row],[132kV_L1_Im]]-EG86)*720)</f>
        <v>3887.9999999999018</v>
      </c>
      <c r="EY87" s="242">
        <f>IFERROR(RD[[#This Row],[33kV_OG1_Ex (MWh)]]+RD[[#This Row],[33kV_OG1_Im (MWh)]],"")</f>
        <v>388451.728</v>
      </c>
      <c r="EZ87" s="148">
        <f>RD[[#This Row],[33kV_OG1_Ex (MWh)]]-RD[[#This Row],[33kV_OG1_Im (MWh)]]</f>
        <v>381728.272</v>
      </c>
      <c r="FA87" s="148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43">
        <f>IFERROR((RD[[#This Row],[Sunset Time (POA&lt;20 W/m2)]]-RD[[#This Row],[Sunrise Time (POA&gt;20 W/m2)]])*24,0)</f>
        <v>12.666666666666668</v>
      </c>
      <c r="FD87" s="244">
        <v>122.7</v>
      </c>
      <c r="FE87" s="303" t="s">
        <v>300</v>
      </c>
      <c r="FG87" s="144" t="str">
        <f>IFERROR(RD[[#This Row],[E_AC (WPR)]]/RD[[#This Row],[E_DC (WPR)]],"")</f>
        <v/>
      </c>
    </row>
    <row r="88" spans="1:163">
      <c r="A88" s="133">
        <f t="shared" si="161"/>
        <v>45828</v>
      </c>
      <c r="B88" s="138">
        <f>YEAR(RD[[#This Row],[Date]])+IF(MONTH(RD[[#This Row],[Date]])&gt;=4,1,0)</f>
        <v>2026</v>
      </c>
      <c r="C88" s="138">
        <f>YEAR(RD[[#This Row],[Date]])</f>
        <v>2025</v>
      </c>
      <c r="D88" s="139">
        <f t="shared" si="165"/>
        <v>45809</v>
      </c>
      <c r="E88" s="138">
        <f>DAY(EOMONTH(RD[[#This Row],[Date]],0))</f>
        <v>30</v>
      </c>
      <c r="F88" s="152">
        <v>0.25347222222222221</v>
      </c>
      <c r="G88" s="162">
        <v>0.78125</v>
      </c>
      <c r="H88" s="124">
        <v>8059</v>
      </c>
      <c r="I88" s="268">
        <v>8051.9</v>
      </c>
      <c r="J88" s="124">
        <v>7670.5</v>
      </c>
      <c r="K88" s="124">
        <v>7607.4</v>
      </c>
      <c r="L88" s="124">
        <v>7799.8</v>
      </c>
      <c r="M88" s="124">
        <v>7995.5</v>
      </c>
      <c r="N88" s="124">
        <v>7826.6</v>
      </c>
      <c r="O88" s="124">
        <v>8444.9</v>
      </c>
      <c r="P88" s="124">
        <v>7916.2</v>
      </c>
      <c r="Q88" s="124">
        <v>7707.8</v>
      </c>
      <c r="R88" s="124">
        <v>7950.7</v>
      </c>
      <c r="S88" s="266">
        <v>7975.5</v>
      </c>
      <c r="T88" s="124">
        <v>8392.1</v>
      </c>
      <c r="U88" s="124">
        <v>8070</v>
      </c>
      <c r="V88" s="124">
        <v>8187.6</v>
      </c>
      <c r="W88" s="124">
        <v>7934.3</v>
      </c>
      <c r="X88" s="266">
        <v>11059.1</v>
      </c>
      <c r="Y88" s="203">
        <v>12003.8</v>
      </c>
      <c r="Z88" s="203">
        <v>10829.8</v>
      </c>
      <c r="AA88" s="203">
        <v>11523.8</v>
      </c>
      <c r="AB88" s="266">
        <v>11716.2</v>
      </c>
      <c r="AC88" s="203">
        <v>7326</v>
      </c>
      <c r="AD88" s="203">
        <v>11286.2</v>
      </c>
      <c r="AE88" s="203">
        <v>11451.9</v>
      </c>
      <c r="AF88" s="266">
        <v>11065.6</v>
      </c>
      <c r="AG88" s="203">
        <v>11066.8</v>
      </c>
      <c r="AH88" s="203">
        <v>11183.4</v>
      </c>
      <c r="AI88" s="266">
        <v>11193.2</v>
      </c>
      <c r="AJ88" s="203">
        <v>9500.2000000000007</v>
      </c>
      <c r="AK88" s="266">
        <v>9764.5</v>
      </c>
      <c r="AL88" s="203">
        <v>9583.6</v>
      </c>
      <c r="AM88" s="266">
        <v>9675</v>
      </c>
      <c r="AN88" s="203">
        <v>9663.4</v>
      </c>
      <c r="AO88" s="266">
        <v>10025.6</v>
      </c>
      <c r="AP88" s="203">
        <v>9864.2000000000007</v>
      </c>
      <c r="AQ88" s="266">
        <v>9750.2999999999993</v>
      </c>
      <c r="AR88" s="203">
        <v>7874.4</v>
      </c>
      <c r="AS88" s="266">
        <v>7907</v>
      </c>
      <c r="AT88" s="203">
        <v>7801.4</v>
      </c>
      <c r="AU88" s="266">
        <v>7768.4</v>
      </c>
      <c r="AV88" s="203">
        <v>7922.1</v>
      </c>
      <c r="AW88" s="203">
        <v>7901.9</v>
      </c>
      <c r="AX88" s="203">
        <v>11256.2</v>
      </c>
      <c r="AY88" s="203">
        <v>12409.9</v>
      </c>
      <c r="AZ88" s="203">
        <v>9301.6</v>
      </c>
      <c r="BA88" s="203">
        <v>11185.3</v>
      </c>
      <c r="BB88" s="203">
        <v>9545.7999999999993</v>
      </c>
      <c r="BC88" s="203">
        <v>9245.6</v>
      </c>
      <c r="BD88" s="203">
        <v>9615.1</v>
      </c>
      <c r="BE88" s="203">
        <v>10825.7</v>
      </c>
      <c r="BF88" s="203">
        <v>11575.8</v>
      </c>
      <c r="BG88" s="203">
        <v>11567.2</v>
      </c>
      <c r="BH88" s="203">
        <v>11429.3</v>
      </c>
      <c r="BI88" s="203">
        <v>11778.9</v>
      </c>
      <c r="BJ88" s="203">
        <v>7668.8</v>
      </c>
      <c r="BK88" s="203">
        <v>6204.5</v>
      </c>
      <c r="BL88" s="203">
        <v>7244.7</v>
      </c>
      <c r="BM88" s="203">
        <v>6204.5</v>
      </c>
      <c r="BN88" s="203">
        <v>8099</v>
      </c>
      <c r="BO88" s="203">
        <v>7679.7</v>
      </c>
      <c r="BP88" s="203">
        <v>8283.2000000000007</v>
      </c>
      <c r="BQ88" s="203">
        <v>8321.4</v>
      </c>
      <c r="BR88" s="203">
        <v>8946.4</v>
      </c>
      <c r="BS88" s="203">
        <v>9240.6</v>
      </c>
      <c r="BT88" s="203">
        <v>8740.7000000000007</v>
      </c>
      <c r="BU88" s="203">
        <v>9424.1</v>
      </c>
      <c r="BV88" s="203">
        <v>2296.1</v>
      </c>
      <c r="BW88" s="203">
        <v>721.4</v>
      </c>
      <c r="BX88" s="203">
        <v>2818.1</v>
      </c>
      <c r="BY88" s="203">
        <v>533.5</v>
      </c>
      <c r="BZ88" s="203">
        <v>1243.7</v>
      </c>
      <c r="CA88" s="203">
        <v>1057.5999999999999</v>
      </c>
      <c r="CB88" s="203">
        <v>4840</v>
      </c>
      <c r="CC88" s="203">
        <v>7969.8</v>
      </c>
      <c r="CD88" s="261">
        <v>6.9303976333333326</v>
      </c>
      <c r="CE88" s="261">
        <v>6.3046559833333298</v>
      </c>
      <c r="CF88" s="261">
        <v>5.5873255666666619</v>
      </c>
      <c r="CG88" s="261">
        <v>6.595676233333335</v>
      </c>
      <c r="CH88" s="261">
        <v>0.74047491666666732</v>
      </c>
      <c r="CI88" s="261">
        <v>0.95030330000000185</v>
      </c>
      <c r="CJ88" s="261">
        <v>1.0686243499999997</v>
      </c>
      <c r="CK88" s="261">
        <v>1.0345923999999997</v>
      </c>
      <c r="CL88" s="261">
        <v>29.595369458128022</v>
      </c>
      <c r="CM88" s="261">
        <v>29.607241379310349</v>
      </c>
      <c r="CN88" s="261">
        <v>42.493119047619047</v>
      </c>
      <c r="CO88" s="261">
        <v>40.01626190476189</v>
      </c>
      <c r="CP88" s="261">
        <v>68.334031198686361</v>
      </c>
      <c r="CQ88" s="261">
        <v>69.736912972085236</v>
      </c>
      <c r="CR88" s="261">
        <v>0</v>
      </c>
      <c r="CS88" s="261">
        <v>0</v>
      </c>
      <c r="CT88" s="261">
        <v>2.0351059113300498</v>
      </c>
      <c r="CU88" s="261">
        <v>2.0630197044334984</v>
      </c>
      <c r="CV88" s="261">
        <v>4.5750000000000002</v>
      </c>
      <c r="CW88" s="261">
        <v>4.7939999999999996</v>
      </c>
      <c r="CX88" s="204">
        <f>IFERROR(AVERAGEIF(RD[[#This Row],[IS1POA1 (KWh/m2)]:[IS7POA2 (KWh/m2)]],"&lt;&gt;0",RD[[#This Row],[IS1POA1 (KWh/m2)]:[IS7POA2 (KWh/m2)]]),"")</f>
        <v>6.6175268083333307</v>
      </c>
      <c r="CY88" s="204">
        <f>IFERROR(AVERAGEIF(RD[[#This Row],[IS1GHI1 (KWh/m2)]:[IS7GHI2 (KWh/m2)]],"&lt;&gt;0",RD[[#This Row],[IS1GHI1 (KWh/m2)]:[IS7GHI2 (KWh/m2)]]),"")</f>
        <v>6.091500899999998</v>
      </c>
      <c r="CZ88" s="204">
        <f>IFERROR(AVERAGEIF(RD[[#This Row],[IS1POA_BS1 (KWh/m2)]:[IS7POA_BS2 (KWh/m2)]],"&lt;&gt;0",RD[[#This Row],[IS1POA_BS1 (KWh/m2)]:[IS7POA_BS2 (KWh/m2)]]),"")</f>
        <v>0.84538910833333458</v>
      </c>
      <c r="DA88" s="204">
        <f>IFERROR(AVERAGEIF(RD[[#This Row],[IS1GHI_BS1 (KWh/m2)]:[IS1GHI_BS1 (KWh/m2)2]],"&lt;&gt;0",RD[[#This Row],[IS1GHI_BS1 (KWh/m2)]:[IS1GHI_BS1 (KWh/m2)2]]),"")</f>
        <v>1.0516083749999998</v>
      </c>
      <c r="DB88" s="204">
        <f>IFERROR(AVERAGEIF(RD[[#This Row],[IS1AT1 (°C)]:[IS7AT2 (°C)]],"&lt;&gt;0",RD[[#This Row],[IS1AT1 (°C)]:[IS7AT2 (°C)]]),"")</f>
        <v>29.601305418719186</v>
      </c>
      <c r="DC88" s="204">
        <f>IFERROR(AVERAGEIF(RD[[#This Row],[IS1MT1 (°C)]:[IS7MT2 (°C)]],"&lt;&gt;0",RD[[#This Row],[IS1MT1 (°C)]:[IS7MT2 (°C)]]),"")</f>
        <v>41.254690476190468</v>
      </c>
      <c r="DD88" s="204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204">
        <f>IFERROR(AVERAGEIF(RD[[#This Row],[WS_Solar1_Avg (m/s)]:[IS7_WS_Solar1_Avg (m/s)]],"&lt;&gt;0",RD[[#This Row],[WS_Solar1_Avg (m/s)]:[IS7_WS_Solar1_Avg (m/s)]]),"")</f>
        <v>2.0490628078817741</v>
      </c>
      <c r="DG88" s="204">
        <f>IFERROR(AVERAGEIF(RD[[#This Row],[WS_Solar1_Max (m/s)]:[IS7_WS_Solar1_Max (m/s)]],"&lt;&gt;0",RD[[#This Row],[WS_Solar1_Max (m/s)]:[IS7_WS_Solar1_Max (m/s)]]),"")</f>
        <v>4.6844999999999999</v>
      </c>
      <c r="DH88" s="204">
        <f>SUM(RD[[#This Row],[IS1Inv1M1]:[IS4Inv4M2]])</f>
        <v>259295.6</v>
      </c>
      <c r="DI88" s="205">
        <f>SUM(RD[[#This Row],[IS7Inv1M1]]+RD[[#This Row],[IS7Inv2M1]])</f>
        <v>15781.4</v>
      </c>
      <c r="DJ88" s="204">
        <f>SUM(RD[[#This Row],[IS5Inv1M1]:[IS5Inv2M2]])</f>
        <v>38523.300000000003</v>
      </c>
      <c r="DK88" s="204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86">
        <f>SUM(RD[[#This Row],[IS12Inv1M1]:[IS12Inv1M4]])</f>
        <v>32383.300000000003</v>
      </c>
      <c r="DO88" s="286">
        <f>SUM(RD[[#This Row],[IS13Inv1M1]:[IS13Inv2M2]])</f>
        <v>36351.800000000003</v>
      </c>
      <c r="DP88" s="204">
        <f>SUM(RD[[#This Row],[O2R15]:[O2R26]])</f>
        <v>631571.80000000005</v>
      </c>
      <c r="DQ88" s="164">
        <v>44042.8</v>
      </c>
      <c r="DR88" s="168">
        <v>222.6</v>
      </c>
      <c r="DS88" s="164">
        <v>38435</v>
      </c>
      <c r="DT88" s="164">
        <v>234.8</v>
      </c>
      <c r="DU88" s="168">
        <v>45244.3</v>
      </c>
      <c r="DV88" s="168">
        <v>426.8</v>
      </c>
      <c r="DW88" s="164">
        <v>10401.4</v>
      </c>
      <c r="DX88" s="168">
        <v>53.1</v>
      </c>
      <c r="DY88" s="168">
        <v>2745.6</v>
      </c>
      <c r="DZ88" s="168">
        <v>11.1</v>
      </c>
      <c r="EA88" s="140">
        <v>103.99</v>
      </c>
      <c r="EB88" s="241">
        <v>144654450</v>
      </c>
      <c r="EC88" s="240">
        <v>1015023.872</v>
      </c>
      <c r="ED88" s="241">
        <v>1220</v>
      </c>
      <c r="EE88" s="241">
        <v>138877</v>
      </c>
      <c r="EF88" s="164">
        <v>200566.39999999999</v>
      </c>
      <c r="EG88" s="164">
        <v>1966.5</v>
      </c>
      <c r="EH88" s="146">
        <f>IF((RD[[#This Row],[33 kV_F3_Ex
Incomer1]]-DQ87)*1000&lt;0,0,(RD[[#This Row],[33 kV_F3_Ex
Incomer1]]-DQ87)*1000)</f>
        <v>130800.00000000291</v>
      </c>
      <c r="EI88" s="146">
        <f>IF((RD[[#This Row],[34 kV_F3_Im
Incomer1]]-DR87)*1000&lt;0,0,(RD[[#This Row],[34 kV_F3_Im
Incomer1]]-DR87)*1000)</f>
        <v>400.00000000000568</v>
      </c>
      <c r="EJ88" s="146">
        <f>IF((RD[[#This Row],[33 kV_F4_Ex
Incomer2]]-DS87)*1000&lt;0,0,(RD[[#This Row],[33 kV_F4_Ex
Incomer2]]-DS87)*1000)</f>
        <v>123900.00000000146</v>
      </c>
      <c r="EK88" s="146">
        <f>IF((RD[[#This Row],[34 kV_F4_Im
Incomer2]]-DT87)*1000&lt;0,0,(RD[[#This Row],[34 kV_F4_Im
Incomer2]]-DT87)*1000)</f>
        <v>300.00000000001137</v>
      </c>
      <c r="EL88" s="146">
        <f>IF((RD[[#This Row],[33 kV_F5_Ex
Incomer3]]-DU87)*1000&lt;0,0,(RD[[#This Row],[33 kV_F5_Ex
Incomer3]]-DU87)*1000)</f>
        <v>166900.00000000146</v>
      </c>
      <c r="EM88" s="146">
        <f>IF((RD[[#This Row],[34 kV_F5_Im
Incomer3]]-DV87)*1000&lt;0,0,(RD[[#This Row],[34 kV_F5_Im
Incomer3]]-DV87)*1000)</f>
        <v>1199.9999999999886</v>
      </c>
      <c r="EN88" s="146">
        <f>IF((RD[[#This Row],[33 kV_F6_Ex
Incomer4]]-DW87)*1000&lt;0,0,(RD[[#This Row],[33 kV_F6_Ex
Incomer4]]-DW87)*1000)</f>
        <v>21600.000000000364</v>
      </c>
      <c r="EO88" s="146">
        <f t="shared" si="166"/>
        <v>300.00000000001137</v>
      </c>
      <c r="EP88" s="146">
        <f>IF((RD[[#This Row],[33 kV_F7_Ex
Incomer5]]-DY87)*1000&lt;0,0,(RD[[#This Row],[33 kV_F7_Ex
Incomer5]]-DY87)*1000)</f>
        <v>154000</v>
      </c>
      <c r="EQ88" s="146">
        <f>IF((RD[[#This Row],[33 kV_F7_Im
Incomer5]]-DZ87)*1000&lt;0,0,(RD[[#This Row],[33 kV_F7_Im
Incomer5]]-DZ87)*1000)</f>
        <v>699.99999999999932</v>
      </c>
      <c r="ER88" s="146">
        <f>IF((RD[[#This Row],[33 kV_Aux Trafo]]-EA87)*1000&lt;0,0,(RD[[#This Row],[33 kV_Aux Trafo]]-EA87)*1000)</f>
        <v>269.99999999999602</v>
      </c>
      <c r="ES88" s="158">
        <f>IF((RD[[#This Row],[33kV_OG1_Ex_]]-EB87)*1&lt;0,0,(RD[[#This Row],[33kV_OG1_Ex_]]-EB87)*1)</f>
        <v>623624</v>
      </c>
      <c r="ET88" s="146">
        <f>IF((RD[[#This Row],[33kV_OG1_Im]]-EC87)*1&lt;0,0,(RD[[#This Row],[33kV_OG1_Im]]-EC87)*1)</f>
        <v>3087.359999999986</v>
      </c>
      <c r="EU88" s="146">
        <f>IF((RD[[#This Row],[132kV_TX1_EX]]-ED87)*720&lt;=0,"",(RD[[#This Row],[132kV_TX1_EX]]-ED87)*720)</f>
        <v>2880</v>
      </c>
      <c r="EV88" s="146">
        <f>IF((RD[[#This Row],[132 kV_Tx1_Im]]-EE87)*720&lt;=0,0,(RD[[#This Row],[132 kV_Tx1_Im]]-EE87)*720)</f>
        <v>447120</v>
      </c>
      <c r="EW88" s="146">
        <f>IF((RD[[#This Row],[132kV_L1_Ex]]-EF87)*720&lt;=0,0,(RD[[#This Row],[132kV_L1_Ex]]-EF87)*720)</f>
        <v>621503.99999998743</v>
      </c>
      <c r="EX88" s="146">
        <f>IF((RD[[#This Row],[132kV_L1_Im]]-EG87)*720&lt;=0,0,(RD[[#This Row],[132kV_L1_Im]]-EG87)*720)</f>
        <v>3528.0000000000655</v>
      </c>
      <c r="EY88" s="242">
        <f>IFERROR(RD[[#This Row],[33kV_OG1_Ex (MWh)]]+RD[[#This Row],[33kV_OG1_Im (MWh)]],"")</f>
        <v>626711.36</v>
      </c>
      <c r="EZ88" s="148">
        <f>RD[[#This Row],[33kV_OG1_Ex (MWh)]]-RD[[#This Row],[33kV_OG1_Im (MWh)]]</f>
        <v>620536.64</v>
      </c>
      <c r="FA88" s="148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43">
        <f>IFERROR((RD[[#This Row],[Sunset Time (POA&lt;20 W/m2)]]-RD[[#This Row],[Sunrise Time (POA&gt;20 W/m2)]])*24,0)</f>
        <v>12.666666666666668</v>
      </c>
      <c r="FD88" s="244">
        <v>122.7</v>
      </c>
      <c r="FE88" t="s">
        <v>294</v>
      </c>
      <c r="FG88" s="144" t="str">
        <f>IFERROR(RD[[#This Row],[E_AC (WPR)]]/RD[[#This Row],[E_DC (WPR)]],"")</f>
        <v/>
      </c>
    </row>
    <row r="89" spans="1:163">
      <c r="A89" s="133">
        <f t="shared" si="161"/>
        <v>45829</v>
      </c>
      <c r="B89" s="138">
        <f>YEAR(RD[[#This Row],[Date]])+IF(MONTH(RD[[#This Row],[Date]])&gt;=4,1,0)</f>
        <v>2026</v>
      </c>
      <c r="C89" s="138">
        <f>YEAR(RD[[#This Row],[Date]])</f>
        <v>2025</v>
      </c>
      <c r="D89" s="139">
        <f t="shared" si="165"/>
        <v>45809</v>
      </c>
      <c r="E89" s="138">
        <f>DAY(EOMONTH(RD[[#This Row],[Date]],0))</f>
        <v>30</v>
      </c>
      <c r="F89" s="152">
        <v>0.25277777777777777</v>
      </c>
      <c r="G89" s="162">
        <v>0.77361111111111114</v>
      </c>
      <c r="H89" s="124">
        <v>6687.6</v>
      </c>
      <c r="I89" s="268">
        <v>6588.7</v>
      </c>
      <c r="J89" s="124">
        <v>6248.8</v>
      </c>
      <c r="K89" s="124">
        <v>6370.8</v>
      </c>
      <c r="L89" s="124">
        <v>6591.2</v>
      </c>
      <c r="M89" s="124">
        <v>6770</v>
      </c>
      <c r="N89" s="124">
        <v>6529.9</v>
      </c>
      <c r="O89" s="124">
        <v>7160</v>
      </c>
      <c r="P89" s="124">
        <v>6619.2</v>
      </c>
      <c r="Q89" s="124">
        <v>6530.1</v>
      </c>
      <c r="R89" s="124">
        <v>6764.1</v>
      </c>
      <c r="S89" s="266">
        <v>6743.4</v>
      </c>
      <c r="T89" s="124">
        <v>7022.2</v>
      </c>
      <c r="U89" s="124">
        <v>6828</v>
      </c>
      <c r="V89" s="124">
        <v>6904.8</v>
      </c>
      <c r="W89" s="124">
        <v>6568.6</v>
      </c>
      <c r="X89" s="266">
        <v>9260.7000000000007</v>
      </c>
      <c r="Y89" s="203">
        <v>10329.299999999999</v>
      </c>
      <c r="Z89" s="203">
        <v>8953</v>
      </c>
      <c r="AA89" s="203">
        <v>9394.2000000000007</v>
      </c>
      <c r="AB89" s="266">
        <v>9922</v>
      </c>
      <c r="AC89" s="203">
        <v>6214.5</v>
      </c>
      <c r="AD89" s="203">
        <v>9519.9</v>
      </c>
      <c r="AE89" s="203">
        <v>9676.7000000000007</v>
      </c>
      <c r="AF89" s="266">
        <v>9350.7000000000007</v>
      </c>
      <c r="AG89" s="203">
        <v>9298.9</v>
      </c>
      <c r="AH89" s="203">
        <v>9378.1</v>
      </c>
      <c r="AI89" s="266">
        <v>9425.6</v>
      </c>
      <c r="AJ89" s="203">
        <v>7929.7</v>
      </c>
      <c r="AK89" s="266">
        <v>8155</v>
      </c>
      <c r="AL89" s="203">
        <v>7976.3</v>
      </c>
      <c r="AM89" s="266">
        <v>8093.3</v>
      </c>
      <c r="AN89" s="203">
        <v>7980.2</v>
      </c>
      <c r="AO89" s="266">
        <v>8247.1</v>
      </c>
      <c r="AP89" s="203">
        <v>8107.1</v>
      </c>
      <c r="AQ89" s="266">
        <v>8041.6</v>
      </c>
      <c r="AR89" s="203">
        <v>6475.4</v>
      </c>
      <c r="AS89" s="266">
        <v>6510.6</v>
      </c>
      <c r="AT89" s="203">
        <v>6463.1</v>
      </c>
      <c r="AU89" s="266">
        <v>6461.5</v>
      </c>
      <c r="AV89" s="203">
        <v>6588.3</v>
      </c>
      <c r="AW89" s="203">
        <v>6544</v>
      </c>
      <c r="AX89" s="203">
        <v>9204.2999999999993</v>
      </c>
      <c r="AY89" s="203">
        <v>10268.299999999999</v>
      </c>
      <c r="AZ89" s="203">
        <v>7498</v>
      </c>
      <c r="BA89" s="203">
        <v>9043.2000000000007</v>
      </c>
      <c r="BB89" s="203">
        <v>8706.2999999999993</v>
      </c>
      <c r="BC89" s="203">
        <v>8391.2000000000007</v>
      </c>
      <c r="BD89" s="203">
        <v>8102.6</v>
      </c>
      <c r="BE89" s="203">
        <v>8905.7999999999993</v>
      </c>
      <c r="BF89" s="203">
        <v>9657</v>
      </c>
      <c r="BG89" s="203">
        <v>9677.7000000000007</v>
      </c>
      <c r="BH89" s="203">
        <v>9543.6</v>
      </c>
      <c r="BI89" s="203">
        <v>9908.2999999999993</v>
      </c>
      <c r="BJ89" s="203">
        <v>6426.6</v>
      </c>
      <c r="BK89" s="203">
        <v>5141.2</v>
      </c>
      <c r="BL89" s="203">
        <v>6035.3</v>
      </c>
      <c r="BM89" s="203">
        <v>6211</v>
      </c>
      <c r="BN89" s="203">
        <v>6897</v>
      </c>
      <c r="BO89" s="203">
        <v>6459.6</v>
      </c>
      <c r="BP89" s="203">
        <v>7141.9</v>
      </c>
      <c r="BQ89" s="203">
        <v>7139</v>
      </c>
      <c r="BR89" s="203">
        <v>7531.4</v>
      </c>
      <c r="BS89" s="203">
        <v>7751</v>
      </c>
      <c r="BT89" s="203">
        <v>7367.4</v>
      </c>
      <c r="BU89" s="203">
        <v>7939.7</v>
      </c>
      <c r="BV89" s="203">
        <v>2484.5</v>
      </c>
      <c r="BW89" s="203">
        <v>602</v>
      </c>
      <c r="BX89" s="203">
        <v>2337</v>
      </c>
      <c r="BY89" s="203">
        <v>757</v>
      </c>
      <c r="BZ89" s="203">
        <v>1042.5</v>
      </c>
      <c r="CA89" s="203">
        <v>880.1</v>
      </c>
      <c r="CB89" s="203">
        <v>4075</v>
      </c>
      <c r="CC89" s="203">
        <v>6724.5</v>
      </c>
      <c r="CD89" s="261">
        <v>5.6239499333333347</v>
      </c>
      <c r="CE89" s="261">
        <v>5.0946365500000015</v>
      </c>
      <c r="CF89" s="261">
        <v>4.4673651166666684</v>
      </c>
      <c r="CG89" s="261">
        <v>5.239296966666668</v>
      </c>
      <c r="CH89" s="261">
        <v>0.60994151666666774</v>
      </c>
      <c r="CI89" s="261">
        <v>0.75791465000000025</v>
      </c>
      <c r="CJ89" s="261">
        <v>0.85265575000000038</v>
      </c>
      <c r="CK89" s="261">
        <v>0.83215006666666769</v>
      </c>
      <c r="CL89" s="261">
        <v>29.224699759807756</v>
      </c>
      <c r="CM89" s="261">
        <v>29.146885508406729</v>
      </c>
      <c r="CN89" s="261">
        <v>41.298607686148976</v>
      </c>
      <c r="CO89" s="261">
        <v>38.585703763010422</v>
      </c>
      <c r="CP89" s="261">
        <v>68.485756605284223</v>
      </c>
      <c r="CQ89" s="261">
        <v>70.300640512409913</v>
      </c>
      <c r="CR89" s="261">
        <v>0</v>
      </c>
      <c r="CS89" s="261">
        <v>0</v>
      </c>
      <c r="CT89" s="261">
        <v>1.8531857485988776</v>
      </c>
      <c r="CU89" s="261">
        <v>1.9550320256204925</v>
      </c>
      <c r="CV89" s="261">
        <v>4.548</v>
      </c>
      <c r="CW89" s="261">
        <v>4.5570000000000004</v>
      </c>
      <c r="CX89" s="204">
        <f>IFERROR(AVERAGEIF(RD[[#This Row],[IS1POA1 (KWh/m2)]:[IS7POA2 (KWh/m2)]],"&lt;&gt;0",RD[[#This Row],[IS1POA1 (KWh/m2)]:[IS7POA2 (KWh/m2)]]),"")</f>
        <v>5.3592932416666681</v>
      </c>
      <c r="CY89" s="204">
        <f>IFERROR(AVERAGEIF(RD[[#This Row],[IS1GHI1 (KWh/m2)]:[IS7GHI2 (KWh/m2)]],"&lt;&gt;0",RD[[#This Row],[IS1GHI1 (KWh/m2)]:[IS7GHI2 (KWh/m2)]]),"")</f>
        <v>4.8533310416666682</v>
      </c>
      <c r="CZ89" s="204">
        <f>IFERROR(AVERAGEIF(RD[[#This Row],[IS1POA_BS1 (KWh/m2)]:[IS7POA_BS2 (KWh/m2)]],"&lt;&gt;0",RD[[#This Row],[IS1POA_BS1 (KWh/m2)]:[IS7POA_BS2 (KWh/m2)]]),"")</f>
        <v>0.68392808333333399</v>
      </c>
      <c r="DA89" s="204">
        <f>IFERROR(AVERAGEIF(RD[[#This Row],[IS1GHI_BS1 (KWh/m2)]:[IS1GHI_BS1 (KWh/m2)2]],"&lt;&gt;0",RD[[#This Row],[IS1GHI_BS1 (KWh/m2)]:[IS1GHI_BS1 (KWh/m2)2]]),"")</f>
        <v>0.84240290833333398</v>
      </c>
      <c r="DB89" s="204">
        <f>IFERROR(AVERAGEIF(RD[[#This Row],[IS1AT1 (°C)]:[IS7AT2 (°C)]],"&lt;&gt;0",RD[[#This Row],[IS1AT1 (°C)]:[IS7AT2 (°C)]]),"")</f>
        <v>29.185792634107244</v>
      </c>
      <c r="DC89" s="204">
        <f>IFERROR(AVERAGEIF(RD[[#This Row],[IS1MT1 (°C)]:[IS7MT2 (°C)]],"&lt;&gt;0",RD[[#This Row],[IS1MT1 (°C)]:[IS7MT2 (°C)]]),"")</f>
        <v>39.942155724579699</v>
      </c>
      <c r="DD89" s="204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204">
        <f>IFERROR(AVERAGEIF(RD[[#This Row],[WS_Solar1_Avg (m/s)]:[IS7_WS_Solar1_Avg (m/s)]],"&lt;&gt;0",RD[[#This Row],[WS_Solar1_Avg (m/s)]:[IS7_WS_Solar1_Avg (m/s)]]),"")</f>
        <v>1.9041088871096852</v>
      </c>
      <c r="DG89" s="204">
        <f>IFERROR(AVERAGEIF(RD[[#This Row],[WS_Solar1_Max (m/s)]:[IS7_WS_Solar1_Max (m/s)]],"&lt;&gt;0",RD[[#This Row],[WS_Solar1_Max (m/s)]:[IS7_WS_Solar1_Max (m/s)]]),"")</f>
        <v>4.5525000000000002</v>
      </c>
      <c r="DH89" s="204">
        <f>SUM(RD[[#This Row],[IS1Inv1M1]:[IS4Inv4M2]])</f>
        <v>217651.00000000006</v>
      </c>
      <c r="DI89" s="205">
        <f>SUM(RD[[#This Row],[IS7Inv1M1]]+RD[[#This Row],[IS7Inv2M1]])</f>
        <v>12986</v>
      </c>
      <c r="DJ89" s="204">
        <f>SUM(RD[[#This Row],[IS5Inv1M1]:[IS5Inv2M2]])</f>
        <v>32154.3</v>
      </c>
      <c r="DK89" s="204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86">
        <f>SUM(RD[[#This Row],[IS12Inv1M1]:[IS12Inv1M4]])</f>
        <v>27637.5</v>
      </c>
      <c r="DO89" s="286">
        <f>SUM(RD[[#This Row],[IS13Inv1M1]:[IS13Inv2M2]])</f>
        <v>30589.5</v>
      </c>
      <c r="DP89" s="204">
        <f>SUM(RD[[#This Row],[O2R15]:[O2R26]])</f>
        <v>531074.20000000007</v>
      </c>
      <c r="DQ89" s="164">
        <v>44152.9</v>
      </c>
      <c r="DR89" s="168">
        <v>223</v>
      </c>
      <c r="DS89" s="164">
        <v>38536.5</v>
      </c>
      <c r="DT89" s="164">
        <v>235.2</v>
      </c>
      <c r="DU89" s="168">
        <v>45382.400000000001</v>
      </c>
      <c r="DV89" s="168">
        <v>428.3</v>
      </c>
      <c r="DW89" s="164">
        <v>10420.5</v>
      </c>
      <c r="DX89" s="168">
        <v>53.3</v>
      </c>
      <c r="DY89" s="168">
        <v>2876.5</v>
      </c>
      <c r="DZ89" s="168">
        <v>11.7</v>
      </c>
      <c r="EA89" s="140">
        <v>104.27</v>
      </c>
      <c r="EB89" s="241">
        <v>145179394</v>
      </c>
      <c r="EC89" s="240">
        <v>1018456.32</v>
      </c>
      <c r="ED89" s="241">
        <v>1224</v>
      </c>
      <c r="EE89" s="241">
        <v>139400</v>
      </c>
      <c r="EF89" s="164">
        <v>201293.3</v>
      </c>
      <c r="EG89" s="164">
        <v>1972.1</v>
      </c>
      <c r="EH89" s="146">
        <f>IF((RD[[#This Row],[33 kV_F3_Ex
Incomer1]]-DQ88)*1000&lt;0,0,(RD[[#This Row],[33 kV_F3_Ex
Incomer1]]-DQ88)*1000)</f>
        <v>110099.99999999854</v>
      </c>
      <c r="EI89" s="146">
        <f>IF((RD[[#This Row],[34 kV_F3_Im
Incomer1]]-DR88)*1000&lt;0,0,(RD[[#This Row],[34 kV_F3_Im
Incomer1]]-DR88)*1000)</f>
        <v>400.00000000000568</v>
      </c>
      <c r="EJ89" s="146">
        <f>IF((RD[[#This Row],[33 kV_F4_Ex
Incomer2]]-DS88)*1000&lt;0,0,(RD[[#This Row],[33 kV_F4_Ex
Incomer2]]-DS88)*1000)</f>
        <v>101500</v>
      </c>
      <c r="EK89" s="146">
        <f>IF((RD[[#This Row],[34 kV_F4_Im
Incomer2]]-DT88)*1000&lt;0,0,(RD[[#This Row],[34 kV_F4_Im
Incomer2]]-DT88)*1000)</f>
        <v>399.99999999997726</v>
      </c>
      <c r="EL89" s="146">
        <f>IF((RD[[#This Row],[33 kV_F5_Ex
Incomer3]]-DU88)*1000&lt;0,0,(RD[[#This Row],[33 kV_F5_Ex
Incomer3]]-DU88)*1000)</f>
        <v>138099.99999999854</v>
      </c>
      <c r="EM89" s="146">
        <f>IF((RD[[#This Row],[34 kV_F5_Im
Incomer3]]-DV88)*1000&lt;0,0,(RD[[#This Row],[34 kV_F5_Im
Incomer3]]-DV88)*1000)</f>
        <v>1500</v>
      </c>
      <c r="EN89" s="146">
        <f>IF((RD[[#This Row],[33 kV_F6_Ex
Incomer4]]-DW88)*1000&lt;0,0,(RD[[#This Row],[33 kV_F6_Ex
Incomer4]]-DW88)*1000)</f>
        <v>19100.000000000364</v>
      </c>
      <c r="EO89" s="146">
        <f t="shared" si="166"/>
        <v>299.99999999998295</v>
      </c>
      <c r="EP89" s="146">
        <f>IF((RD[[#This Row],[33 kV_F7_Ex
Incomer5]]-DY88)*1000&lt;0,0,(RD[[#This Row],[33 kV_F7_Ex
Incomer5]]-DY88)*1000)</f>
        <v>130900.00000000009</v>
      </c>
      <c r="EQ89" s="146">
        <f>IF((RD[[#This Row],[33 kV_F7_Im
Incomer5]]-DZ88)*1000&lt;0,0,(RD[[#This Row],[33 kV_F7_Im
Incomer5]]-DZ88)*1000)</f>
        <v>599.99999999999966</v>
      </c>
      <c r="ER89" s="146">
        <f>IF((RD[[#This Row],[33 kV_Aux Trafo]]-EA88)*1000&lt;0,0,(RD[[#This Row],[33 kV_Aux Trafo]]-EA88)*1000)</f>
        <v>280.00000000000114</v>
      </c>
      <c r="ES89" s="158">
        <f>IF((RD[[#This Row],[33kV_OG1_Ex_]]-EB88)*1&lt;0,0,(RD[[#This Row],[33kV_OG1_Ex_]]-EB88)*1)</f>
        <v>524944</v>
      </c>
      <c r="ET89" s="146">
        <f>IF((RD[[#This Row],[33kV_OG1_Im]]-EC88)*1&lt;0,0,(RD[[#This Row],[33kV_OG1_Im]]-EC88)*1)</f>
        <v>3432.4479999999749</v>
      </c>
      <c r="EU89" s="146">
        <f>IF((RD[[#This Row],[132kV_TX1_EX]]-ED88)*720&lt;=0,"",(RD[[#This Row],[132kV_TX1_EX]]-ED88)*720)</f>
        <v>2880</v>
      </c>
      <c r="EV89" s="146">
        <f>IF((RD[[#This Row],[132 kV_Tx1_Im]]-EE88)*720&lt;=0,0,(RD[[#This Row],[132 kV_Tx1_Im]]-EE88)*720)</f>
        <v>376560</v>
      </c>
      <c r="EW89" s="146">
        <f>IF((RD[[#This Row],[132kV_L1_Ex]]-EF88)*720&lt;=0,0,(RD[[#This Row],[132kV_L1_Ex]]-EF88)*720)</f>
        <v>523367.99999999581</v>
      </c>
      <c r="EX89" s="146">
        <f>IF((RD[[#This Row],[132kV_L1_Im]]-EG88)*720&lt;=0,0,(RD[[#This Row],[132kV_L1_Im]]-EG88)*720)</f>
        <v>4031.9999999999345</v>
      </c>
      <c r="EY89" s="242">
        <f>IFERROR(RD[[#This Row],[33kV_OG1_Ex (MWh)]]+RD[[#This Row],[33kV_OG1_Im (MWh)]],"")</f>
        <v>528376.44799999997</v>
      </c>
      <c r="EZ89" s="148">
        <f>RD[[#This Row],[33kV_OG1_Ex (MWh)]]-RD[[#This Row],[33kV_OG1_Im (MWh)]]</f>
        <v>521511.55200000003</v>
      </c>
      <c r="FA89" s="148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43">
        <f>IFERROR((RD[[#This Row],[Sunset Time (POA&lt;20 W/m2)]]-RD[[#This Row],[Sunrise Time (POA&gt;20 W/m2)]])*24,0)</f>
        <v>12.5</v>
      </c>
      <c r="FD89" s="244">
        <v>122.7</v>
      </c>
      <c r="FE89" s="303" t="s">
        <v>294</v>
      </c>
      <c r="FG89" s="144" t="str">
        <f>IFERROR(RD[[#This Row],[E_AC (WPR)]]/RD[[#This Row],[E_DC (WPR)]],"")</f>
        <v/>
      </c>
    </row>
    <row r="90" spans="1:163">
      <c r="A90" s="133">
        <f t="shared" si="161"/>
        <v>45830</v>
      </c>
      <c r="B90" s="138">
        <f>YEAR(RD[[#This Row],[Date]])+IF(MONTH(RD[[#This Row],[Date]])&gt;=4,1,0)</f>
        <v>2026</v>
      </c>
      <c r="C90" s="138">
        <f>YEAR(RD[[#This Row],[Date]])</f>
        <v>2025</v>
      </c>
      <c r="D90" s="139">
        <f t="shared" si="165"/>
        <v>45809</v>
      </c>
      <c r="E90" s="138">
        <f>DAY(EOMONTH(RD[[#This Row],[Date]],0))</f>
        <v>30</v>
      </c>
      <c r="F90" s="152">
        <v>0.25347222222222221</v>
      </c>
      <c r="G90" s="162">
        <v>0.77013888888888893</v>
      </c>
      <c r="H90" s="124">
        <v>4193.7</v>
      </c>
      <c r="I90" s="268">
        <v>4170</v>
      </c>
      <c r="J90" s="124">
        <v>3919.9</v>
      </c>
      <c r="K90" s="124">
        <v>3932.4</v>
      </c>
      <c r="L90" s="124">
        <v>4060.1</v>
      </c>
      <c r="M90" s="124">
        <v>4171.8</v>
      </c>
      <c r="N90" s="124">
        <v>4051.6</v>
      </c>
      <c r="O90" s="124">
        <v>4426.2</v>
      </c>
      <c r="P90" s="124">
        <v>4173.1000000000004</v>
      </c>
      <c r="Q90" s="124">
        <v>4047.1</v>
      </c>
      <c r="R90" s="124">
        <v>4194.1000000000004</v>
      </c>
      <c r="S90" s="266">
        <v>4203.5</v>
      </c>
      <c r="T90" s="124">
        <v>4393.6000000000004</v>
      </c>
      <c r="U90" s="124">
        <v>4235.7</v>
      </c>
      <c r="V90" s="124">
        <v>4302.1000000000004</v>
      </c>
      <c r="W90" s="124">
        <v>4102.3</v>
      </c>
      <c r="X90" s="266">
        <v>5798.2</v>
      </c>
      <c r="Y90" s="203">
        <v>6559.8</v>
      </c>
      <c r="Z90" s="203">
        <v>5648.4</v>
      </c>
      <c r="AA90" s="203">
        <v>5926.1</v>
      </c>
      <c r="AB90" s="266">
        <v>6295.2</v>
      </c>
      <c r="AC90" s="203">
        <v>3893.5</v>
      </c>
      <c r="AD90" s="203">
        <v>5964.4</v>
      </c>
      <c r="AE90" s="203">
        <v>6070</v>
      </c>
      <c r="AF90" s="266">
        <v>5891.9</v>
      </c>
      <c r="AG90" s="203">
        <v>5867.2</v>
      </c>
      <c r="AH90" s="203">
        <v>5895.6</v>
      </c>
      <c r="AI90" s="266">
        <v>5918.4</v>
      </c>
      <c r="AJ90" s="203">
        <v>4502.8</v>
      </c>
      <c r="AK90" s="266">
        <v>4671.3</v>
      </c>
      <c r="AL90" s="203">
        <v>4585.6000000000004</v>
      </c>
      <c r="AM90" s="266">
        <v>4648.8999999999996</v>
      </c>
      <c r="AN90" s="203">
        <v>4548.3</v>
      </c>
      <c r="AO90" s="266">
        <v>4706.5</v>
      </c>
      <c r="AP90" s="203">
        <v>4604.1000000000004</v>
      </c>
      <c r="AQ90" s="266">
        <v>4557.1000000000004</v>
      </c>
      <c r="AR90" s="203">
        <v>3627.3</v>
      </c>
      <c r="AS90" s="266">
        <v>3647.8</v>
      </c>
      <c r="AT90" s="203">
        <v>3645.4</v>
      </c>
      <c r="AU90" s="266">
        <v>3660.7</v>
      </c>
      <c r="AV90" s="203">
        <v>3718.2</v>
      </c>
      <c r="AW90" s="203">
        <v>3675.2</v>
      </c>
      <c r="AX90" s="203">
        <v>5162</v>
      </c>
      <c r="AY90" s="203">
        <v>5794.3</v>
      </c>
      <c r="AZ90" s="203">
        <v>4183.6000000000004</v>
      </c>
      <c r="BA90" s="203">
        <v>5069.3</v>
      </c>
      <c r="BB90" s="203">
        <v>5806.8</v>
      </c>
      <c r="BC90" s="203">
        <v>5521.1</v>
      </c>
      <c r="BD90" s="203">
        <v>5166.7</v>
      </c>
      <c r="BE90" s="203">
        <v>5730.1</v>
      </c>
      <c r="BF90" s="203">
        <v>6239.8</v>
      </c>
      <c r="BG90" s="203">
        <v>6336.4</v>
      </c>
      <c r="BH90" s="203">
        <v>6282.3</v>
      </c>
      <c r="BI90" s="203">
        <v>6464.1</v>
      </c>
      <c r="BJ90" s="203">
        <v>4232.2</v>
      </c>
      <c r="BK90" s="203">
        <v>3287</v>
      </c>
      <c r="BL90" s="203">
        <v>3991.7</v>
      </c>
      <c r="BM90" s="203">
        <v>3954.2</v>
      </c>
      <c r="BN90" s="203">
        <v>4483.8999999999996</v>
      </c>
      <c r="BO90" s="203">
        <v>4121.2</v>
      </c>
      <c r="BP90" s="203">
        <v>4599.8999999999996</v>
      </c>
      <c r="BQ90" s="203">
        <v>4619</v>
      </c>
      <c r="BR90" s="203">
        <v>4911.3999999999996</v>
      </c>
      <c r="BS90" s="203">
        <v>5064.3</v>
      </c>
      <c r="BT90" s="203">
        <v>4890</v>
      </c>
      <c r="BU90" s="203">
        <v>5175</v>
      </c>
      <c r="BV90" s="203">
        <v>2053.1</v>
      </c>
      <c r="BW90" s="203">
        <v>552.5</v>
      </c>
      <c r="BX90" s="203">
        <v>2504.5</v>
      </c>
      <c r="BY90" s="203">
        <v>1752.7</v>
      </c>
      <c r="BZ90" s="203">
        <v>642.20000000000005</v>
      </c>
      <c r="CA90" s="203">
        <v>536.20000000000005</v>
      </c>
      <c r="CB90" s="203">
        <v>2664.1</v>
      </c>
      <c r="CC90" s="203">
        <v>4386.6000000000004</v>
      </c>
      <c r="CD90" s="261">
        <v>3.3831749166666665</v>
      </c>
      <c r="CE90" s="261">
        <v>2.7478481500000003</v>
      </c>
      <c r="CF90" s="261">
        <v>2.6358150666666718</v>
      </c>
      <c r="CG90" s="261">
        <v>2.7759333499999954</v>
      </c>
      <c r="CH90" s="261">
        <v>0.32665090000000041</v>
      </c>
      <c r="CI90" s="261">
        <v>0.44135546666666681</v>
      </c>
      <c r="CJ90" s="261">
        <v>0.50180029999999931</v>
      </c>
      <c r="CK90" s="261">
        <v>0.45140669999999961</v>
      </c>
      <c r="CL90" s="261">
        <v>28.801201716738237</v>
      </c>
      <c r="CM90" s="261">
        <v>28.599845493562256</v>
      </c>
      <c r="CN90" s="261">
        <v>38.815381974248893</v>
      </c>
      <c r="CO90" s="261">
        <v>35.995758798283291</v>
      </c>
      <c r="CP90" s="261">
        <v>67.922712446352008</v>
      </c>
      <c r="CQ90" s="261">
        <v>70.682678111587919</v>
      </c>
      <c r="CR90" s="261">
        <v>0</v>
      </c>
      <c r="CS90" s="261">
        <v>6.1802575107296226E-2</v>
      </c>
      <c r="CT90" s="261">
        <v>1.8879141630901273</v>
      </c>
      <c r="CU90" s="261">
        <v>1.8651965665236052</v>
      </c>
      <c r="CV90" s="261">
        <v>4.1159999999999997</v>
      </c>
      <c r="CW90" s="261">
        <v>4.8419999999999996</v>
      </c>
      <c r="CX90" s="204">
        <f>IFERROR(AVERAGEIF(RD[[#This Row],[IS1POA1 (KWh/m2)]:[IS7POA2 (KWh/m2)]],"&lt;&gt;0",RD[[#This Row],[IS1POA1 (KWh/m2)]:[IS7POA2 (KWh/m2)]]),"")</f>
        <v>3.0655115333333334</v>
      </c>
      <c r="CY90" s="204">
        <f>IFERROR(AVERAGEIF(RD[[#This Row],[IS1GHI1 (KWh/m2)]:[IS7GHI2 (KWh/m2)]],"&lt;&gt;0",RD[[#This Row],[IS1GHI1 (KWh/m2)]:[IS7GHI2 (KWh/m2)]]),"")</f>
        <v>2.7058742083333334</v>
      </c>
      <c r="CZ90" s="204">
        <f>IFERROR(AVERAGEIF(RD[[#This Row],[IS1POA_BS1 (KWh/m2)]:[IS7POA_BS2 (KWh/m2)]],"&lt;&gt;0",RD[[#This Row],[IS1POA_BS1 (KWh/m2)]:[IS7POA_BS2 (KWh/m2)]]),"")</f>
        <v>0.38400318333333361</v>
      </c>
      <c r="DA90" s="204">
        <f>IFERROR(AVERAGEIF(RD[[#This Row],[IS1GHI_BS1 (KWh/m2)]:[IS1GHI_BS1 (KWh/m2)2]],"&lt;&gt;0",RD[[#This Row],[IS1GHI_BS1 (KWh/m2)]:[IS1GHI_BS1 (KWh/m2)2]]),"")</f>
        <v>0.47660349999999946</v>
      </c>
      <c r="DB90" s="204">
        <f>IFERROR(AVERAGEIF(RD[[#This Row],[IS1AT1 (°C)]:[IS7AT2 (°C)]],"&lt;&gt;0",RD[[#This Row],[IS1AT1 (°C)]:[IS7AT2 (°C)]]),"")</f>
        <v>28.700523605150245</v>
      </c>
      <c r="DC90" s="204">
        <f>IFERROR(AVERAGEIF(RD[[#This Row],[IS1MT1 (°C)]:[IS7MT2 (°C)]],"&lt;&gt;0",RD[[#This Row],[IS1MT1 (°C)]:[IS7MT2 (°C)]]),"")</f>
        <v>37.405570386266092</v>
      </c>
      <c r="DD90" s="204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204">
        <f>IFERROR(AVERAGEIF(RD[[#This Row],[WS_Solar1_Avg (m/s)]:[IS7_WS_Solar1_Avg (m/s)]],"&lt;&gt;0",RD[[#This Row],[WS_Solar1_Avg (m/s)]:[IS7_WS_Solar1_Avg (m/s)]]),"")</f>
        <v>1.8765553648068662</v>
      </c>
      <c r="DG90" s="204">
        <f>IFERROR(AVERAGEIF(RD[[#This Row],[WS_Solar1_Max (m/s)]:[IS7_WS_Solar1_Max (m/s)]],"&lt;&gt;0",RD[[#This Row],[WS_Solar1_Max (m/s)]:[IS7_WS_Solar1_Max (m/s)]]),"")</f>
        <v>4.4789999999999992</v>
      </c>
      <c r="DH90" s="204">
        <f>SUM(RD[[#This Row],[IS1Inv1M1]:[IS4Inv4M2]])</f>
        <v>136305.89999999997</v>
      </c>
      <c r="DI90" s="205">
        <f>SUM(RD[[#This Row],[IS7Inv1M1]]+RD[[#This Row],[IS7Inv2M1]])</f>
        <v>7275.1</v>
      </c>
      <c r="DJ90" s="204">
        <f>SUM(RD[[#This Row],[IS5Inv1M1]:[IS5Inv2M2]])</f>
        <v>18408.599999999999</v>
      </c>
      <c r="DK90" s="204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86">
        <f>SUM(RD[[#This Row],[IS12Inv1M1]:[IS12Inv1M4]])</f>
        <v>17824</v>
      </c>
      <c r="DO90" s="286">
        <f>SUM(RD[[#This Row],[IS13Inv1M1]:[IS13Inv2M2]])</f>
        <v>20040.7</v>
      </c>
      <c r="DP90" s="204">
        <f>SUM(RD[[#This Row],[O2R15]:[O2R26]])</f>
        <v>331283.3</v>
      </c>
      <c r="DQ90" s="164">
        <v>44222.2</v>
      </c>
      <c r="DR90" s="168">
        <v>223.3</v>
      </c>
      <c r="DS90" s="164">
        <v>38600.6</v>
      </c>
      <c r="DT90" s="164">
        <v>235.5</v>
      </c>
      <c r="DU90" s="168">
        <v>45461</v>
      </c>
      <c r="DV90" s="168">
        <v>429.4</v>
      </c>
      <c r="DW90" s="164">
        <v>10435.9</v>
      </c>
      <c r="DX90" s="168">
        <v>53.5</v>
      </c>
      <c r="DY90" s="168">
        <v>2962.1</v>
      </c>
      <c r="DZ90" s="168">
        <v>12.2</v>
      </c>
      <c r="EA90" s="140">
        <v>104.48</v>
      </c>
      <c r="EB90" s="241">
        <v>145508876</v>
      </c>
      <c r="EC90" s="240">
        <v>1020830.272</v>
      </c>
      <c r="ED90" s="241">
        <v>1226</v>
      </c>
      <c r="EE90" s="241">
        <v>139728</v>
      </c>
      <c r="EF90" s="164">
        <v>201749.5</v>
      </c>
      <c r="EG90" s="164">
        <v>1976</v>
      </c>
      <c r="EH90" s="146">
        <f>IF((RD[[#This Row],[33 kV_F3_Ex
Incomer1]]-DQ89)*1000&lt;0,0,(RD[[#This Row],[33 kV_F3_Ex
Incomer1]]-DQ89)*1000)</f>
        <v>69299.999999995634</v>
      </c>
      <c r="EI90" s="146">
        <f>IF((RD[[#This Row],[34 kV_F3_Im
Incomer1]]-DR89)*1000&lt;0,0,(RD[[#This Row],[34 kV_F3_Im
Incomer1]]-DR89)*1000)</f>
        <v>300.00000000001137</v>
      </c>
      <c r="EJ90" s="146">
        <f>IF((RD[[#This Row],[33 kV_F4_Ex
Incomer2]]-DS89)*1000&lt;0,0,(RD[[#This Row],[33 kV_F4_Ex
Incomer2]]-DS89)*1000)</f>
        <v>64099.999999998545</v>
      </c>
      <c r="EK90" s="146">
        <f>IF((RD[[#This Row],[34 kV_F4_Im
Incomer2]]-DT89)*1000&lt;0,0,(RD[[#This Row],[34 kV_F4_Im
Incomer2]]-DT89)*1000)</f>
        <v>300.00000000001137</v>
      </c>
      <c r="EL90" s="146">
        <f>IF((RD[[#This Row],[33 kV_F5_Ex
Incomer3]]-DU89)*1000&lt;0,0,(RD[[#This Row],[33 kV_F5_Ex
Incomer3]]-DU89)*1000)</f>
        <v>78599.999999998545</v>
      </c>
      <c r="EM90" s="146">
        <f>IF((RD[[#This Row],[34 kV_F5_Im
Incomer3]]-DV89)*1000&lt;0,0,(RD[[#This Row],[34 kV_F5_Im
Incomer3]]-DV89)*1000)</f>
        <v>1099.9999999999659</v>
      </c>
      <c r="EN90" s="146">
        <f>IF((RD[[#This Row],[33 kV_F6_Ex
Incomer4]]-DW89)*1000&lt;0,0,(RD[[#This Row],[33 kV_F6_Ex
Incomer4]]-DW89)*1000)</f>
        <v>15399.999999999636</v>
      </c>
      <c r="EO90" s="146">
        <f t="shared" si="166"/>
        <v>400.00000000000568</v>
      </c>
      <c r="EP90" s="146">
        <f>IF((RD[[#This Row],[33 kV_F7_Ex
Incomer5]]-DY89)*1000&lt;0,0,(RD[[#This Row],[33 kV_F7_Ex
Incomer5]]-DY89)*1000)</f>
        <v>85599.999999999913</v>
      </c>
      <c r="EQ90" s="146">
        <f>IF((RD[[#This Row],[33 kV_F7_Im
Incomer5]]-DZ89)*1000&lt;0,0,(RD[[#This Row],[33 kV_F7_Im
Incomer5]]-DZ89)*1000)</f>
        <v>500</v>
      </c>
      <c r="ER90" s="146">
        <f>IF((RD[[#This Row],[33 kV_Aux Trafo]]-EA89)*1000&lt;0,0,(RD[[#This Row],[33 kV_Aux Trafo]]-EA89)*1000)</f>
        <v>210.00000000000796</v>
      </c>
      <c r="ES90" s="158">
        <f>IF((RD[[#This Row],[33kV_OG1_Ex_]]-EB89)*1&lt;0,0,(RD[[#This Row],[33kV_OG1_Ex_]]-EB89)*1)</f>
        <v>329482</v>
      </c>
      <c r="ET90" s="146">
        <f>IF((RD[[#This Row],[33kV_OG1_Im]]-EC89)*1&lt;0,0,(RD[[#This Row],[33kV_OG1_Im]]-EC89)*1)</f>
        <v>2373.9520000000484</v>
      </c>
      <c r="EU90" s="146">
        <f>IF((RD[[#This Row],[132kV_TX1_EX]]-ED89)*720&lt;=0,"",(RD[[#This Row],[132kV_TX1_EX]]-ED89)*720)</f>
        <v>1440</v>
      </c>
      <c r="EV90" s="146">
        <f>IF((RD[[#This Row],[132 kV_Tx1_Im]]-EE89)*720&lt;=0,0,(RD[[#This Row],[132 kV_Tx1_Im]]-EE89)*720)</f>
        <v>236160</v>
      </c>
      <c r="EW90" s="146">
        <f>IF((RD[[#This Row],[132kV_L1_Ex]]-EF89)*720&lt;=0,0,(RD[[#This Row],[132kV_L1_Ex]]-EF89)*720)</f>
        <v>328464.00000000838</v>
      </c>
      <c r="EX90" s="146">
        <f>IF((RD[[#This Row],[132kV_L1_Im]]-EG89)*720&lt;=0,0,(RD[[#This Row],[132kV_L1_Im]]-EG89)*720)</f>
        <v>2808.0000000000655</v>
      </c>
      <c r="EY90" s="242">
        <f>IFERROR(RD[[#This Row],[33kV_OG1_Ex (MWh)]]+RD[[#This Row],[33kV_OG1_Im (MWh)]],"")</f>
        <v>331855.95200000005</v>
      </c>
      <c r="EZ90" s="148">
        <f>RD[[#This Row],[33kV_OG1_Ex (MWh)]]-RD[[#This Row],[33kV_OG1_Im (MWh)]]</f>
        <v>327108.04799999995</v>
      </c>
      <c r="FA90" s="148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43">
        <f>IFERROR((RD[[#This Row],[Sunset Time (POA&lt;20 W/m2)]]-RD[[#This Row],[Sunrise Time (POA&gt;20 W/m2)]])*24,0)</f>
        <v>12.400000000000002</v>
      </c>
      <c r="FD90" s="244">
        <v>122.7</v>
      </c>
      <c r="FE90" s="303" t="s">
        <v>297</v>
      </c>
      <c r="FG90" s="144" t="str">
        <f>IFERROR(RD[[#This Row],[E_AC (WPR)]]/RD[[#This Row],[E_DC (WPR)]],"")</f>
        <v/>
      </c>
    </row>
    <row r="91" spans="1:163">
      <c r="A91" s="133">
        <f t="shared" si="161"/>
        <v>45831</v>
      </c>
      <c r="B91" s="138">
        <f>YEAR(RD[[#This Row],[Date]])+IF(MONTH(RD[[#This Row],[Date]])&gt;=4,1,0)</f>
        <v>2026</v>
      </c>
      <c r="C91" s="138">
        <f>YEAR(RD[[#This Row],[Date]])</f>
        <v>2025</v>
      </c>
      <c r="D91" s="139">
        <f t="shared" si="165"/>
        <v>45809</v>
      </c>
      <c r="E91" s="138">
        <f>DAY(EOMONTH(RD[[#This Row],[Date]],0))</f>
        <v>30</v>
      </c>
      <c r="F91" s="152">
        <v>0.25347222222222221</v>
      </c>
      <c r="G91" s="162">
        <v>0.77777777777777779</v>
      </c>
      <c r="H91" s="124">
        <v>4317.8999999999996</v>
      </c>
      <c r="I91" s="268">
        <v>4326.3</v>
      </c>
      <c r="J91" s="124">
        <v>4029.8</v>
      </c>
      <c r="K91" s="124">
        <v>4030.3</v>
      </c>
      <c r="L91" s="124">
        <v>4134.8999999999996</v>
      </c>
      <c r="M91" s="124">
        <v>4269.5</v>
      </c>
      <c r="N91" s="124">
        <v>4174.3</v>
      </c>
      <c r="O91" s="124">
        <v>4617.2</v>
      </c>
      <c r="P91" s="124">
        <v>4300.3</v>
      </c>
      <c r="Q91" s="124">
        <v>4153.3999999999996</v>
      </c>
      <c r="R91" s="124">
        <v>4310.3</v>
      </c>
      <c r="S91" s="266">
        <v>4342.8999999999996</v>
      </c>
      <c r="T91" s="124">
        <v>4531.2</v>
      </c>
      <c r="U91" s="124">
        <v>4345.6000000000004</v>
      </c>
      <c r="V91" s="124">
        <v>4424.7</v>
      </c>
      <c r="W91" s="124">
        <v>4240.3</v>
      </c>
      <c r="X91" s="266">
        <v>6027.7</v>
      </c>
      <c r="Y91" s="203">
        <v>6862.2</v>
      </c>
      <c r="Z91" s="203">
        <v>5843.3</v>
      </c>
      <c r="AA91" s="203">
        <v>6127.5</v>
      </c>
      <c r="AB91" s="266">
        <v>6557.9</v>
      </c>
      <c r="AC91" s="203">
        <v>3947.9</v>
      </c>
      <c r="AD91" s="203">
        <v>6068.1</v>
      </c>
      <c r="AE91" s="203">
        <v>6161.2</v>
      </c>
      <c r="AF91" s="266">
        <v>6032.3</v>
      </c>
      <c r="AG91" s="203">
        <v>6065</v>
      </c>
      <c r="AH91" s="203">
        <v>5993</v>
      </c>
      <c r="AI91" s="266">
        <v>6001.9</v>
      </c>
      <c r="AJ91" s="203">
        <v>4575.5</v>
      </c>
      <c r="AK91" s="266">
        <v>4716.3999999999996</v>
      </c>
      <c r="AL91" s="203">
        <v>4603.2</v>
      </c>
      <c r="AM91" s="266">
        <v>4654.1000000000004</v>
      </c>
      <c r="AN91" s="203">
        <v>4583.2</v>
      </c>
      <c r="AO91" s="266">
        <v>4731.5</v>
      </c>
      <c r="AP91" s="203">
        <v>4661</v>
      </c>
      <c r="AQ91" s="266">
        <v>4599</v>
      </c>
      <c r="AR91" s="203">
        <v>3657</v>
      </c>
      <c r="AS91" s="266">
        <v>3662.1</v>
      </c>
      <c r="AT91" s="203">
        <v>3668.6</v>
      </c>
      <c r="AU91" s="266">
        <v>3694.2</v>
      </c>
      <c r="AV91" s="203">
        <v>3732.3</v>
      </c>
      <c r="AW91" s="203">
        <v>3689.6</v>
      </c>
      <c r="AX91" s="203">
        <v>5269.2</v>
      </c>
      <c r="AY91" s="203">
        <v>5931.9</v>
      </c>
      <c r="AZ91" s="203">
        <v>4229.8999999999996</v>
      </c>
      <c r="BA91" s="203">
        <v>5127.1000000000004</v>
      </c>
      <c r="BB91" s="203">
        <v>5912.2</v>
      </c>
      <c r="BC91" s="203">
        <v>5653.1</v>
      </c>
      <c r="BD91" s="203">
        <v>5113</v>
      </c>
      <c r="BE91" s="203">
        <v>5635.2</v>
      </c>
      <c r="BF91" s="203">
        <v>6111.3</v>
      </c>
      <c r="BG91" s="203">
        <v>6146.4</v>
      </c>
      <c r="BH91" s="203">
        <v>6074.5</v>
      </c>
      <c r="BI91" s="203">
        <v>6274.1</v>
      </c>
      <c r="BJ91" s="203">
        <v>4020.4</v>
      </c>
      <c r="BK91" s="203">
        <v>3103</v>
      </c>
      <c r="BL91" s="203">
        <v>3785</v>
      </c>
      <c r="BM91" s="203">
        <v>3750</v>
      </c>
      <c r="BN91" s="203">
        <v>4264.5</v>
      </c>
      <c r="BO91" s="203">
        <v>3917.8</v>
      </c>
      <c r="BP91" s="203">
        <v>4361</v>
      </c>
      <c r="BQ91" s="203">
        <v>4404.7</v>
      </c>
      <c r="BR91" s="203">
        <v>4688.3</v>
      </c>
      <c r="BS91" s="203">
        <v>4846.2</v>
      </c>
      <c r="BT91" s="203">
        <v>4675.3</v>
      </c>
      <c r="BU91" s="203">
        <v>4945.2</v>
      </c>
      <c r="BV91" s="203">
        <v>1898.4</v>
      </c>
      <c r="BW91" s="203">
        <v>498.9</v>
      </c>
      <c r="BX91" s="203">
        <v>3492.6</v>
      </c>
      <c r="BY91" s="203">
        <v>1919.4</v>
      </c>
      <c r="BZ91" s="203">
        <v>581.9</v>
      </c>
      <c r="CA91" s="203">
        <v>483.4</v>
      </c>
      <c r="CB91" s="203">
        <v>2479.9</v>
      </c>
      <c r="CC91" s="203">
        <v>4178.8999999999996</v>
      </c>
      <c r="CD91" s="261">
        <v>3.4551595333333323</v>
      </c>
      <c r="CE91" s="261">
        <v>2.7390373833333315</v>
      </c>
      <c r="CF91" s="261">
        <v>2.6891340833333319</v>
      </c>
      <c r="CG91" s="261">
        <v>2.7390373833333315</v>
      </c>
      <c r="CH91" s="261">
        <v>0.33593361666666727</v>
      </c>
      <c r="CI91" s="261">
        <v>0.42498816666666628</v>
      </c>
      <c r="CJ91" s="261">
        <v>0.50771648333333408</v>
      </c>
      <c r="CK91" s="261">
        <v>0.44849651666666651</v>
      </c>
      <c r="CL91" s="261">
        <v>27.967526041666652</v>
      </c>
      <c r="CM91" s="261">
        <v>27.854704861111131</v>
      </c>
      <c r="CN91" s="261">
        <v>38.174468749999974</v>
      </c>
      <c r="CO91" s="261">
        <v>35.320512152777773</v>
      </c>
      <c r="CP91" s="261">
        <v>72.933307291666694</v>
      </c>
      <c r="CQ91" s="261">
        <v>74.675086805555694</v>
      </c>
      <c r="CR91" s="261">
        <v>0</v>
      </c>
      <c r="CS91" s="261">
        <v>0</v>
      </c>
      <c r="CT91" s="261">
        <v>1.7810885416666697</v>
      </c>
      <c r="CU91" s="261">
        <v>1.8733880208333342</v>
      </c>
      <c r="CV91" s="261">
        <v>4.5720000000000001</v>
      </c>
      <c r="CW91" s="261">
        <v>4.7489999999999997</v>
      </c>
      <c r="CX91" s="204">
        <f>IFERROR(AVERAGEIF(RD[[#This Row],[IS1POA1 (KWh/m2)]:[IS7POA2 (KWh/m2)]],"&lt;&gt;0",RD[[#This Row],[IS1POA1 (KWh/m2)]:[IS7POA2 (KWh/m2)]]),"")</f>
        <v>3.0970984583333321</v>
      </c>
      <c r="CY91" s="204">
        <f>IFERROR(AVERAGEIF(RD[[#This Row],[IS1GHI1 (KWh/m2)]:[IS7GHI2 (KWh/m2)]],"&lt;&gt;0",RD[[#This Row],[IS1GHI1 (KWh/m2)]:[IS7GHI2 (KWh/m2)]]),"")</f>
        <v>2.7140857333333317</v>
      </c>
      <c r="CZ91" s="204">
        <f>IFERROR(AVERAGEIF(RD[[#This Row],[IS1POA_BS1 (KWh/m2)]:[IS7POA_BS2 (KWh/m2)]],"&lt;&gt;0",RD[[#This Row],[IS1POA_BS1 (KWh/m2)]:[IS7POA_BS2 (KWh/m2)]]),"")</f>
        <v>0.38046089166666675</v>
      </c>
      <c r="DA91" s="204">
        <f>IFERROR(AVERAGEIF(RD[[#This Row],[IS1GHI_BS1 (KWh/m2)]:[IS1GHI_BS1 (KWh/m2)2]],"&lt;&gt;0",RD[[#This Row],[IS1GHI_BS1 (KWh/m2)]:[IS1GHI_BS1 (KWh/m2)2]]),"")</f>
        <v>0.47810650000000032</v>
      </c>
      <c r="DB91" s="204">
        <f>IFERROR(AVERAGEIF(RD[[#This Row],[IS1AT1 (°C)]:[IS7AT2 (°C)]],"&lt;&gt;0",RD[[#This Row],[IS1AT1 (°C)]:[IS7AT2 (°C)]]),"")</f>
        <v>27.911115451388891</v>
      </c>
      <c r="DC91" s="204">
        <f>IFERROR(AVERAGEIF(RD[[#This Row],[IS1MT1 (°C)]:[IS7MT2 (°C)]],"&lt;&gt;0",RD[[#This Row],[IS1MT1 (°C)]:[IS7MT2 (°C)]]),"")</f>
        <v>36.74749045138887</v>
      </c>
      <c r="DD91" s="204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204">
        <f>IFERROR(AVERAGEIF(RD[[#This Row],[WS_Solar1_Avg (m/s)]:[IS7_WS_Solar1_Avg (m/s)]],"&lt;&gt;0",RD[[#This Row],[WS_Solar1_Avg (m/s)]:[IS7_WS_Solar1_Avg (m/s)]]),"")</f>
        <v>1.8272382812500019</v>
      </c>
      <c r="DG91" s="204">
        <f>IFERROR(AVERAGEIF(RD[[#This Row],[WS_Solar1_Max (m/s)]:[IS7_WS_Solar1_Max (m/s)]],"&lt;&gt;0",RD[[#This Row],[WS_Solar1_Max (m/s)]:[IS7_WS_Solar1_Max (m/s)]]),"")</f>
        <v>4.6604999999999999</v>
      </c>
      <c r="DH91" s="204">
        <f>SUM(RD[[#This Row],[IS1Inv1M1]:[IS4Inv4M2]])</f>
        <v>140236.9</v>
      </c>
      <c r="DI91" s="205">
        <f>SUM(RD[[#This Row],[IS7Inv1M1]]+RD[[#This Row],[IS7Inv2M1]])</f>
        <v>7319.1</v>
      </c>
      <c r="DJ91" s="204">
        <f>SUM(RD[[#This Row],[IS5Inv1M1]:[IS5Inv2M2]])</f>
        <v>18549.199999999997</v>
      </c>
      <c r="DK91" s="204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86">
        <f>SUM(RD[[#This Row],[IS12Inv1M1]:[IS12Inv1M4]])</f>
        <v>16948</v>
      </c>
      <c r="DO91" s="286">
        <f>SUM(RD[[#This Row],[IS13Inv1M1]:[IS13Inv2M2]])</f>
        <v>19155</v>
      </c>
      <c r="DP91" s="204">
        <f>SUM(RD[[#This Row],[O2R15]:[O2R26]])</f>
        <v>333237.3</v>
      </c>
      <c r="DQ91" s="164">
        <v>44293.599999999999</v>
      </c>
      <c r="DR91" s="168">
        <v>223.7</v>
      </c>
      <c r="DS91" s="164">
        <v>38666.9</v>
      </c>
      <c r="DT91" s="164">
        <v>235.8</v>
      </c>
      <c r="DU91" s="168">
        <v>45540.5</v>
      </c>
      <c r="DV91" s="168">
        <v>430.6</v>
      </c>
      <c r="DW91" s="164">
        <v>10451.799999999999</v>
      </c>
      <c r="DX91" s="168">
        <v>53.6</v>
      </c>
      <c r="DY91" s="168">
        <v>3045.1</v>
      </c>
      <c r="DZ91" s="168">
        <v>12.7</v>
      </c>
      <c r="EA91" s="140">
        <v>104.71</v>
      </c>
      <c r="EB91" s="241">
        <v>145840848</v>
      </c>
      <c r="EC91" s="240">
        <v>1023598.272</v>
      </c>
      <c r="ED91" s="241">
        <v>1230</v>
      </c>
      <c r="EE91" s="241">
        <v>140059</v>
      </c>
      <c r="EF91" s="164">
        <v>202209.2</v>
      </c>
      <c r="EG91" s="164">
        <v>1980.4</v>
      </c>
      <c r="EH91" s="146">
        <f>IF((RD[[#This Row],[33 kV_F3_Ex
Incomer1]]-DQ90)*1000&lt;0,0,(RD[[#This Row],[33 kV_F3_Ex
Incomer1]]-DQ90)*1000)</f>
        <v>71400.000000001455</v>
      </c>
      <c r="EI91" s="146">
        <f>IF((RD[[#This Row],[34 kV_F3_Im
Incomer1]]-DR90)*1000&lt;0,0,(RD[[#This Row],[34 kV_F3_Im
Incomer1]]-DR90)*1000)</f>
        <v>399.99999999997726</v>
      </c>
      <c r="EJ91" s="146">
        <f>IF((RD[[#This Row],[33 kV_F4_Ex
Incomer2]]-DS90)*1000&lt;0,0,(RD[[#This Row],[33 kV_F4_Ex
Incomer2]]-DS90)*1000)</f>
        <v>66300.00000000291</v>
      </c>
      <c r="EK91" s="146">
        <f>IF((RD[[#This Row],[34 kV_F4_Im
Incomer2]]-DT90)*1000&lt;0,0,(RD[[#This Row],[34 kV_F4_Im
Incomer2]]-DT90)*1000)</f>
        <v>300.00000000001137</v>
      </c>
      <c r="EL91" s="146">
        <f>IF((RD[[#This Row],[33 kV_F5_Ex
Incomer3]]-DU90)*1000&lt;0,0,(RD[[#This Row],[33 kV_F5_Ex
Incomer3]]-DU90)*1000)</f>
        <v>79500</v>
      </c>
      <c r="EM91" s="146">
        <f>IF((RD[[#This Row],[34 kV_F5_Im
Incomer3]]-DV90)*1000&lt;0,0,(RD[[#This Row],[34 kV_F5_Im
Incomer3]]-DV90)*1000)</f>
        <v>1200.0000000000455</v>
      </c>
      <c r="EN91" s="146">
        <f>IF((RD[[#This Row],[33 kV_F6_Ex
Incomer4]]-DW90)*1000&lt;0,0,(RD[[#This Row],[33 kV_F6_Ex
Incomer4]]-DW90)*1000)</f>
        <v>15899.999999999636</v>
      </c>
      <c r="EO91" s="146">
        <f t="shared" si="166"/>
        <v>300.00000000001137</v>
      </c>
      <c r="EP91" s="146">
        <f>IF((RD[[#This Row],[33 kV_F7_Ex
Incomer5]]-DY90)*1000&lt;0,0,(RD[[#This Row],[33 kV_F7_Ex
Incomer5]]-DY90)*1000)</f>
        <v>83000</v>
      </c>
      <c r="EQ91" s="146">
        <f>IF((RD[[#This Row],[33 kV_F7_Im
Incomer5]]-DZ90)*1000&lt;0,0,(RD[[#This Row],[33 kV_F7_Im
Incomer5]]-DZ90)*1000)</f>
        <v>500</v>
      </c>
      <c r="ER91" s="146">
        <f>IF((RD[[#This Row],[33 kV_Aux Trafo]]-EA90)*1000&lt;0,0,(RD[[#This Row],[33 kV_Aux Trafo]]-EA90)*1000)</f>
        <v>229.99999999998977</v>
      </c>
      <c r="ES91" s="158">
        <f>IF((RD[[#This Row],[33kV_OG1_Ex_]]-EB90)*1&lt;0,0,(RD[[#This Row],[33kV_OG1_Ex_]]-EB90)*1)</f>
        <v>331972</v>
      </c>
      <c r="ET91" s="146">
        <f>IF((RD[[#This Row],[33kV_OG1_Im]]-EC90)*1&lt;0,0,(RD[[#This Row],[33kV_OG1_Im]]-EC90)*1)</f>
        <v>2768</v>
      </c>
      <c r="EU91" s="146">
        <f>IF((RD[[#This Row],[132kV_TX1_EX]]-ED90)*720&lt;=0,"",(RD[[#This Row],[132kV_TX1_EX]]-ED90)*720)</f>
        <v>2880</v>
      </c>
      <c r="EV91" s="146">
        <f>IF((RD[[#This Row],[132 kV_Tx1_Im]]-EE90)*720&lt;=0,0,(RD[[#This Row],[132 kV_Tx1_Im]]-EE90)*720)</f>
        <v>238320</v>
      </c>
      <c r="EW91" s="146">
        <f>IF((RD[[#This Row],[132kV_L1_Ex]]-EF90)*720&lt;=0,0,(RD[[#This Row],[132kV_L1_Ex]]-EF90)*720)</f>
        <v>330984.00000000838</v>
      </c>
      <c r="EX91" s="146">
        <f>IF((RD[[#This Row],[132kV_L1_Im]]-EG90)*720&lt;=0,0,(RD[[#This Row],[132kV_L1_Im]]-EG90)*720)</f>
        <v>3168.0000000000655</v>
      </c>
      <c r="EY91" s="242">
        <f>IFERROR(RD[[#This Row],[33kV_OG1_Ex (MWh)]]+RD[[#This Row],[33kV_OG1_Im (MWh)]],"")</f>
        <v>334740</v>
      </c>
      <c r="EZ91" s="148">
        <f>RD[[#This Row],[33kV_OG1_Ex (MWh)]]-RD[[#This Row],[33kV_OG1_Im (MWh)]]</f>
        <v>329204</v>
      </c>
      <c r="FA91" s="148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43">
        <f>IFERROR((RD[[#This Row],[Sunset Time (POA&lt;20 W/m2)]]-RD[[#This Row],[Sunrise Time (POA&gt;20 W/m2)]])*24,0)</f>
        <v>12.583333333333334</v>
      </c>
      <c r="FD91" s="244">
        <v>122.7</v>
      </c>
      <c r="FE91" s="303" t="s">
        <v>297</v>
      </c>
      <c r="FG91" s="144" t="str">
        <f>IFERROR(RD[[#This Row],[E_AC (WPR)]]/RD[[#This Row],[E_DC (WPR)]],"")</f>
        <v/>
      </c>
    </row>
    <row r="92" spans="1:163">
      <c r="A92" s="133">
        <f t="shared" si="161"/>
        <v>45832</v>
      </c>
      <c r="B92" s="138">
        <f>YEAR(RD[[#This Row],[Date]])+IF(MONTH(RD[[#This Row],[Date]])&gt;=4,1,0)</f>
        <v>2026</v>
      </c>
      <c r="C92" s="138">
        <f>YEAR(RD[[#This Row],[Date]])</f>
        <v>2025</v>
      </c>
      <c r="D92" s="139">
        <f t="shared" si="165"/>
        <v>45809</v>
      </c>
      <c r="E92" s="138">
        <f>DAY(EOMONTH(RD[[#This Row],[Date]],0))</f>
        <v>30</v>
      </c>
      <c r="F92" s="152">
        <v>0.25833333333333336</v>
      </c>
      <c r="G92" s="162">
        <v>0.75277777777777777</v>
      </c>
      <c r="H92" s="124">
        <v>886.8</v>
      </c>
      <c r="I92" s="268">
        <v>899.6</v>
      </c>
      <c r="J92" s="124">
        <v>834.6</v>
      </c>
      <c r="K92" s="124">
        <v>816.3</v>
      </c>
      <c r="L92" s="124">
        <v>838.5</v>
      </c>
      <c r="M92" s="124">
        <v>861.7</v>
      </c>
      <c r="N92" s="124">
        <v>844.7</v>
      </c>
      <c r="O92" s="124">
        <v>943</v>
      </c>
      <c r="P92" s="124">
        <v>887.9</v>
      </c>
      <c r="Q92" s="124">
        <v>853.3</v>
      </c>
      <c r="R92" s="124">
        <v>891.5</v>
      </c>
      <c r="S92" s="266">
        <v>905.4</v>
      </c>
      <c r="T92" s="124">
        <v>945.6</v>
      </c>
      <c r="U92" s="124">
        <v>913</v>
      </c>
      <c r="V92" s="124">
        <v>920.7</v>
      </c>
      <c r="W92" s="124">
        <v>884.2</v>
      </c>
      <c r="X92" s="266">
        <v>1314.9</v>
      </c>
      <c r="Y92" s="203">
        <v>1512.9</v>
      </c>
      <c r="Z92" s="203">
        <v>1261</v>
      </c>
      <c r="AA92" s="203">
        <v>1325.7</v>
      </c>
      <c r="AB92" s="266">
        <v>1405.6</v>
      </c>
      <c r="AC92" s="203">
        <v>873.1</v>
      </c>
      <c r="AD92" s="203">
        <v>1347.8</v>
      </c>
      <c r="AE92" s="203">
        <v>1370.5</v>
      </c>
      <c r="AF92" s="266">
        <v>1336</v>
      </c>
      <c r="AG92" s="203">
        <v>1341</v>
      </c>
      <c r="AH92" s="203">
        <v>1322.1</v>
      </c>
      <c r="AI92" s="266">
        <v>1326.5</v>
      </c>
      <c r="AJ92" s="203">
        <v>1050.3</v>
      </c>
      <c r="AK92" s="266">
        <v>1083</v>
      </c>
      <c r="AL92" s="203">
        <v>1059.8</v>
      </c>
      <c r="AM92" s="266">
        <v>1072.0999999999999</v>
      </c>
      <c r="AN92" s="203">
        <v>1059.2</v>
      </c>
      <c r="AO92" s="266">
        <v>1098.5999999999999</v>
      </c>
      <c r="AP92" s="203">
        <v>1080.0999999999999</v>
      </c>
      <c r="AQ92" s="266">
        <v>1069.0999999999999</v>
      </c>
      <c r="AR92" s="203">
        <v>827.7</v>
      </c>
      <c r="AS92" s="266">
        <v>831.1</v>
      </c>
      <c r="AT92" s="203">
        <v>824.5</v>
      </c>
      <c r="AU92" s="266">
        <v>830.8</v>
      </c>
      <c r="AV92" s="203">
        <v>842.4</v>
      </c>
      <c r="AW92" s="203">
        <v>836</v>
      </c>
      <c r="AX92" s="203">
        <v>1223.0999999999999</v>
      </c>
      <c r="AY92" s="203">
        <v>1377.8</v>
      </c>
      <c r="AZ92" s="203">
        <v>992.2</v>
      </c>
      <c r="BA92" s="203">
        <v>1215.5</v>
      </c>
      <c r="BB92" s="203">
        <v>1392</v>
      </c>
      <c r="BC92" s="203">
        <v>1322</v>
      </c>
      <c r="BD92" s="203">
        <v>1180</v>
      </c>
      <c r="BE92" s="203">
        <v>1301</v>
      </c>
      <c r="BF92" s="203">
        <v>1418.4</v>
      </c>
      <c r="BG92" s="203">
        <v>1433.6</v>
      </c>
      <c r="BH92" s="203">
        <v>1421</v>
      </c>
      <c r="BI92" s="203">
        <v>1471</v>
      </c>
      <c r="BJ92" s="203">
        <v>923</v>
      </c>
      <c r="BK92" s="203">
        <v>708</v>
      </c>
      <c r="BL92" s="203">
        <v>868</v>
      </c>
      <c r="BM92" s="203">
        <v>860</v>
      </c>
      <c r="BN92" s="203">
        <v>975</v>
      </c>
      <c r="BO92" s="203">
        <v>895</v>
      </c>
      <c r="BP92" s="203">
        <v>1000.3</v>
      </c>
      <c r="BQ92" s="203">
        <v>1010</v>
      </c>
      <c r="BR92" s="203">
        <v>1098.5999999999999</v>
      </c>
      <c r="BS92" s="203">
        <v>1134.4000000000001</v>
      </c>
      <c r="BT92" s="203">
        <v>1090.5999999999999</v>
      </c>
      <c r="BU92" s="203">
        <v>1156.4000000000001</v>
      </c>
      <c r="BV92" s="203">
        <v>444.2</v>
      </c>
      <c r="BW92" s="203">
        <v>96.6</v>
      </c>
      <c r="BX92" s="203">
        <v>823.9</v>
      </c>
      <c r="BY92" s="203">
        <v>504.2</v>
      </c>
      <c r="BZ92" s="203">
        <v>114.4</v>
      </c>
      <c r="CA92" s="203">
        <v>92.5</v>
      </c>
      <c r="CB92" s="203">
        <v>564.5</v>
      </c>
      <c r="CC92" s="203">
        <v>967.4</v>
      </c>
      <c r="CD92" s="261">
        <v>1.7674343000000015</v>
      </c>
      <c r="CE92" s="261">
        <v>1.5297184166666646</v>
      </c>
      <c r="CF92" s="261">
        <v>1.365506200000002</v>
      </c>
      <c r="CG92" s="261">
        <v>1.5168872333333325</v>
      </c>
      <c r="CH92" s="261">
        <v>0.16999783333333307</v>
      </c>
      <c r="CI92" s="261">
        <v>0.23726168333333295</v>
      </c>
      <c r="CJ92" s="261">
        <v>0.25271666666666681</v>
      </c>
      <c r="CK92" s="261">
        <v>0.24675636666666614</v>
      </c>
      <c r="CL92" s="261">
        <v>26.669948905109489</v>
      </c>
      <c r="CM92" s="261">
        <v>25.823970802919689</v>
      </c>
      <c r="CN92" s="261">
        <v>34.336596350364914</v>
      </c>
      <c r="CO92" s="261">
        <v>31.129043795620461</v>
      </c>
      <c r="CP92" s="261">
        <v>85.991401459854089</v>
      </c>
      <c r="CQ92" s="261">
        <v>87.814846715328486</v>
      </c>
      <c r="CR92" s="261">
        <v>7.0072992700730141E-2</v>
      </c>
      <c r="CS92" s="261">
        <v>0.14890510948905092</v>
      </c>
      <c r="CT92" s="261">
        <v>1.0230503649635039</v>
      </c>
      <c r="CU92" s="261">
        <v>1.0937540145985403</v>
      </c>
      <c r="CV92" s="261">
        <v>3.3719999999999999</v>
      </c>
      <c r="CW92" s="261">
        <v>3.5880000000000001</v>
      </c>
      <c r="CX92" s="204">
        <f>IFERROR(AVERAGEIF(RD[[#This Row],[IS1POA1 (KWh/m2)]:[IS7POA2 (KWh/m2)]],"&lt;&gt;0",RD[[#This Row],[IS1POA1 (KWh/m2)]:[IS7POA2 (KWh/m2)]]),"")</f>
        <v>1.648576358333333</v>
      </c>
      <c r="CY92" s="204">
        <f>IFERROR(AVERAGEIF(RD[[#This Row],[IS1GHI1 (KWh/m2)]:[IS7GHI2 (KWh/m2)]],"&lt;&gt;0",RD[[#This Row],[IS1GHI1 (KWh/m2)]:[IS7GHI2 (KWh/m2)]]),"")</f>
        <v>1.4411967166666673</v>
      </c>
      <c r="CZ92" s="204">
        <f>IFERROR(AVERAGEIF(RD[[#This Row],[IS1POA_BS1 (KWh/m2)]:[IS7POA_BS2 (KWh/m2)]],"&lt;&gt;0",RD[[#This Row],[IS1POA_BS1 (KWh/m2)]:[IS7POA_BS2 (KWh/m2)]]),"")</f>
        <v>0.20362975833333302</v>
      </c>
      <c r="DA92" s="204">
        <f>IFERROR(AVERAGEIF(RD[[#This Row],[IS1GHI_BS1 (KWh/m2)]:[IS1GHI_BS1 (KWh/m2)2]],"&lt;&gt;0",RD[[#This Row],[IS1GHI_BS1 (KWh/m2)]:[IS1GHI_BS1 (KWh/m2)2]]),"")</f>
        <v>0.24973651666666646</v>
      </c>
      <c r="DB92" s="204">
        <f>IFERROR(AVERAGEIF(RD[[#This Row],[IS1AT1 (°C)]:[IS7AT2 (°C)]],"&lt;&gt;0",RD[[#This Row],[IS1AT1 (°C)]:[IS7AT2 (°C)]]),"")</f>
        <v>26.246959854014591</v>
      </c>
      <c r="DC92" s="204">
        <f>IFERROR(AVERAGEIF(RD[[#This Row],[IS1MT1 (°C)]:[IS7MT2 (°C)]],"&lt;&gt;0",RD[[#This Row],[IS1MT1 (°C)]:[IS7MT2 (°C)]]),"")</f>
        <v>32.732820072992688</v>
      </c>
      <c r="DD92" s="204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204">
        <f>IFERROR(AVERAGEIF(RD[[#This Row],[WS_Solar1_Avg (m/s)]:[IS7_WS_Solar1_Avg (m/s)]],"&lt;&gt;0",RD[[#This Row],[WS_Solar1_Avg (m/s)]:[IS7_WS_Solar1_Avg (m/s)]]),"")</f>
        <v>1.0584021897810221</v>
      </c>
      <c r="DG92" s="204">
        <f>IFERROR(AVERAGEIF(RD[[#This Row],[WS_Solar1_Max (m/s)]:[IS7_WS_Solar1_Max (m/s)]],"&lt;&gt;0",RD[[#This Row],[WS_Solar1_Max (m/s)]:[IS7_WS_Solar1_Max (m/s)]]),"")</f>
        <v>3.48</v>
      </c>
      <c r="DH92" s="204">
        <f>SUM(RD[[#This Row],[IS1Inv1M1]:[IS4Inv4M2]])</f>
        <v>29863.899999999998</v>
      </c>
      <c r="DI92" s="205">
        <f>SUM(RD[[#This Row],[IS7Inv1M1]]+RD[[#This Row],[IS7Inv2M1]])</f>
        <v>1658.8000000000002</v>
      </c>
      <c r="DJ92" s="204">
        <f>SUM(RD[[#This Row],[IS5Inv1M1]:[IS5Inv2M2]])</f>
        <v>4265.2000000000007</v>
      </c>
      <c r="DK92" s="204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86">
        <f>SUM(RD[[#This Row],[IS12Inv1M1]:[IS12Inv1M4]])</f>
        <v>3880.3</v>
      </c>
      <c r="DO92" s="286">
        <f>SUM(RD[[#This Row],[IS13Inv1M1]:[IS13Inv2M2]])</f>
        <v>4480</v>
      </c>
      <c r="DP92" s="204">
        <f>SUM(RD[[#This Row],[O2R15]:[O2R26]])</f>
        <v>74503.199999999997</v>
      </c>
      <c r="DQ92" s="164">
        <v>44309.2</v>
      </c>
      <c r="DR92" s="168">
        <v>224.1</v>
      </c>
      <c r="DS92" s="164">
        <v>38680.9</v>
      </c>
      <c r="DT92" s="164">
        <v>236.2</v>
      </c>
      <c r="DU92" s="168">
        <v>45558.9</v>
      </c>
      <c r="DV92" s="168">
        <v>432.1</v>
      </c>
      <c r="DW92" s="164">
        <v>10455.6</v>
      </c>
      <c r="DX92" s="168">
        <v>53.9</v>
      </c>
      <c r="DY92" s="168">
        <v>3064.5</v>
      </c>
      <c r="DZ92" s="168">
        <v>13.6</v>
      </c>
      <c r="EA92" s="140">
        <v>104.91</v>
      </c>
      <c r="EB92" s="241">
        <v>145915772</v>
      </c>
      <c r="EC92" s="240">
        <v>1027600.64</v>
      </c>
      <c r="ED92" s="241">
        <v>1234</v>
      </c>
      <c r="EE92" s="241">
        <v>140133</v>
      </c>
      <c r="EF92" s="164">
        <v>202312.9</v>
      </c>
      <c r="EG92" s="164">
        <v>1986.8</v>
      </c>
      <c r="EH92" s="146">
        <f>IF((RD[[#This Row],[33 kV_F3_Ex
Incomer1]]-DQ91)*1000&lt;0,0,(RD[[#This Row],[33 kV_F3_Ex
Incomer1]]-DQ91)*1000)</f>
        <v>15599.999999998545</v>
      </c>
      <c r="EI92" s="146">
        <f>IF((RD[[#This Row],[34 kV_F3_Im
Incomer1]]-DR91)*1000&lt;0,0,(RD[[#This Row],[34 kV_F3_Im
Incomer1]]-DR91)*1000)</f>
        <v>400.00000000000568</v>
      </c>
      <c r="EJ92" s="146">
        <f>IF((RD[[#This Row],[33 kV_F4_Ex
Incomer2]]-DS91)*1000&lt;0,0,(RD[[#This Row],[33 kV_F4_Ex
Incomer2]]-DS91)*1000)</f>
        <v>14000</v>
      </c>
      <c r="EK92" s="146">
        <f>IF((RD[[#This Row],[34 kV_F4_Im
Incomer2]]-DT91)*1000&lt;0,0,(RD[[#This Row],[34 kV_F4_Im
Incomer2]]-DT91)*1000)</f>
        <v>399.99999999997726</v>
      </c>
      <c r="EL92" s="146">
        <f>IF((RD[[#This Row],[33 kV_F5_Ex
Incomer3]]-DU91)*1000&lt;0,0,(RD[[#This Row],[33 kV_F5_Ex
Incomer3]]-DU91)*1000)</f>
        <v>18400.000000001455</v>
      </c>
      <c r="EM92" s="146">
        <f>IF((RD[[#This Row],[34 kV_F5_Im
Incomer3]]-DV91)*1000&lt;0,0,(RD[[#This Row],[34 kV_F5_Im
Incomer3]]-DV91)*1000)</f>
        <v>1500</v>
      </c>
      <c r="EN92" s="146">
        <f>IF((RD[[#This Row],[33 kV_F6_Ex
Incomer4]]-DW91)*1000&lt;0,0,(RD[[#This Row],[33 kV_F6_Ex
Incomer4]]-DW91)*1000)</f>
        <v>3800.0000000010914</v>
      </c>
      <c r="EO92" s="146">
        <f t="shared" si="166"/>
        <v>399.99999999997726</v>
      </c>
      <c r="EP92" s="146">
        <f>IF((RD[[#This Row],[33 kV_F7_Ex
Incomer5]]-DY91)*1000&lt;0,0,(RD[[#This Row],[33 kV_F7_Ex
Incomer5]]-DY91)*1000)</f>
        <v>19400.000000000091</v>
      </c>
      <c r="EQ92" s="146">
        <f>IF((RD[[#This Row],[33 kV_F7_Im
Incomer5]]-DZ91)*1000&lt;0,0,(RD[[#This Row],[33 kV_F7_Im
Incomer5]]-DZ91)*1000)</f>
        <v>900.00000000000034</v>
      </c>
      <c r="ER92" s="146">
        <f>IF((RD[[#This Row],[33 kV_Aux Trafo]]-EA91)*1000&lt;0,0,(RD[[#This Row],[33 kV_Aux Trafo]]-EA91)*1000)</f>
        <v>200.00000000000284</v>
      </c>
      <c r="ES92" s="158">
        <f>IF((RD[[#This Row],[33kV_OG1_Ex_]]-EB91)*1&lt;0,0,(RD[[#This Row],[33kV_OG1_Ex_]]-EB91)*1)</f>
        <v>74924</v>
      </c>
      <c r="ET92" s="146">
        <f>IF((RD[[#This Row],[33kV_OG1_Im]]-EC91)*1&lt;0,0,(RD[[#This Row],[33kV_OG1_Im]]-EC91)*1)</f>
        <v>4002.3680000000168</v>
      </c>
      <c r="EU92" s="146">
        <f>IF((RD[[#This Row],[132kV_TX1_EX]]-ED91)*720&lt;=0,"",(RD[[#This Row],[132kV_TX1_EX]]-ED91)*720)</f>
        <v>2880</v>
      </c>
      <c r="EV92" s="146">
        <f>IF((RD[[#This Row],[132 kV_Tx1_Im]]-EE91)*720&lt;=0,0,(RD[[#This Row],[132 kV_Tx1_Im]]-EE91)*720)</f>
        <v>53280</v>
      </c>
      <c r="EW92" s="146">
        <f>IF((RD[[#This Row],[132kV_L1_Ex]]-EF91)*720&lt;=0,0,(RD[[#This Row],[132kV_L1_Ex]]-EF91)*720)</f>
        <v>74663.999999987427</v>
      </c>
      <c r="EX92" s="146">
        <f>IF((RD[[#This Row],[132kV_L1_Im]]-EG91)*720&lt;=0,0,(RD[[#This Row],[132kV_L1_Im]]-EG91)*720)</f>
        <v>4607.9999999999018</v>
      </c>
      <c r="EY92" s="242">
        <f>IFERROR(RD[[#This Row],[33kV_OG1_Ex (MWh)]]+RD[[#This Row],[33kV_OG1_Im (MWh)]],"")</f>
        <v>78926.368000000017</v>
      </c>
      <c r="EZ92" s="148">
        <f>RD[[#This Row],[33kV_OG1_Ex (MWh)]]-RD[[#This Row],[33kV_OG1_Im (MWh)]]</f>
        <v>70921.631999999983</v>
      </c>
      <c r="FA92" s="148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43">
        <f>IFERROR((RD[[#This Row],[Sunset Time (POA&lt;20 W/m2)]]-RD[[#This Row],[Sunrise Time (POA&gt;20 W/m2)]])*24,0)</f>
        <v>11.866666666666665</v>
      </c>
      <c r="FD92" s="244">
        <v>125.2</v>
      </c>
      <c r="FE92" s="303" t="s">
        <v>301</v>
      </c>
      <c r="FG92" s="144" t="str">
        <f>IFERROR(RD[[#This Row],[E_AC (WPR)]]/RD[[#This Row],[E_DC (WPR)]],"")</f>
        <v/>
      </c>
    </row>
    <row r="93" spans="1:163">
      <c r="A93" s="133">
        <f t="shared" si="161"/>
        <v>45833</v>
      </c>
      <c r="B93" s="138">
        <f>YEAR(RD[[#This Row],[Date]])+IF(MONTH(RD[[#This Row],[Date]])&gt;=4,1,0)</f>
        <v>2026</v>
      </c>
      <c r="C93" s="138">
        <f>YEAR(RD[[#This Row],[Date]])</f>
        <v>2025</v>
      </c>
      <c r="D93" s="139">
        <f t="shared" si="165"/>
        <v>45809</v>
      </c>
      <c r="E93" s="138">
        <f>DAY(EOMONTH(RD[[#This Row],[Date]],0))</f>
        <v>30</v>
      </c>
      <c r="F93" s="152">
        <v>0.27152777777777776</v>
      </c>
      <c r="G93" s="162">
        <v>0.78125</v>
      </c>
      <c r="H93" s="124">
        <v>4045.4</v>
      </c>
      <c r="I93" s="268">
        <v>4035.8</v>
      </c>
      <c r="J93" s="124">
        <v>3766.2</v>
      </c>
      <c r="K93" s="124">
        <v>3837</v>
      </c>
      <c r="L93" s="124">
        <v>3960.9</v>
      </c>
      <c r="M93" s="124">
        <v>4061.7</v>
      </c>
      <c r="N93" s="124">
        <v>3943.6</v>
      </c>
      <c r="O93" s="124">
        <v>4348.3999999999996</v>
      </c>
      <c r="P93" s="124">
        <v>4010.8</v>
      </c>
      <c r="Q93" s="124">
        <v>3928.2</v>
      </c>
      <c r="R93" s="124">
        <v>4048.2</v>
      </c>
      <c r="S93" s="266">
        <v>4061.7</v>
      </c>
      <c r="T93" s="124">
        <v>4232.5</v>
      </c>
      <c r="U93" s="124">
        <v>4063.5</v>
      </c>
      <c r="V93" s="124">
        <v>4139.7</v>
      </c>
      <c r="W93" s="124">
        <v>3941.9</v>
      </c>
      <c r="X93" s="266">
        <v>5589</v>
      </c>
      <c r="Y93" s="203">
        <v>6365.5</v>
      </c>
      <c r="Z93" s="203">
        <v>5424</v>
      </c>
      <c r="AA93" s="203">
        <v>5674.3</v>
      </c>
      <c r="AB93" s="266">
        <v>6143</v>
      </c>
      <c r="AC93" s="203">
        <v>3676.6</v>
      </c>
      <c r="AD93" s="203">
        <v>5649.8</v>
      </c>
      <c r="AE93" s="203">
        <v>5775.8</v>
      </c>
      <c r="AF93" s="266">
        <v>5593.7</v>
      </c>
      <c r="AG93" s="203">
        <v>5601.6</v>
      </c>
      <c r="AH93" s="203">
        <v>5581</v>
      </c>
      <c r="AI93" s="266">
        <v>5608.9</v>
      </c>
      <c r="AJ93" s="203">
        <v>4653.7</v>
      </c>
      <c r="AK93" s="266">
        <v>4826.1000000000004</v>
      </c>
      <c r="AL93" s="203">
        <v>4763.8999999999996</v>
      </c>
      <c r="AM93" s="266">
        <v>4827.8</v>
      </c>
      <c r="AN93" s="203">
        <v>4725.1000000000004</v>
      </c>
      <c r="AO93" s="266">
        <v>4901.1000000000004</v>
      </c>
      <c r="AP93" s="203">
        <v>4792.7</v>
      </c>
      <c r="AQ93" s="266">
        <v>4478.5</v>
      </c>
      <c r="AR93" s="203">
        <v>3804.5</v>
      </c>
      <c r="AS93" s="266">
        <v>3815.5</v>
      </c>
      <c r="AT93" s="203">
        <v>3802.3</v>
      </c>
      <c r="AU93" s="266">
        <v>3838</v>
      </c>
      <c r="AV93" s="203">
        <v>3881.4</v>
      </c>
      <c r="AW93" s="203">
        <v>3846.3</v>
      </c>
      <c r="AX93" s="203">
        <v>5421.6</v>
      </c>
      <c r="AY93" s="203">
        <v>6097</v>
      </c>
      <c r="AZ93" s="203">
        <v>4396.5</v>
      </c>
      <c r="BA93" s="203">
        <v>5363.5</v>
      </c>
      <c r="BB93" s="203">
        <v>5711.3</v>
      </c>
      <c r="BC93" s="203">
        <v>5392.9</v>
      </c>
      <c r="BD93" s="203">
        <v>4816.7</v>
      </c>
      <c r="BE93" s="203">
        <v>5333.3</v>
      </c>
      <c r="BF93" s="203">
        <v>5842</v>
      </c>
      <c r="BG93" s="203">
        <v>5943.4</v>
      </c>
      <c r="BH93" s="203">
        <v>5898.2</v>
      </c>
      <c r="BI93" s="203">
        <v>6102</v>
      </c>
      <c r="BJ93" s="203">
        <v>3954.7</v>
      </c>
      <c r="BK93" s="203">
        <v>3056.3</v>
      </c>
      <c r="BL93" s="203">
        <v>3739.1</v>
      </c>
      <c r="BM93" s="203">
        <v>3710.2</v>
      </c>
      <c r="BN93" s="203">
        <v>3989.9</v>
      </c>
      <c r="BO93" s="203">
        <v>3863.2</v>
      </c>
      <c r="BP93" s="203">
        <v>4297.8</v>
      </c>
      <c r="BQ93" s="203">
        <v>4330</v>
      </c>
      <c r="BR93" s="203">
        <v>4701.8</v>
      </c>
      <c r="BS93" s="203">
        <v>4867</v>
      </c>
      <c r="BT93" s="203">
        <v>4657</v>
      </c>
      <c r="BU93" s="203">
        <v>4941.5</v>
      </c>
      <c r="BV93" s="203">
        <v>2047.1</v>
      </c>
      <c r="BW93" s="203">
        <v>517.5</v>
      </c>
      <c r="BX93" s="203">
        <v>3619.8</v>
      </c>
      <c r="BY93" s="203">
        <v>2265.1</v>
      </c>
      <c r="BZ93" s="203">
        <v>606.5</v>
      </c>
      <c r="CA93" s="203">
        <v>503.8</v>
      </c>
      <c r="CB93" s="203">
        <v>2535.1999999999998</v>
      </c>
      <c r="CC93" s="203">
        <v>4229.2</v>
      </c>
      <c r="CD93" s="261">
        <v>3.2844382666666685</v>
      </c>
      <c r="CE93" s="261">
        <v>2.8657386833333325</v>
      </c>
      <c r="CF93" s="261">
        <v>2.5581634499999968</v>
      </c>
      <c r="CG93" s="261">
        <v>2.8766823833333364</v>
      </c>
      <c r="CH93" s="261">
        <v>0.31596271666666675</v>
      </c>
      <c r="CI93" s="261">
        <v>0.43690793333333394</v>
      </c>
      <c r="CJ93" s="261">
        <v>0.4712964000000005</v>
      </c>
      <c r="CK93" s="261">
        <v>0.45445846666666667</v>
      </c>
      <c r="CL93" s="261">
        <v>27.623710546574326</v>
      </c>
      <c r="CM93" s="261">
        <v>26.790669745958443</v>
      </c>
      <c r="CN93" s="261">
        <v>37.018765204003024</v>
      </c>
      <c r="CO93" s="261">
        <v>34.452007698229359</v>
      </c>
      <c r="CP93" s="261">
        <v>85.641031562740594</v>
      </c>
      <c r="CQ93" s="261">
        <v>86.731054657428857</v>
      </c>
      <c r="CR93" s="261">
        <v>0.49391839876828314</v>
      </c>
      <c r="CS93" s="261">
        <v>7.051578137028483E-2</v>
      </c>
      <c r="CT93" s="261">
        <v>0.98478290993071638</v>
      </c>
      <c r="CU93" s="261">
        <v>1.0380808314087762</v>
      </c>
      <c r="CV93" s="261">
        <v>2.9790000000000001</v>
      </c>
      <c r="CW93" s="261">
        <v>3.24</v>
      </c>
      <c r="CX93" s="204">
        <f>IFERROR(AVERAGEIF(RD[[#This Row],[IS1POA1 (KWh/m2)]:[IS7POA2 (KWh/m2)]],"&lt;&gt;0",RD[[#This Row],[IS1POA1 (KWh/m2)]:[IS7POA2 (KWh/m2)]]),"")</f>
        <v>3.0750884750000003</v>
      </c>
      <c r="CY93" s="204">
        <f>IFERROR(AVERAGEIF(RD[[#This Row],[IS1GHI1 (KWh/m2)]:[IS7GHI2 (KWh/m2)]],"&lt;&gt;0",RD[[#This Row],[IS1GHI1 (KWh/m2)]:[IS7GHI2 (KWh/m2)]]),"")</f>
        <v>2.7174229166666666</v>
      </c>
      <c r="CZ93" s="204">
        <f>IFERROR(AVERAGEIF(RD[[#This Row],[IS1POA_BS1 (KWh/m2)]:[IS7POA_BS2 (KWh/m2)]],"&lt;&gt;0",RD[[#This Row],[IS1POA_BS1 (KWh/m2)]:[IS7POA_BS2 (KWh/m2)]]),"")</f>
        <v>0.37643532500000032</v>
      </c>
      <c r="DA93" s="204">
        <f>IFERROR(AVERAGEIF(RD[[#This Row],[IS1GHI_BS1 (KWh/m2)]:[IS1GHI_BS1 (KWh/m2)2]],"&lt;&gt;0",RD[[#This Row],[IS1GHI_BS1 (KWh/m2)]:[IS1GHI_BS1 (KWh/m2)2]]),"")</f>
        <v>0.46287743333333359</v>
      </c>
      <c r="DB93" s="204">
        <f>IFERROR(AVERAGEIF(RD[[#This Row],[IS1AT1 (°C)]:[IS7AT2 (°C)]],"&lt;&gt;0",RD[[#This Row],[IS1AT1 (°C)]:[IS7AT2 (°C)]]),"")</f>
        <v>27.207190146266385</v>
      </c>
      <c r="DC93" s="204">
        <f>IFERROR(AVERAGEIF(RD[[#This Row],[IS1MT1 (°C)]:[IS7MT2 (°C)]],"&lt;&gt;0",RD[[#This Row],[IS1MT1 (°C)]:[IS7MT2 (°C)]]),"")</f>
        <v>35.735386451116192</v>
      </c>
      <c r="DD93" s="204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204">
        <f>IFERROR(AVERAGEIF(RD[[#This Row],[WS_Solar1_Avg (m/s)]:[IS7_WS_Solar1_Avg (m/s)]],"&lt;&gt;0",RD[[#This Row],[WS_Solar1_Avg (m/s)]:[IS7_WS_Solar1_Avg (m/s)]]),"")</f>
        <v>1.0114318706697463</v>
      </c>
      <c r="DG93" s="204">
        <f>IFERROR(AVERAGEIF(RD[[#This Row],[WS_Solar1_Max (m/s)]:[IS7_WS_Solar1_Max (m/s)]],"&lt;&gt;0",RD[[#This Row],[WS_Solar1_Max (m/s)]:[IS7_WS_Solar1_Max (m/s)]]),"")</f>
        <v>3.1095000000000002</v>
      </c>
      <c r="DH93" s="204">
        <f>SUM(RD[[#This Row],[IS1Inv1M1]:[IS4Inv4M2]])</f>
        <v>131108.70000000001</v>
      </c>
      <c r="DI93" s="205">
        <f>SUM(RD[[#This Row],[IS7Inv1M1]]+RD[[#This Row],[IS7Inv2M1]])</f>
        <v>7620</v>
      </c>
      <c r="DJ93" s="204">
        <f>SUM(RD[[#This Row],[IS5Inv1M1]:[IS5Inv2M2]])</f>
        <v>19071.5</v>
      </c>
      <c r="DK93" s="204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86">
        <f>SUM(RD[[#This Row],[IS12Inv1M1]:[IS12Inv1M4]])</f>
        <v>16480.900000000001</v>
      </c>
      <c r="DO93" s="286">
        <f>SUM(RD[[#This Row],[IS13Inv1M1]:[IS13Inv2M2]])</f>
        <v>19167.3</v>
      </c>
      <c r="DP93" s="204">
        <f>SUM(RD[[#This Row],[O2R15]:[O2R26]])</f>
        <v>324816.7</v>
      </c>
      <c r="DQ93" s="164">
        <v>44375.5</v>
      </c>
      <c r="DR93" s="168">
        <v>224.3</v>
      </c>
      <c r="DS93" s="164">
        <v>38742.5</v>
      </c>
      <c r="DT93" s="164">
        <v>236.5</v>
      </c>
      <c r="DU93" s="168">
        <v>45640.9</v>
      </c>
      <c r="DV93" s="168">
        <v>433.1</v>
      </c>
      <c r="DW93" s="164">
        <v>10472.200000000001</v>
      </c>
      <c r="DX93" s="168">
        <v>54.1</v>
      </c>
      <c r="DY93" s="168">
        <v>3145.8</v>
      </c>
      <c r="DZ93" s="168">
        <v>14.1</v>
      </c>
      <c r="EA93" s="140">
        <v>105.13</v>
      </c>
      <c r="EB93" s="241">
        <v>146239373</v>
      </c>
      <c r="EC93" s="240">
        <v>1029907.7120000001</v>
      </c>
      <c r="ED93" s="241">
        <v>1237</v>
      </c>
      <c r="EE93" s="241">
        <v>140456</v>
      </c>
      <c r="EF93" s="164">
        <v>202760.9</v>
      </c>
      <c r="EG93" s="164">
        <v>1990.6</v>
      </c>
      <c r="EH93" s="146">
        <f>IF((RD[[#This Row],[33 kV_F3_Ex
Incomer1]]-DQ92)*1000&lt;0,0,(RD[[#This Row],[33 kV_F3_Ex
Incomer1]]-DQ92)*1000)</f>
        <v>66300.00000000291</v>
      </c>
      <c r="EI93" s="146">
        <f>IF((RD[[#This Row],[34 kV_F3_Im
Incomer1]]-DR92)*1000&lt;0,0,(RD[[#This Row],[34 kV_F3_Im
Incomer1]]-DR92)*1000)</f>
        <v>200.00000000001705</v>
      </c>
      <c r="EJ93" s="146">
        <f>IF((RD[[#This Row],[33 kV_F4_Ex
Incomer2]]-DS92)*1000&lt;0,0,(RD[[#This Row],[33 kV_F4_Ex
Incomer2]]-DS92)*1000)</f>
        <v>61599.999999998545</v>
      </c>
      <c r="EK93" s="146">
        <f>IF((RD[[#This Row],[34 kV_F4_Im
Incomer2]]-DT92)*1000&lt;0,0,(RD[[#This Row],[34 kV_F4_Im
Incomer2]]-DT92)*1000)</f>
        <v>300.00000000001137</v>
      </c>
      <c r="EL93" s="146">
        <f>IF((RD[[#This Row],[33 kV_F5_Ex
Incomer3]]-DU92)*1000&lt;0,0,(RD[[#This Row],[33 kV_F5_Ex
Incomer3]]-DU92)*1000)</f>
        <v>82000</v>
      </c>
      <c r="EM93" s="146">
        <f>IF((RD[[#This Row],[34 kV_F5_Im
Incomer3]]-DV92)*1000&lt;0,0,(RD[[#This Row],[34 kV_F5_Im
Incomer3]]-DV92)*1000)</f>
        <v>1000</v>
      </c>
      <c r="EN93" s="146">
        <f>IF((RD[[#This Row],[33 kV_F6_Ex
Incomer4]]-DW92)*1000&lt;0,0,(RD[[#This Row],[33 kV_F6_Ex
Incomer4]]-DW92)*1000)</f>
        <v>16600.000000000364</v>
      </c>
      <c r="EO93" s="146">
        <f t="shared" si="166"/>
        <v>300.00000000001137</v>
      </c>
      <c r="EP93" s="146">
        <f>IF((RD[[#This Row],[33 kV_F7_Ex
Incomer5]]-DY92)*1000&lt;0,0,(RD[[#This Row],[33 kV_F7_Ex
Incomer5]]-DY92)*1000)</f>
        <v>81300.000000000175</v>
      </c>
      <c r="EQ93" s="146">
        <f>IF((RD[[#This Row],[33 kV_F7_Im
Incomer5]]-DZ92)*1000&lt;0,0,(RD[[#This Row],[33 kV_F7_Im
Incomer5]]-DZ92)*1000)</f>
        <v>500</v>
      </c>
      <c r="ER93" s="146">
        <f>IF((RD[[#This Row],[33 kV_Aux Trafo]]-EA92)*1000&lt;0,0,(RD[[#This Row],[33 kV_Aux Trafo]]-EA92)*1000)</f>
        <v>219.99999999999886</v>
      </c>
      <c r="ES93" s="158">
        <f>IF((RD[[#This Row],[33kV_OG1_Ex_]]-EB92)*1&lt;0,0,(RD[[#This Row],[33kV_OG1_Ex_]]-EB92)*1)</f>
        <v>323601</v>
      </c>
      <c r="ET93" s="146">
        <f>IF((RD[[#This Row],[33kV_OG1_Im]]-EC92)*1&lt;0,0,(RD[[#This Row],[33kV_OG1_Im]]-EC92)*1)</f>
        <v>2307.0720000000438</v>
      </c>
      <c r="EU93" s="146">
        <f>IF((RD[[#This Row],[132kV_TX1_EX]]-ED92)*720&lt;=0,"",(RD[[#This Row],[132kV_TX1_EX]]-ED92)*720)</f>
        <v>2160</v>
      </c>
      <c r="EV93" s="146">
        <f>IF((RD[[#This Row],[132 kV_Tx1_Im]]-EE92)*720&lt;=0,0,(RD[[#This Row],[132 kV_Tx1_Im]]-EE92)*720)</f>
        <v>232560</v>
      </c>
      <c r="EW93" s="146">
        <f>IF((RD[[#This Row],[132kV_L1_Ex]]-EF92)*720&lt;=0,0,(RD[[#This Row],[132kV_L1_Ex]]-EF92)*720)</f>
        <v>322560</v>
      </c>
      <c r="EX93" s="146">
        <f>IF((RD[[#This Row],[132kV_L1_Im]]-EG92)*720&lt;=0,0,(RD[[#This Row],[132kV_L1_Im]]-EG92)*720)</f>
        <v>2735.9999999999673</v>
      </c>
      <c r="EY93" s="242">
        <f>IFERROR(RD[[#This Row],[33kV_OG1_Ex (MWh)]]+RD[[#This Row],[33kV_OG1_Im (MWh)]],"")</f>
        <v>325908.07200000004</v>
      </c>
      <c r="EZ93" s="148">
        <f>RD[[#This Row],[33kV_OG1_Ex (MWh)]]-RD[[#This Row],[33kV_OG1_Im (MWh)]]</f>
        <v>321293.92799999996</v>
      </c>
      <c r="FA93" s="148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43">
        <f>IFERROR((RD[[#This Row],[Sunset Time (POA&lt;20 W/m2)]]-RD[[#This Row],[Sunrise Time (POA&gt;20 W/m2)]])*24,0)</f>
        <v>12.233333333333333</v>
      </c>
      <c r="FD93" s="244">
        <v>126.3</v>
      </c>
      <c r="FE93" s="303" t="s">
        <v>300</v>
      </c>
      <c r="FG93" s="144" t="str">
        <f>IFERROR(RD[[#This Row],[E_AC (WPR)]]/RD[[#This Row],[E_DC (WPR)]],"")</f>
        <v/>
      </c>
    </row>
    <row r="94" spans="1:163">
      <c r="A94" s="133">
        <f t="shared" si="161"/>
        <v>45834</v>
      </c>
      <c r="B94" s="138">
        <f>YEAR(RD[[#This Row],[Date]])+IF(MONTH(RD[[#This Row],[Date]])&gt;=4,1,0)</f>
        <v>2026</v>
      </c>
      <c r="C94" s="138">
        <f>YEAR(RD[[#This Row],[Date]])</f>
        <v>2025</v>
      </c>
      <c r="D94" s="139">
        <f t="shared" si="165"/>
        <v>45809</v>
      </c>
      <c r="E94" s="138">
        <f>DAY(EOMONTH(RD[[#This Row],[Date]],0))</f>
        <v>30</v>
      </c>
      <c r="F94" s="152">
        <v>0.26944444444444443</v>
      </c>
      <c r="G94" s="162">
        <v>0.77013888888888893</v>
      </c>
      <c r="H94" s="124">
        <v>2018.4</v>
      </c>
      <c r="I94" s="268">
        <v>2017.1</v>
      </c>
      <c r="J94" s="124">
        <v>1873.8</v>
      </c>
      <c r="K94" s="124">
        <v>1879</v>
      </c>
      <c r="L94" s="124">
        <v>1950.3</v>
      </c>
      <c r="M94" s="124">
        <v>2011.9</v>
      </c>
      <c r="N94" s="124">
        <v>1940.5</v>
      </c>
      <c r="O94" s="124">
        <v>2176.5</v>
      </c>
      <c r="P94" s="124">
        <v>1981.1</v>
      </c>
      <c r="Q94" s="124">
        <v>1927</v>
      </c>
      <c r="R94" s="124">
        <v>1978.1</v>
      </c>
      <c r="S94" s="266">
        <v>1991.1</v>
      </c>
      <c r="T94" s="124">
        <v>2086.8000000000002</v>
      </c>
      <c r="U94" s="124">
        <v>1985.3</v>
      </c>
      <c r="V94" s="124">
        <v>2044.2</v>
      </c>
      <c r="W94" s="124">
        <v>1954.2</v>
      </c>
      <c r="X94" s="266">
        <v>2832.7</v>
      </c>
      <c r="Y94" s="203">
        <v>3226.5</v>
      </c>
      <c r="Z94" s="203">
        <v>2776.3</v>
      </c>
      <c r="AA94" s="203">
        <v>2911</v>
      </c>
      <c r="AB94" s="266">
        <v>2925.6</v>
      </c>
      <c r="AC94" s="203">
        <v>1810.5</v>
      </c>
      <c r="AD94" s="203">
        <v>2816.8</v>
      </c>
      <c r="AE94" s="203">
        <v>2890.9</v>
      </c>
      <c r="AF94" s="266">
        <v>2812.4</v>
      </c>
      <c r="AG94" s="203">
        <v>2821.8</v>
      </c>
      <c r="AH94" s="203">
        <v>2825.4</v>
      </c>
      <c r="AI94" s="266">
        <v>2817.5</v>
      </c>
      <c r="AJ94" s="203">
        <v>2322.8000000000002</v>
      </c>
      <c r="AK94" s="266">
        <v>2410.6</v>
      </c>
      <c r="AL94" s="203">
        <v>2375.1</v>
      </c>
      <c r="AM94" s="266">
        <v>2417.4</v>
      </c>
      <c r="AN94" s="203">
        <v>2367.8000000000002</v>
      </c>
      <c r="AO94" s="266">
        <v>2464.5</v>
      </c>
      <c r="AP94" s="203">
        <v>2418.5</v>
      </c>
      <c r="AQ94" s="266">
        <v>2278.1999999999998</v>
      </c>
      <c r="AR94" s="203">
        <v>1862.4</v>
      </c>
      <c r="AS94" s="266">
        <v>1879.6</v>
      </c>
      <c r="AT94" s="203">
        <v>1838.1</v>
      </c>
      <c r="AU94" s="266">
        <v>1860.2</v>
      </c>
      <c r="AV94" s="203">
        <v>1889.7</v>
      </c>
      <c r="AW94" s="203">
        <v>1885.1</v>
      </c>
      <c r="AX94" s="203">
        <v>2745.6</v>
      </c>
      <c r="AY94" s="203">
        <v>3118.7</v>
      </c>
      <c r="AZ94" s="203">
        <v>2261.5</v>
      </c>
      <c r="BA94" s="203">
        <v>2788.3</v>
      </c>
      <c r="BB94" s="203">
        <v>2780.7</v>
      </c>
      <c r="BC94" s="203">
        <v>2661.2</v>
      </c>
      <c r="BD94" s="203">
        <v>2380.6</v>
      </c>
      <c r="BE94" s="203">
        <v>2607.8000000000002</v>
      </c>
      <c r="BF94" s="203">
        <v>2849.1</v>
      </c>
      <c r="BG94" s="203">
        <v>2874.1</v>
      </c>
      <c r="BH94" s="203">
        <v>2837</v>
      </c>
      <c r="BI94" s="203">
        <v>2932.8</v>
      </c>
      <c r="BJ94" s="203">
        <v>1798.7</v>
      </c>
      <c r="BK94" s="203">
        <v>1365</v>
      </c>
      <c r="BL94" s="203">
        <v>1670.2</v>
      </c>
      <c r="BM94" s="203">
        <v>1624</v>
      </c>
      <c r="BN94" s="203">
        <v>1896.2</v>
      </c>
      <c r="BO94" s="203">
        <v>1727.9</v>
      </c>
      <c r="BP94" s="203">
        <v>1934.5</v>
      </c>
      <c r="BQ94" s="203">
        <v>1964.5</v>
      </c>
      <c r="BR94" s="203">
        <v>2103.6</v>
      </c>
      <c r="BS94" s="203">
        <v>2188.4</v>
      </c>
      <c r="BT94" s="203">
        <v>2119.8000000000002</v>
      </c>
      <c r="BU94" s="203">
        <v>2227</v>
      </c>
      <c r="BV94" s="203">
        <v>143.4</v>
      </c>
      <c r="BW94" s="203">
        <v>0</v>
      </c>
      <c r="BX94" s="203">
        <v>686</v>
      </c>
      <c r="BY94" s="203">
        <v>411.4</v>
      </c>
      <c r="BZ94" s="203">
        <v>187.6</v>
      </c>
      <c r="CA94" s="203">
        <v>145.1</v>
      </c>
      <c r="CB94" s="203">
        <v>1030.9000000000001</v>
      </c>
      <c r="CC94" s="203">
        <v>1805.6</v>
      </c>
      <c r="CD94" s="261">
        <v>1.6408988833333336</v>
      </c>
      <c r="CE94" s="261">
        <v>1.4069652333333347</v>
      </c>
      <c r="CF94" s="261">
        <v>1.2418128000000008</v>
      </c>
      <c r="CG94" s="261">
        <v>1.4013690833333357</v>
      </c>
      <c r="CH94" s="261">
        <v>0.23493710000000004</v>
      </c>
      <c r="CI94" s="261">
        <v>0.18796373333333344</v>
      </c>
      <c r="CJ94" s="261">
        <v>0.21083859999999996</v>
      </c>
      <c r="CK94" s="261">
        <v>0.19320528333333317</v>
      </c>
      <c r="CL94" s="261">
        <v>26.37811980033279</v>
      </c>
      <c r="CM94" s="261">
        <v>24.888868552412692</v>
      </c>
      <c r="CN94" s="261">
        <v>32.53650499168053</v>
      </c>
      <c r="CO94" s="261">
        <v>30.000811980033308</v>
      </c>
      <c r="CP94" s="261">
        <v>97.983527454243017</v>
      </c>
      <c r="CQ94" s="261">
        <v>96.544658901830232</v>
      </c>
      <c r="CR94" s="261">
        <v>0.97645590682195982</v>
      </c>
      <c r="CS94" s="261">
        <v>0.93555740432612522</v>
      </c>
      <c r="CT94" s="261">
        <v>1.0141547420965069</v>
      </c>
      <c r="CU94" s="261">
        <v>1.1400299500831959</v>
      </c>
      <c r="CV94" s="261">
        <v>2.6819999999999999</v>
      </c>
      <c r="CW94" s="261">
        <v>3.3540000000000001</v>
      </c>
      <c r="CX94" s="204">
        <f>IFERROR(AVERAGEIF(RD[[#This Row],[IS1POA1 (KWh/m2)]:[IS7POA2 (KWh/m2)]],"&lt;&gt;0",RD[[#This Row],[IS1POA1 (KWh/m2)]:[IS7POA2 (KWh/m2)]]),"")</f>
        <v>1.523932058333334</v>
      </c>
      <c r="CY94" s="204">
        <f>IFERROR(AVERAGEIF(RD[[#This Row],[IS1GHI1 (KWh/m2)]:[IS7GHI2 (KWh/m2)]],"&lt;&gt;0",RD[[#This Row],[IS1GHI1 (KWh/m2)]:[IS7GHI2 (KWh/m2)]]),"")</f>
        <v>1.3215909416666682</v>
      </c>
      <c r="CZ94" s="204">
        <f>IFERROR(AVERAGEIF(RD[[#This Row],[IS1POA_BS1 (KWh/m2)]:[IS7POA_BS2 (KWh/m2)]],"&lt;&gt;0",RD[[#This Row],[IS1POA_BS1 (KWh/m2)]:[IS7POA_BS2 (KWh/m2)]]),"")</f>
        <v>0.21145041666666675</v>
      </c>
      <c r="DA94" s="204">
        <f>IFERROR(AVERAGEIF(RD[[#This Row],[IS1GHI_BS1 (KWh/m2)]:[IS1GHI_BS1 (KWh/m2)2]],"&lt;&gt;0",RD[[#This Row],[IS1GHI_BS1 (KWh/m2)]:[IS1GHI_BS1 (KWh/m2)2]]),"")</f>
        <v>0.20202194166666657</v>
      </c>
      <c r="DB94" s="204">
        <f>IFERROR(AVERAGEIF(RD[[#This Row],[IS1AT1 (°C)]:[IS7AT2 (°C)]],"&lt;&gt;0",RD[[#This Row],[IS1AT1 (°C)]:[IS7AT2 (°C)]]),"")</f>
        <v>25.633494176372743</v>
      </c>
      <c r="DC94" s="204">
        <f>IFERROR(AVERAGEIF(RD[[#This Row],[IS1MT1 (°C)]:[IS7MT2 (°C)]],"&lt;&gt;0",RD[[#This Row],[IS1MT1 (°C)]:[IS7MT2 (°C)]]),"")</f>
        <v>31.268658485856918</v>
      </c>
      <c r="DD94" s="204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204">
        <f>IFERROR(AVERAGEIF(RD[[#This Row],[WS_Solar1_Avg (m/s)]:[IS7_WS_Solar1_Avg (m/s)]],"&lt;&gt;0",RD[[#This Row],[WS_Solar1_Avg (m/s)]:[IS7_WS_Solar1_Avg (m/s)]]),"")</f>
        <v>1.0770923460898514</v>
      </c>
      <c r="DG94" s="204">
        <f>IFERROR(AVERAGEIF(RD[[#This Row],[WS_Solar1_Max (m/s)]:[IS7_WS_Solar1_Max (m/s)]],"&lt;&gt;0",RD[[#This Row],[WS_Solar1_Max (m/s)]:[IS7_WS_Solar1_Max (m/s)]]),"")</f>
        <v>3.0179999999999998</v>
      </c>
      <c r="DH94" s="204">
        <f>SUM(RD[[#This Row],[IS1Inv1M1]:[IS4Inv4M2]])</f>
        <v>65282.700000000004</v>
      </c>
      <c r="DI94" s="205">
        <f>SUM(RD[[#This Row],[IS7Inv1M1]]+RD[[#This Row],[IS7Inv2M1]])</f>
        <v>3742</v>
      </c>
      <c r="DJ94" s="204">
        <f>SUM(RD[[#This Row],[IS5Inv1M1]:[IS5Inv2M2]])</f>
        <v>9525.9</v>
      </c>
      <c r="DK94" s="204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86">
        <f>SUM(RD[[#This Row],[IS12Inv1M1]:[IS12Inv1M4]])</f>
        <v>7523.1</v>
      </c>
      <c r="DO94" s="286">
        <f>SUM(RD[[#This Row],[IS13Inv1M1]:[IS13Inv2M2]])</f>
        <v>8638.7999999999993</v>
      </c>
      <c r="DP94" s="204">
        <f>SUM(RD[[#This Row],[O2R15]:[O2R26]])</f>
        <v>155419.9</v>
      </c>
      <c r="DQ94" s="164">
        <v>44408.800000000003</v>
      </c>
      <c r="DR94" s="168">
        <v>224.8</v>
      </c>
      <c r="DS94" s="164">
        <v>38773.9</v>
      </c>
      <c r="DT94" s="164">
        <v>236.9</v>
      </c>
      <c r="DU94" s="168">
        <v>45682.3</v>
      </c>
      <c r="DV94" s="168">
        <v>434.6</v>
      </c>
      <c r="DW94" s="164">
        <v>10477</v>
      </c>
      <c r="DX94" s="168">
        <v>54.3</v>
      </c>
      <c r="DY94" s="168">
        <v>3184.7</v>
      </c>
      <c r="DZ94" s="168">
        <v>14.9</v>
      </c>
      <c r="EA94" s="140">
        <v>105.38</v>
      </c>
      <c r="EB94" s="241">
        <v>146396053</v>
      </c>
      <c r="EC94" s="240">
        <v>1033591.1679999999</v>
      </c>
      <c r="ED94" s="241">
        <v>1241</v>
      </c>
      <c r="EE94" s="241">
        <v>140612</v>
      </c>
      <c r="EF94" s="164">
        <v>202977.9</v>
      </c>
      <c r="EG94" s="164">
        <v>1996.5</v>
      </c>
      <c r="EH94" s="146">
        <f>IF((RD[[#This Row],[33 kV_F3_Ex
Incomer1]]-DQ93)*1000&lt;0,0,(RD[[#This Row],[33 kV_F3_Ex
Incomer1]]-DQ93)*1000)</f>
        <v>33300.00000000291</v>
      </c>
      <c r="EI94" s="146">
        <f>IF((RD[[#This Row],[34 kV_F3_Im
Incomer1]]-DR93)*1000&lt;0,0,(RD[[#This Row],[34 kV_F3_Im
Incomer1]]-DR93)*1000)</f>
        <v>500</v>
      </c>
      <c r="EJ94" s="146">
        <f>IF((RD[[#This Row],[33 kV_F4_Ex
Incomer2]]-DS93)*1000&lt;0,0,(RD[[#This Row],[33 kV_F4_Ex
Incomer2]]-DS93)*1000)</f>
        <v>31400.000000001455</v>
      </c>
      <c r="EK94" s="146">
        <f>IF((RD[[#This Row],[34 kV_F4_Im
Incomer2]]-DT93)*1000&lt;0,0,(RD[[#This Row],[34 kV_F4_Im
Incomer2]]-DT93)*1000)</f>
        <v>400.00000000000568</v>
      </c>
      <c r="EL94" s="146">
        <f>IF((RD[[#This Row],[33 kV_F5_Ex
Incomer3]]-DU93)*1000&lt;0,0,(RD[[#This Row],[33 kV_F5_Ex
Incomer3]]-DU93)*1000)</f>
        <v>41400.000000001455</v>
      </c>
      <c r="EM94" s="146">
        <f>IF((RD[[#This Row],[34 kV_F5_Im
Incomer3]]-DV93)*1000&lt;0,0,(RD[[#This Row],[34 kV_F5_Im
Incomer3]]-DV93)*1000)</f>
        <v>1500</v>
      </c>
      <c r="EN94" s="146">
        <f>IF((RD[[#This Row],[33 kV_F6_Ex
Incomer4]]-DW93)*1000&lt;0,0,(RD[[#This Row],[33 kV_F6_Ex
Incomer4]]-DW93)*1000)</f>
        <v>4799.9999999992724</v>
      </c>
      <c r="EO94" s="146">
        <f t="shared" si="166"/>
        <v>300.00000000001137</v>
      </c>
      <c r="EP94" s="146">
        <f>IF((RD[[#This Row],[33 kV_F7_Ex
Incomer5]]-DY93)*1000&lt;0,0,(RD[[#This Row],[33 kV_F7_Ex
Incomer5]]-DY93)*1000)</f>
        <v>38899.999999999636</v>
      </c>
      <c r="EQ94" s="146">
        <f>IF((RD[[#This Row],[33 kV_F7_Im
Incomer5]]-DZ93)*1000&lt;0,0,(RD[[#This Row],[33 kV_F7_Im
Incomer5]]-DZ93)*1000)</f>
        <v>800.00000000000068</v>
      </c>
      <c r="ER94" s="146">
        <f>IF((RD[[#This Row],[33 kV_Aux Trafo]]-EA93)*1000&lt;0,0,(RD[[#This Row],[33 kV_Aux Trafo]]-EA93)*1000)</f>
        <v>250</v>
      </c>
      <c r="ES94" s="158">
        <f>IF((RD[[#This Row],[33kV_OG1_Ex_]]-EB93)*1&lt;0,0,(RD[[#This Row],[33kV_OG1_Ex_]]-EB93)*1)</f>
        <v>156680</v>
      </c>
      <c r="ET94" s="146">
        <f>IF((RD[[#This Row],[33kV_OG1_Im]]-EC93)*1&lt;0,0,(RD[[#This Row],[33kV_OG1_Im]]-EC93)*1)</f>
        <v>3683.4559999998892</v>
      </c>
      <c r="EU94" s="146">
        <f>IF((RD[[#This Row],[132kV_TX1_EX]]-ED93)*720&lt;=0,"",(RD[[#This Row],[132kV_TX1_EX]]-ED93)*720)</f>
        <v>2880</v>
      </c>
      <c r="EV94" s="146">
        <f>IF((RD[[#This Row],[132 kV_Tx1_Im]]-EE93)*720&lt;=0,0,(RD[[#This Row],[132 kV_Tx1_Im]]-EE93)*720)</f>
        <v>112320</v>
      </c>
      <c r="EW94" s="146">
        <f>IF((RD[[#This Row],[132kV_L1_Ex]]-EF93)*720&lt;=0,0,(RD[[#This Row],[132kV_L1_Ex]]-EF93)*720)</f>
        <v>156240</v>
      </c>
      <c r="EX94" s="146">
        <f>IF((RD[[#This Row],[132kV_L1_Im]]-EG93)*720&lt;=0,0,(RD[[#This Row],[132kV_L1_Im]]-EG93)*720)</f>
        <v>4248.0000000000655</v>
      </c>
      <c r="EY94" s="242">
        <f>IFERROR(RD[[#This Row],[33kV_OG1_Ex (MWh)]]+RD[[#This Row],[33kV_OG1_Im (MWh)]],"")</f>
        <v>160363.45599999989</v>
      </c>
      <c r="EZ94" s="148">
        <f>RD[[#This Row],[33kV_OG1_Ex (MWh)]]-RD[[#This Row],[33kV_OG1_Im (MWh)]]</f>
        <v>152996.54400000011</v>
      </c>
      <c r="FA94" s="148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43">
        <f>IFERROR((RD[[#This Row],[Sunset Time (POA&lt;20 W/m2)]]-RD[[#This Row],[Sunrise Time (POA&gt;20 W/m2)]])*24,0)</f>
        <v>12.016666666666669</v>
      </c>
      <c r="FD94" s="244">
        <v>126.3</v>
      </c>
      <c r="FE94" s="303" t="s">
        <v>302</v>
      </c>
      <c r="FG94" s="144" t="str">
        <f>IFERROR(RD[[#This Row],[E_AC (WPR)]]/RD[[#This Row],[E_DC (WPR)]],"")</f>
        <v/>
      </c>
    </row>
    <row r="95" spans="1:163">
      <c r="A95" s="133">
        <f t="shared" si="161"/>
        <v>45835</v>
      </c>
      <c r="B95" s="138">
        <f>YEAR(RD[[#This Row],[Date]])+IF(MONTH(RD[[#This Row],[Date]])&gt;=4,1,0)</f>
        <v>2026</v>
      </c>
      <c r="C95" s="138">
        <f>YEAR(RD[[#This Row],[Date]])</f>
        <v>2025</v>
      </c>
      <c r="D95" s="139">
        <f t="shared" si="165"/>
        <v>45809</v>
      </c>
      <c r="E95" s="138">
        <f>DAY(EOMONTH(RD[[#This Row],[Date]],0))</f>
        <v>30</v>
      </c>
      <c r="F95" s="152">
        <v>0.26458333333333334</v>
      </c>
      <c r="G95" s="162">
        <v>0.77500000000000002</v>
      </c>
      <c r="H95" s="124">
        <v>6292.2</v>
      </c>
      <c r="I95" s="268">
        <v>6273</v>
      </c>
      <c r="J95" s="124">
        <v>5854.4</v>
      </c>
      <c r="K95" s="124">
        <v>5839</v>
      </c>
      <c r="L95" s="124">
        <v>6022.5</v>
      </c>
      <c r="M95" s="124">
        <v>6196.5</v>
      </c>
      <c r="N95" s="124">
        <v>6041.2</v>
      </c>
      <c r="O95" s="124">
        <v>6677.6</v>
      </c>
      <c r="P95" s="124">
        <v>6290.6</v>
      </c>
      <c r="Q95" s="124">
        <v>6031.9</v>
      </c>
      <c r="R95" s="124">
        <v>6210.6</v>
      </c>
      <c r="S95" s="266">
        <v>6252.8</v>
      </c>
      <c r="T95" s="124">
        <v>6614.6</v>
      </c>
      <c r="U95" s="124">
        <v>6286.3</v>
      </c>
      <c r="V95" s="124">
        <v>6416.9</v>
      </c>
      <c r="W95" s="124">
        <v>6172.9</v>
      </c>
      <c r="X95" s="266">
        <v>8543.4</v>
      </c>
      <c r="Y95" s="203">
        <v>9590.6</v>
      </c>
      <c r="Z95" s="203">
        <v>8408</v>
      </c>
      <c r="AA95" s="203">
        <v>8794.5</v>
      </c>
      <c r="AB95" s="266">
        <v>9406.9</v>
      </c>
      <c r="AC95" s="203">
        <v>5708.1</v>
      </c>
      <c r="AD95" s="203">
        <v>8635.9</v>
      </c>
      <c r="AE95" s="203">
        <v>8986.2000000000007</v>
      </c>
      <c r="AF95" s="266">
        <v>8667.5</v>
      </c>
      <c r="AG95" s="203">
        <v>8614</v>
      </c>
      <c r="AH95" s="203">
        <v>8715.2999999999993</v>
      </c>
      <c r="AI95" s="266">
        <v>8701.2000000000007</v>
      </c>
      <c r="AJ95" s="203">
        <v>7142.5</v>
      </c>
      <c r="AK95" s="266">
        <v>7432</v>
      </c>
      <c r="AL95" s="203">
        <v>7280</v>
      </c>
      <c r="AM95" s="266">
        <v>7343.5</v>
      </c>
      <c r="AN95" s="203">
        <v>7296.4</v>
      </c>
      <c r="AO95" s="266">
        <v>7552.6</v>
      </c>
      <c r="AP95" s="203">
        <v>7432.5</v>
      </c>
      <c r="AQ95" s="266">
        <v>7091</v>
      </c>
      <c r="AR95" s="203">
        <v>5919.8</v>
      </c>
      <c r="AS95" s="266">
        <v>5966.9</v>
      </c>
      <c r="AT95" s="203">
        <v>5862.6</v>
      </c>
      <c r="AU95" s="266">
        <v>5862.1</v>
      </c>
      <c r="AV95" s="203">
        <v>5990.8</v>
      </c>
      <c r="AW95" s="203">
        <v>5975.6</v>
      </c>
      <c r="AX95" s="203">
        <v>8367.5</v>
      </c>
      <c r="AY95" s="203">
        <v>9450.6</v>
      </c>
      <c r="AZ95" s="203">
        <v>6950.2</v>
      </c>
      <c r="BA95" s="203">
        <v>8416.5</v>
      </c>
      <c r="BB95" s="203">
        <v>7812.4</v>
      </c>
      <c r="BC95" s="203">
        <v>7526.4</v>
      </c>
      <c r="BD95" s="203">
        <v>7293.6</v>
      </c>
      <c r="BE95" s="203">
        <v>8017.3</v>
      </c>
      <c r="BF95" s="203">
        <v>8763.7999999999993</v>
      </c>
      <c r="BG95" s="203">
        <v>8855.6</v>
      </c>
      <c r="BH95" s="203">
        <v>8823.6</v>
      </c>
      <c r="BI95" s="203">
        <v>9082.7999999999993</v>
      </c>
      <c r="BJ95" s="203">
        <v>5979.9</v>
      </c>
      <c r="BK95" s="203">
        <v>4634.5</v>
      </c>
      <c r="BL95" s="203">
        <v>5595.5</v>
      </c>
      <c r="BM95" s="203">
        <v>5504</v>
      </c>
      <c r="BN95" s="203">
        <v>6248</v>
      </c>
      <c r="BO95" s="203">
        <v>5839.9</v>
      </c>
      <c r="BP95" s="203">
        <v>6416.2</v>
      </c>
      <c r="BQ95" s="203">
        <v>6435</v>
      </c>
      <c r="BR95" s="203">
        <v>7001.8</v>
      </c>
      <c r="BS95" s="203">
        <v>7085</v>
      </c>
      <c r="BT95" s="203">
        <v>7009.3</v>
      </c>
      <c r="BU95" s="203">
        <v>7382.5</v>
      </c>
      <c r="BV95" s="203">
        <v>3927.2</v>
      </c>
      <c r="BW95" s="203">
        <v>662.2</v>
      </c>
      <c r="BX95" s="203">
        <v>5102.6000000000004</v>
      </c>
      <c r="BY95" s="203">
        <v>3746.4</v>
      </c>
      <c r="BZ95" s="203">
        <v>908</v>
      </c>
      <c r="CA95" s="203">
        <v>768.8</v>
      </c>
      <c r="CB95" s="203">
        <v>3536.8</v>
      </c>
      <c r="CC95" s="203">
        <v>5749.8</v>
      </c>
      <c r="CD95" s="261">
        <v>5.0552452999999984</v>
      </c>
      <c r="CE95" s="261">
        <v>4.6346939833333378</v>
      </c>
      <c r="CF95" s="261">
        <v>4.0644446833333312</v>
      </c>
      <c r="CG95" s="261">
        <v>4.7614176999999964</v>
      </c>
      <c r="CH95" s="261">
        <v>0.45745241666666703</v>
      </c>
      <c r="CI95" s="261">
        <v>0.66512773333333342</v>
      </c>
      <c r="CJ95" s="261">
        <v>0.72989271666666666</v>
      </c>
      <c r="CK95" s="261">
        <v>0.66841501666666736</v>
      </c>
      <c r="CL95" s="261">
        <v>27.865228215767665</v>
      </c>
      <c r="CM95" s="261">
        <v>27.682655601659828</v>
      </c>
      <c r="CN95" s="261">
        <v>40.458698755186717</v>
      </c>
      <c r="CO95" s="261">
        <v>37.965505394190856</v>
      </c>
      <c r="CP95" s="261">
        <v>81.912489626555868</v>
      </c>
      <c r="CQ95" s="261">
        <v>81.962531120331931</v>
      </c>
      <c r="CR95" s="261">
        <v>1.7012448132780075E-2</v>
      </c>
      <c r="CS95" s="261">
        <v>2.431535269709539E-2</v>
      </c>
      <c r="CT95" s="261">
        <v>1.1851120331950196</v>
      </c>
      <c r="CU95" s="261">
        <v>1.2166033195020756</v>
      </c>
      <c r="CV95" s="261">
        <v>3.0630000000000002</v>
      </c>
      <c r="CW95" s="261">
        <v>3.39</v>
      </c>
      <c r="CX95" s="204">
        <f>IFERROR(AVERAGEIF(RD[[#This Row],[IS1POA1 (KWh/m2)]:[IS7POA2 (KWh/m2)]],"&lt;&gt;0",RD[[#This Row],[IS1POA1 (KWh/m2)]:[IS7POA2 (KWh/m2)]]),"")</f>
        <v>4.8449696416666681</v>
      </c>
      <c r="CY95" s="204">
        <f>IFERROR(AVERAGEIF(RD[[#This Row],[IS1GHI1 (KWh/m2)]:[IS7GHI2 (KWh/m2)]],"&lt;&gt;0",RD[[#This Row],[IS1GHI1 (KWh/m2)]:[IS7GHI2 (KWh/m2)]]),"")</f>
        <v>4.4129311916666634</v>
      </c>
      <c r="CZ95" s="204">
        <f>IFERROR(AVERAGEIF(RD[[#This Row],[IS1POA_BS1 (KWh/m2)]:[IS7POA_BS2 (KWh/m2)]],"&lt;&gt;0",RD[[#This Row],[IS1POA_BS1 (KWh/m2)]:[IS7POA_BS2 (KWh/m2)]]),"")</f>
        <v>0.56129007500000028</v>
      </c>
      <c r="DA95" s="204">
        <f>IFERROR(AVERAGEIF(RD[[#This Row],[IS1GHI_BS1 (KWh/m2)]:[IS1GHI_BS1 (KWh/m2)2]],"&lt;&gt;0",RD[[#This Row],[IS1GHI_BS1 (KWh/m2)]:[IS1GHI_BS1 (KWh/m2)2]]),"")</f>
        <v>0.69915386666666701</v>
      </c>
      <c r="DB95" s="204">
        <f>IFERROR(AVERAGEIF(RD[[#This Row],[IS1AT1 (°C)]:[IS7AT2 (°C)]],"&lt;&gt;0",RD[[#This Row],[IS1AT1 (°C)]:[IS7AT2 (°C)]]),"")</f>
        <v>27.773941908713745</v>
      </c>
      <c r="DC95" s="204">
        <f>IFERROR(AVERAGEIF(RD[[#This Row],[IS1MT1 (°C)]:[IS7MT2 (°C)]],"&lt;&gt;0",RD[[#This Row],[IS1MT1 (°C)]:[IS7MT2 (°C)]]),"")</f>
        <v>39.212102074688787</v>
      </c>
      <c r="DD95" s="204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204">
        <f>IFERROR(AVERAGEIF(RD[[#This Row],[WS_Solar1_Avg (m/s)]:[IS7_WS_Solar1_Avg (m/s)]],"&lt;&gt;0",RD[[#This Row],[WS_Solar1_Avg (m/s)]:[IS7_WS_Solar1_Avg (m/s)]]),"")</f>
        <v>1.2008576763485475</v>
      </c>
      <c r="DG95" s="204">
        <f>IFERROR(AVERAGEIF(RD[[#This Row],[WS_Solar1_Max (m/s)]:[IS7_WS_Solar1_Max (m/s)]],"&lt;&gt;0",RD[[#This Row],[WS_Solar1_Max (m/s)]:[IS7_WS_Solar1_Max (m/s)]]),"")</f>
        <v>3.2265000000000001</v>
      </c>
      <c r="DH95" s="204">
        <f>SUM(RD[[#This Row],[IS1Inv1M1]:[IS4Inv4M2]])</f>
        <v>202244.6</v>
      </c>
      <c r="DI95" s="205">
        <f>SUM(RD[[#This Row],[IS7Inv1M1]]+RD[[#This Row],[IS7Inv2M1]])</f>
        <v>11886.7</v>
      </c>
      <c r="DJ95" s="204">
        <f>SUM(RD[[#This Row],[IS5Inv1M1]:[IS5Inv2M2]])</f>
        <v>29198</v>
      </c>
      <c r="DK95" s="204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86">
        <f>SUM(RD[[#This Row],[IS12Inv1M1]:[IS12Inv1M4]])</f>
        <v>24939.1</v>
      </c>
      <c r="DO95" s="286">
        <f>SUM(RD[[#This Row],[IS13Inv1M1]:[IS13Inv2M2]])</f>
        <v>28478.6</v>
      </c>
      <c r="DP95" s="204">
        <f>SUM(RD[[#This Row],[O2R15]:[O2R26]])</f>
        <v>495286.6</v>
      </c>
      <c r="DQ95" s="164">
        <v>44510.9</v>
      </c>
      <c r="DR95" s="168">
        <v>225.1</v>
      </c>
      <c r="DS95" s="164">
        <v>38868</v>
      </c>
      <c r="DT95" s="164">
        <v>237.2</v>
      </c>
      <c r="DU95" s="168">
        <v>45808.5</v>
      </c>
      <c r="DV95" s="168">
        <v>435.8</v>
      </c>
      <c r="DW95" s="164">
        <v>10501.2</v>
      </c>
      <c r="DX95" s="168">
        <v>54.5</v>
      </c>
      <c r="DY95" s="168">
        <v>3305</v>
      </c>
      <c r="DZ95" s="168">
        <v>15.5</v>
      </c>
      <c r="EA95" s="140">
        <v>105.62</v>
      </c>
      <c r="EB95" s="241">
        <v>146885623</v>
      </c>
      <c r="EC95" s="240">
        <v>1036561.536</v>
      </c>
      <c r="ED95" s="241">
        <v>1245</v>
      </c>
      <c r="EE95" s="241">
        <v>141099</v>
      </c>
      <c r="EF95" s="164">
        <v>203655.3</v>
      </c>
      <c r="EG95" s="164">
        <v>2001.4</v>
      </c>
      <c r="EH95" s="146">
        <f>IF((RD[[#This Row],[33 kV_F3_Ex
Incomer1]]-DQ94)*1000&lt;0,0,(RD[[#This Row],[33 kV_F3_Ex
Incomer1]]-DQ94)*1000)</f>
        <v>102099.99999999854</v>
      </c>
      <c r="EI95" s="146">
        <f>IF((RD[[#This Row],[34 kV_F3_Im
Incomer1]]-DR94)*1000&lt;0,0,(RD[[#This Row],[34 kV_F3_Im
Incomer1]]-DR94)*1000)</f>
        <v>299.99999999998295</v>
      </c>
      <c r="EJ95" s="146">
        <f>IF((RD[[#This Row],[33 kV_F4_Ex
Incomer2]]-DS94)*1000&lt;0,0,(RD[[#This Row],[33 kV_F4_Ex
Incomer2]]-DS94)*1000)</f>
        <v>94099.999999998545</v>
      </c>
      <c r="EK95" s="146">
        <f>IF((RD[[#This Row],[34 kV_F4_Im
Incomer2]]-DT94)*1000&lt;0,0,(RD[[#This Row],[34 kV_F4_Im
Incomer2]]-DT94)*1000)</f>
        <v>299.99999999998295</v>
      </c>
      <c r="EL95" s="146">
        <f>IF((RD[[#This Row],[33 kV_F5_Ex
Incomer3]]-DU94)*1000&lt;0,0,(RD[[#This Row],[33 kV_F5_Ex
Incomer3]]-DU94)*1000)</f>
        <v>126199.99999999709</v>
      </c>
      <c r="EM95" s="146">
        <f>IF((RD[[#This Row],[34 kV_F5_Im
Incomer3]]-DV94)*1000&lt;0,0,(RD[[#This Row],[34 kV_F5_Im
Incomer3]]-DV94)*1000)</f>
        <v>1199.9999999999886</v>
      </c>
      <c r="EN95" s="146">
        <f>IF((RD[[#This Row],[33 kV_F6_Ex
Incomer4]]-DW94)*1000&lt;0,0,(RD[[#This Row],[33 kV_F6_Ex
Incomer4]]-DW94)*1000)</f>
        <v>24200.000000000728</v>
      </c>
      <c r="EO95" s="146">
        <f t="shared" si="166"/>
        <v>399.99999999997726</v>
      </c>
      <c r="EP95" s="146">
        <f>IF((RD[[#This Row],[33 kV_F7_Ex
Incomer5]]-DY94)*1000&lt;0,0,(RD[[#This Row],[33 kV_F7_Ex
Incomer5]]-DY94)*1000)</f>
        <v>120300.00000000017</v>
      </c>
      <c r="EQ95" s="146">
        <f>IF((RD[[#This Row],[33 kV_F7_Im
Incomer5]]-DZ94)*1000&lt;0,0,(RD[[#This Row],[33 kV_F7_Im
Incomer5]]-DZ94)*1000)</f>
        <v>599.99999999999966</v>
      </c>
      <c r="ER95" s="146">
        <f>IF((RD[[#This Row],[33 kV_Aux Trafo]]-EA94)*1000&lt;0,0,(RD[[#This Row],[33 kV_Aux Trafo]]-EA94)*1000)</f>
        <v>240.00000000000909</v>
      </c>
      <c r="ES95" s="158">
        <f>IF((RD[[#This Row],[33kV_OG1_Ex_]]-EB94)*1&lt;0,0,(RD[[#This Row],[33kV_OG1_Ex_]]-EB94)*1)</f>
        <v>489570</v>
      </c>
      <c r="ET95" s="146">
        <f>IF((RD[[#This Row],[33kV_OG1_Im]]-EC94)*1&lt;0,0,(RD[[#This Row],[33kV_OG1_Im]]-EC94)*1)</f>
        <v>2970.3680000000168</v>
      </c>
      <c r="EU95" s="146">
        <f>IF((RD[[#This Row],[132kV_TX1_EX]]-ED94)*720&lt;=0,"",(RD[[#This Row],[132kV_TX1_EX]]-ED94)*720)</f>
        <v>2880</v>
      </c>
      <c r="EV95" s="146">
        <f>IF((RD[[#This Row],[132 kV_Tx1_Im]]-EE94)*720&lt;=0,0,(RD[[#This Row],[132 kV_Tx1_Im]]-EE94)*720)</f>
        <v>350640</v>
      </c>
      <c r="EW95" s="146">
        <f>IF((RD[[#This Row],[132kV_L1_Ex]]-EF94)*720&lt;=0,0,(RD[[#This Row],[132kV_L1_Ex]]-EF94)*720)</f>
        <v>487727.99999999581</v>
      </c>
      <c r="EX95" s="146">
        <f>IF((RD[[#This Row],[132kV_L1_Im]]-EG94)*720&lt;=0,0,(RD[[#This Row],[132kV_L1_Im]]-EG94)*720)</f>
        <v>3528.0000000000655</v>
      </c>
      <c r="EY95" s="242">
        <f>IFERROR(RD[[#This Row],[33kV_OG1_Ex (MWh)]]+RD[[#This Row],[33kV_OG1_Im (MWh)]],"")</f>
        <v>492540.36800000002</v>
      </c>
      <c r="EZ95" s="148">
        <f>RD[[#This Row],[33kV_OG1_Ex (MWh)]]-RD[[#This Row],[33kV_OG1_Im (MWh)]]</f>
        <v>486599.63199999998</v>
      </c>
      <c r="FA95" s="148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43">
        <f>IFERROR((RD[[#This Row],[Sunset Time (POA&lt;20 W/m2)]]-RD[[#This Row],[Sunrise Time (POA&gt;20 W/m2)]])*24,0)</f>
        <v>12.250000000000002</v>
      </c>
      <c r="FD95" s="244">
        <v>126.3</v>
      </c>
      <c r="FE95" s="303" t="s">
        <v>297</v>
      </c>
      <c r="FG95" s="144" t="str">
        <f>IFERROR(RD[[#This Row],[E_AC (WPR)]]/RD[[#This Row],[E_DC (WPR)]],"")</f>
        <v/>
      </c>
    </row>
    <row r="96" spans="1:163">
      <c r="A96" s="133">
        <f t="shared" si="161"/>
        <v>45836</v>
      </c>
      <c r="B96" s="138">
        <f>YEAR(RD[[#This Row],[Date]])+IF(MONTH(RD[[#This Row],[Date]])&gt;=4,1,0)</f>
        <v>2026</v>
      </c>
      <c r="C96" s="138">
        <f>YEAR(RD[[#This Row],[Date]])</f>
        <v>2025</v>
      </c>
      <c r="D96" s="139">
        <f t="shared" si="165"/>
        <v>45809</v>
      </c>
      <c r="E96" s="138">
        <f>DAY(EOMONTH(RD[[#This Row],[Date]],0))</f>
        <v>30</v>
      </c>
      <c r="F96" s="152">
        <v>0.25763888888888886</v>
      </c>
      <c r="G96" s="162">
        <v>0.75</v>
      </c>
      <c r="H96" s="124">
        <v>5832</v>
      </c>
      <c r="I96" s="268">
        <v>5862.6</v>
      </c>
      <c r="J96" s="124">
        <v>5501.9</v>
      </c>
      <c r="K96" s="124">
        <v>5414</v>
      </c>
      <c r="L96" s="124">
        <v>5581.7</v>
      </c>
      <c r="M96" s="124">
        <v>5780.5</v>
      </c>
      <c r="N96" s="124">
        <v>5642.9</v>
      </c>
      <c r="O96" s="124">
        <v>6202.6</v>
      </c>
      <c r="P96" s="124">
        <v>5725.4</v>
      </c>
      <c r="Q96" s="124">
        <v>5577.3</v>
      </c>
      <c r="R96" s="124">
        <v>5775.2</v>
      </c>
      <c r="S96" s="266">
        <v>5848.8</v>
      </c>
      <c r="T96" s="124">
        <v>6078.5</v>
      </c>
      <c r="U96" s="124">
        <v>5806</v>
      </c>
      <c r="V96" s="124">
        <v>5935.7</v>
      </c>
      <c r="W96" s="124">
        <v>5705.8</v>
      </c>
      <c r="X96" s="266">
        <v>8131</v>
      </c>
      <c r="Y96" s="203">
        <v>8968</v>
      </c>
      <c r="Z96" s="203">
        <v>7832.5</v>
      </c>
      <c r="AA96" s="203">
        <v>8202.7999999999993</v>
      </c>
      <c r="AB96" s="266">
        <v>8737.7000000000007</v>
      </c>
      <c r="AC96" s="203">
        <v>5407.7</v>
      </c>
      <c r="AD96" s="203">
        <v>8065.9</v>
      </c>
      <c r="AE96" s="203">
        <v>8214.2000000000007</v>
      </c>
      <c r="AF96" s="266">
        <v>8140</v>
      </c>
      <c r="AG96" s="203">
        <v>8188.4</v>
      </c>
      <c r="AH96" s="203">
        <v>8023.8</v>
      </c>
      <c r="AI96" s="266">
        <v>7994.2</v>
      </c>
      <c r="AJ96" s="203">
        <v>6548.2</v>
      </c>
      <c r="AK96" s="266">
        <v>6729.8</v>
      </c>
      <c r="AL96" s="203">
        <v>6550.8</v>
      </c>
      <c r="AM96" s="266">
        <v>6648.2</v>
      </c>
      <c r="AN96" s="203">
        <v>6541.3</v>
      </c>
      <c r="AO96" s="266">
        <v>6692.3</v>
      </c>
      <c r="AP96" s="203">
        <v>6631</v>
      </c>
      <c r="AQ96" s="266">
        <v>6310.9</v>
      </c>
      <c r="AR96" s="203">
        <v>5206.8</v>
      </c>
      <c r="AS96" s="266">
        <v>5249.7</v>
      </c>
      <c r="AT96" s="203">
        <v>5171.6000000000004</v>
      </c>
      <c r="AU96" s="266">
        <v>5229.8</v>
      </c>
      <c r="AV96" s="203">
        <v>5295.6</v>
      </c>
      <c r="AW96" s="203">
        <v>5250</v>
      </c>
      <c r="AX96" s="203">
        <v>7537.4</v>
      </c>
      <c r="AY96" s="203">
        <v>8402.4</v>
      </c>
      <c r="AZ96" s="203">
        <v>6219.6</v>
      </c>
      <c r="BA96" s="203">
        <v>7491.9</v>
      </c>
      <c r="BB96" s="203">
        <v>7467.3</v>
      </c>
      <c r="BC96" s="203">
        <v>7192.2</v>
      </c>
      <c r="BD96" s="203">
        <v>7105.1</v>
      </c>
      <c r="BE96" s="203">
        <v>7790.7</v>
      </c>
      <c r="BF96" s="203">
        <v>8458.2000000000007</v>
      </c>
      <c r="BG96" s="203">
        <v>8485.4</v>
      </c>
      <c r="BH96" s="203">
        <v>8265.7000000000007</v>
      </c>
      <c r="BI96" s="203">
        <v>8605.2000000000007</v>
      </c>
      <c r="BJ96" s="203">
        <v>5709</v>
      </c>
      <c r="BK96" s="203">
        <v>4594.5</v>
      </c>
      <c r="BL96" s="203">
        <v>5321.3</v>
      </c>
      <c r="BM96" s="203">
        <v>5235.3</v>
      </c>
      <c r="BN96" s="203">
        <v>5789.1</v>
      </c>
      <c r="BO96" s="203">
        <v>5451.8</v>
      </c>
      <c r="BP96" s="203">
        <v>5892.7</v>
      </c>
      <c r="BQ96" s="203">
        <v>6019.6</v>
      </c>
      <c r="BR96" s="203">
        <v>6437</v>
      </c>
      <c r="BS96" s="203">
        <v>6607</v>
      </c>
      <c r="BT96" s="203">
        <v>6424.9</v>
      </c>
      <c r="BU96" s="203">
        <v>6750.9</v>
      </c>
      <c r="BV96" s="203">
        <v>4155.6000000000004</v>
      </c>
      <c r="BW96" s="203">
        <v>1365.3</v>
      </c>
      <c r="BX96" s="203">
        <v>4626.1000000000004</v>
      </c>
      <c r="BY96" s="203">
        <v>3766.2</v>
      </c>
      <c r="BZ96" s="203">
        <v>766</v>
      </c>
      <c r="CA96" s="203">
        <v>175.6</v>
      </c>
      <c r="CB96" s="203">
        <v>5183.1000000000004</v>
      </c>
      <c r="CC96" s="203">
        <v>5627.6</v>
      </c>
      <c r="CD96" s="261">
        <v>4.8369012333333314</v>
      </c>
      <c r="CE96" s="261">
        <v>4.1130222333333357</v>
      </c>
      <c r="CF96" s="261">
        <v>3.9196503166666719</v>
      </c>
      <c r="CG96" s="261">
        <v>4.2744353999999989</v>
      </c>
      <c r="CH96" s="261">
        <v>0.54350565000000028</v>
      </c>
      <c r="CI96" s="261">
        <v>0.51695403333333345</v>
      </c>
      <c r="CJ96" s="261">
        <v>0.72768260000000062</v>
      </c>
      <c r="CK96" s="261">
        <v>0.58868384999999934</v>
      </c>
      <c r="CL96" s="261">
        <v>27.598441226575783</v>
      </c>
      <c r="CM96" s="261">
        <v>27.873594548551967</v>
      </c>
      <c r="CN96" s="261">
        <v>39.33215417376492</v>
      </c>
      <c r="CO96" s="261">
        <v>36.528782793867066</v>
      </c>
      <c r="CP96" s="261">
        <v>75.845170357751286</v>
      </c>
      <c r="CQ96" s="261">
        <v>73.926533219761509</v>
      </c>
      <c r="CR96" s="261">
        <v>5.6337308347529834E-2</v>
      </c>
      <c r="CS96" s="261">
        <v>0</v>
      </c>
      <c r="CT96" s="261">
        <v>1.2848151618398649</v>
      </c>
      <c r="CU96" s="261">
        <v>1.4181720613287907</v>
      </c>
      <c r="CV96" s="261">
        <v>3.1680000000000001</v>
      </c>
      <c r="CW96" s="261">
        <v>3.66</v>
      </c>
      <c r="CX96" s="204">
        <f>IFERROR(AVERAGEIF(RD[[#This Row],[IS1POA1 (KWh/m2)]:[IS7POA2 (KWh/m2)]],"&lt;&gt;0",RD[[#This Row],[IS1POA1 (KWh/m2)]:[IS7POA2 (KWh/m2)]]),"")</f>
        <v>4.474961733333334</v>
      </c>
      <c r="CY96" s="204">
        <f>IFERROR(AVERAGEIF(RD[[#This Row],[IS1GHI1 (KWh/m2)]:[IS7GHI2 (KWh/m2)]],"&lt;&gt;0",RD[[#This Row],[IS1GHI1 (KWh/m2)]:[IS7GHI2 (KWh/m2)]]),"")</f>
        <v>4.0970428583333351</v>
      </c>
      <c r="CZ96" s="204">
        <f>IFERROR(AVERAGEIF(RD[[#This Row],[IS1POA_BS1 (KWh/m2)]:[IS7POA_BS2 (KWh/m2)]],"&lt;&gt;0",RD[[#This Row],[IS1POA_BS1 (KWh/m2)]:[IS7POA_BS2 (KWh/m2)]]),"")</f>
        <v>0.53022984166666687</v>
      </c>
      <c r="DA96" s="204">
        <f>IFERROR(AVERAGEIF(RD[[#This Row],[IS1GHI_BS1 (KWh/m2)]:[IS1GHI_BS1 (KWh/m2)2]],"&lt;&gt;0",RD[[#This Row],[IS1GHI_BS1 (KWh/m2)]:[IS1GHI_BS1 (KWh/m2)2]]),"")</f>
        <v>0.65818322499999993</v>
      </c>
      <c r="DB96" s="204">
        <f>IFERROR(AVERAGEIF(RD[[#This Row],[IS1AT1 (°C)]:[IS7AT2 (°C)]],"&lt;&gt;0",RD[[#This Row],[IS1AT1 (°C)]:[IS7AT2 (°C)]]),"")</f>
        <v>27.736017887563875</v>
      </c>
      <c r="DC96" s="204">
        <f>IFERROR(AVERAGEIF(RD[[#This Row],[IS1MT1 (°C)]:[IS7MT2 (°C)]],"&lt;&gt;0",RD[[#This Row],[IS1MT1 (°C)]:[IS7MT2 (°C)]]),"")</f>
        <v>37.930468483815993</v>
      </c>
      <c r="DD96" s="204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204">
        <f>IFERROR(AVERAGEIF(RD[[#This Row],[WS_Solar1_Avg (m/s)]:[IS7_WS_Solar1_Avg (m/s)]],"&lt;&gt;0",RD[[#This Row],[WS_Solar1_Avg (m/s)]:[IS7_WS_Solar1_Avg (m/s)]]),"")</f>
        <v>1.3514936115843277</v>
      </c>
      <c r="DG96" s="204">
        <f>IFERROR(AVERAGEIF(RD[[#This Row],[WS_Solar1_Max (m/s)]:[IS7_WS_Solar1_Max (m/s)]],"&lt;&gt;0",RD[[#This Row],[WS_Solar1_Max (m/s)]:[IS7_WS_Solar1_Max (m/s)]]),"")</f>
        <v>3.4140000000000001</v>
      </c>
      <c r="DH96" s="204">
        <f>SUM(RD[[#This Row],[IS1Inv1M1]:[IS4Inv4M2]])</f>
        <v>188177.1</v>
      </c>
      <c r="DI96" s="205">
        <f>SUM(RD[[#This Row],[IS7Inv1M1]]+RD[[#This Row],[IS7Inv2M1]])</f>
        <v>10456.5</v>
      </c>
      <c r="DJ96" s="204">
        <f>SUM(RD[[#This Row],[IS5Inv1M1]:[IS5Inv2M2]])</f>
        <v>26477</v>
      </c>
      <c r="DK96" s="204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86">
        <f>SUM(RD[[#This Row],[IS12Inv1M1]:[IS12Inv1M4]])</f>
        <v>23153.200000000004</v>
      </c>
      <c r="DO96" s="286">
        <f>SUM(RD[[#This Row],[IS13Inv1M1]:[IS13Inv2M2]])</f>
        <v>26219.800000000003</v>
      </c>
      <c r="DP96" s="204">
        <f>SUM(RD[[#This Row],[O2R15]:[O2R26]])</f>
        <v>461152.80000000005</v>
      </c>
      <c r="DQ96" s="164">
        <v>44606.3</v>
      </c>
      <c r="DR96" s="168">
        <v>225.5</v>
      </c>
      <c r="DS96" s="164">
        <v>38955.5</v>
      </c>
      <c r="DT96" s="164">
        <v>237.5</v>
      </c>
      <c r="DU96" s="168">
        <v>45921.4</v>
      </c>
      <c r="DV96" s="168">
        <v>437</v>
      </c>
      <c r="DW96" s="164">
        <v>10526.8</v>
      </c>
      <c r="DX96" s="168">
        <v>54.7</v>
      </c>
      <c r="DY96" s="168">
        <v>3417.3</v>
      </c>
      <c r="DZ96" s="168">
        <v>16.2</v>
      </c>
      <c r="EA96" s="140">
        <v>105.86</v>
      </c>
      <c r="EB96" s="241">
        <v>147342163</v>
      </c>
      <c r="EC96" s="240">
        <v>1039590.848</v>
      </c>
      <c r="ED96" s="241">
        <v>1248</v>
      </c>
      <c r="EE96" s="241">
        <v>141554</v>
      </c>
      <c r="EF96" s="164">
        <v>204287.2</v>
      </c>
      <c r="EG96" s="164">
        <v>2006.2</v>
      </c>
      <c r="EH96" s="146">
        <f>IF((RD[[#This Row],[33 kV_F3_Ex
Incomer1]]-DQ95)*1000&lt;0,0,(RD[[#This Row],[33 kV_F3_Ex
Incomer1]]-DQ95)*1000)</f>
        <v>95400.000000001455</v>
      </c>
      <c r="EI96" s="146">
        <f>IF((RD[[#This Row],[34 kV_F3_Im
Incomer1]]-DR95)*1000&lt;0,0,(RD[[#This Row],[34 kV_F3_Im
Incomer1]]-DR95)*1000)</f>
        <v>400.00000000000568</v>
      </c>
      <c r="EJ96" s="146">
        <f>IF((RD[[#This Row],[33 kV_F4_Ex
Incomer2]]-DS95)*1000&lt;0,0,(RD[[#This Row],[33 kV_F4_Ex
Incomer2]]-DS95)*1000)</f>
        <v>87500</v>
      </c>
      <c r="EK96" s="146">
        <f>IF((RD[[#This Row],[34 kV_F4_Im
Incomer2]]-DT95)*1000&lt;0,0,(RD[[#This Row],[34 kV_F4_Im
Incomer2]]-DT95)*1000)</f>
        <v>300.00000000001137</v>
      </c>
      <c r="EL96" s="146">
        <f>IF((RD[[#This Row],[33 kV_F5_Ex
Incomer3]]-DU95)*1000&lt;0,0,(RD[[#This Row],[33 kV_F5_Ex
Incomer3]]-DU95)*1000)</f>
        <v>112900.00000000146</v>
      </c>
      <c r="EM96" s="146">
        <f>IF((RD[[#This Row],[34 kV_F5_Im
Incomer3]]-DV95)*1000&lt;0,0,(RD[[#This Row],[34 kV_F5_Im
Incomer3]]-DV95)*1000)</f>
        <v>1199.9999999999886</v>
      </c>
      <c r="EN96" s="146">
        <f>IF((RD[[#This Row],[33 kV_F6_Ex
Incomer4]]-DW95)*1000&lt;0,0,(RD[[#This Row],[33 kV_F6_Ex
Incomer4]]-DW95)*1000)</f>
        <v>25599.999999998545</v>
      </c>
      <c r="EO96" s="146">
        <f t="shared" si="166"/>
        <v>300.00000000001137</v>
      </c>
      <c r="EP96" s="146">
        <f>IF((RD[[#This Row],[33 kV_F7_Ex
Incomer5]]-DY95)*1000&lt;0,0,(RD[[#This Row],[33 kV_F7_Ex
Incomer5]]-DY95)*1000)</f>
        <v>112300.00000000017</v>
      </c>
      <c r="EQ96" s="146">
        <f>IF((RD[[#This Row],[33 kV_F7_Im
Incomer5]]-DZ95)*1000&lt;0,0,(RD[[#This Row],[33 kV_F7_Im
Incomer5]]-DZ95)*1000)</f>
        <v>699.99999999999932</v>
      </c>
      <c r="ER96" s="146">
        <f>IF((RD[[#This Row],[33 kV_Aux Trafo]]-EA95)*1000&lt;0,0,(RD[[#This Row],[33 kV_Aux Trafo]]-EA95)*1000)</f>
        <v>239.99999999999488</v>
      </c>
      <c r="ES96" s="158">
        <f>IF((RD[[#This Row],[33kV_OG1_Ex_]]-EB95)*1&lt;0,0,(RD[[#This Row],[33kV_OG1_Ex_]]-EB95)*1)</f>
        <v>456540</v>
      </c>
      <c r="ET96" s="146">
        <f>IF((RD[[#This Row],[33kV_OG1_Im]]-EC95)*1&lt;0,0,(RD[[#This Row],[33kV_OG1_Im]]-EC95)*1)</f>
        <v>3029.3120000000345</v>
      </c>
      <c r="EU96" s="146">
        <f>IF((RD[[#This Row],[132kV_TX1_EX]]-ED95)*720&lt;=0,"",(RD[[#This Row],[132kV_TX1_EX]]-ED95)*720)</f>
        <v>2160</v>
      </c>
      <c r="EV96" s="146">
        <f>IF((RD[[#This Row],[132 kV_Tx1_Im]]-EE95)*720&lt;=0,0,(RD[[#This Row],[132 kV_Tx1_Im]]-EE95)*720)</f>
        <v>327600</v>
      </c>
      <c r="EW96" s="146">
        <f>IF((RD[[#This Row],[132kV_L1_Ex]]-EF95)*720&lt;=0,0,(RD[[#This Row],[132kV_L1_Ex]]-EF95)*720)</f>
        <v>454968.00000001676</v>
      </c>
      <c r="EX96" s="146">
        <f>IF((RD[[#This Row],[132kV_L1_Im]]-EG95)*720&lt;=0,0,(RD[[#This Row],[132kV_L1_Im]]-EG95)*720)</f>
        <v>3455.9999999999673</v>
      </c>
      <c r="EY96" s="242">
        <f>IFERROR(RD[[#This Row],[33kV_OG1_Ex (MWh)]]+RD[[#This Row],[33kV_OG1_Im (MWh)]],"")</f>
        <v>459569.31200000003</v>
      </c>
      <c r="EZ96" s="148">
        <f>RD[[#This Row],[33kV_OG1_Ex (MWh)]]-RD[[#This Row],[33kV_OG1_Im (MWh)]]</f>
        <v>453510.68799999997</v>
      </c>
      <c r="FA96" s="148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43">
        <f>IFERROR((RD[[#This Row],[Sunset Time (POA&lt;20 W/m2)]]-RD[[#This Row],[Sunrise Time (POA&gt;20 W/m2)]])*24,0)</f>
        <v>11.816666666666666</v>
      </c>
      <c r="FD96" s="244">
        <v>126.3</v>
      </c>
      <c r="FE96" s="303" t="s">
        <v>297</v>
      </c>
      <c r="FG96" s="144" t="str">
        <f>IFERROR(RD[[#This Row],[E_AC (WPR)]]/RD[[#This Row],[E_DC (WPR)]],"")</f>
        <v/>
      </c>
    </row>
    <row r="97" spans="1:163">
      <c r="A97" s="133">
        <f t="shared" si="161"/>
        <v>45837</v>
      </c>
      <c r="B97" s="138">
        <f>YEAR(RD[[#This Row],[Date]])+IF(MONTH(RD[[#This Row],[Date]])&gt;=4,1,0)</f>
        <v>2026</v>
      </c>
      <c r="C97" s="138">
        <f>YEAR(RD[[#This Row],[Date]])</f>
        <v>2025</v>
      </c>
      <c r="D97" s="139">
        <f t="shared" si="165"/>
        <v>45809</v>
      </c>
      <c r="E97" s="138">
        <f>DAY(EOMONTH(RD[[#This Row],[Date]],0))</f>
        <v>30</v>
      </c>
      <c r="F97" s="152">
        <v>0.26458333333333334</v>
      </c>
      <c r="G97" s="162">
        <v>0.7631944444444444</v>
      </c>
      <c r="H97" s="124">
        <v>3456.7</v>
      </c>
      <c r="I97" s="268">
        <v>3432</v>
      </c>
      <c r="J97" s="124">
        <v>3198.2</v>
      </c>
      <c r="K97" s="124">
        <v>3264</v>
      </c>
      <c r="L97" s="124">
        <v>3387.6</v>
      </c>
      <c r="M97" s="124">
        <v>3482.8</v>
      </c>
      <c r="N97" s="124">
        <v>3356.9</v>
      </c>
      <c r="O97" s="124">
        <v>3720.9</v>
      </c>
      <c r="P97" s="124">
        <v>3417.5</v>
      </c>
      <c r="Q97" s="124">
        <v>3348.2</v>
      </c>
      <c r="R97" s="124">
        <v>3428.8</v>
      </c>
      <c r="S97" s="266">
        <v>3450.3</v>
      </c>
      <c r="T97" s="124">
        <v>3580.9</v>
      </c>
      <c r="U97" s="124">
        <v>3406.8</v>
      </c>
      <c r="V97" s="124">
        <v>3517.1</v>
      </c>
      <c r="W97" s="124">
        <v>3345.8</v>
      </c>
      <c r="X97" s="266">
        <v>4747.6000000000004</v>
      </c>
      <c r="Y97" s="203">
        <v>5386.7</v>
      </c>
      <c r="Z97" s="203">
        <v>4632.2</v>
      </c>
      <c r="AA97" s="203">
        <v>4847.3999999999996</v>
      </c>
      <c r="AB97" s="266">
        <v>5222</v>
      </c>
      <c r="AC97" s="203">
        <v>3132.2</v>
      </c>
      <c r="AD97" s="203">
        <v>4767.3999999999996</v>
      </c>
      <c r="AE97" s="203">
        <v>4961</v>
      </c>
      <c r="AF97" s="266">
        <v>4782.7</v>
      </c>
      <c r="AG97" s="203">
        <v>4778.5</v>
      </c>
      <c r="AH97" s="203">
        <v>4806.3</v>
      </c>
      <c r="AI97" s="266">
        <v>4825.7</v>
      </c>
      <c r="AJ97" s="203">
        <v>4282.7</v>
      </c>
      <c r="AK97" s="266">
        <v>4447.3</v>
      </c>
      <c r="AL97" s="203">
        <v>4382.8</v>
      </c>
      <c r="AM97" s="266">
        <v>4429.3</v>
      </c>
      <c r="AN97" s="203">
        <v>4393.7</v>
      </c>
      <c r="AO97" s="266">
        <v>4562.5</v>
      </c>
      <c r="AP97" s="203">
        <v>4476.1000000000004</v>
      </c>
      <c r="AQ97" s="266">
        <v>4236.8</v>
      </c>
      <c r="AR97" s="203">
        <v>3554.3</v>
      </c>
      <c r="AS97" s="266">
        <v>3577.8</v>
      </c>
      <c r="AT97" s="203">
        <v>3507.4</v>
      </c>
      <c r="AU97" s="266">
        <v>3498.2</v>
      </c>
      <c r="AV97" s="203">
        <v>3592.7</v>
      </c>
      <c r="AW97" s="203">
        <v>3583.6</v>
      </c>
      <c r="AX97" s="203">
        <v>5076.8</v>
      </c>
      <c r="AY97" s="203">
        <v>5785</v>
      </c>
      <c r="AZ97" s="203">
        <v>4213.3</v>
      </c>
      <c r="BA97" s="203">
        <v>5155.3</v>
      </c>
      <c r="BB97" s="203">
        <v>4746.6000000000004</v>
      </c>
      <c r="BC97" s="203">
        <v>4517.8999999999996</v>
      </c>
      <c r="BD97" s="203">
        <v>4035.9</v>
      </c>
      <c r="BE97" s="203">
        <v>4409.8</v>
      </c>
      <c r="BF97" s="203">
        <v>4860.7</v>
      </c>
      <c r="BG97" s="203">
        <v>4908.6000000000004</v>
      </c>
      <c r="BH97" s="203">
        <v>4855.2</v>
      </c>
      <c r="BI97" s="203">
        <v>5000.3999999999996</v>
      </c>
      <c r="BJ97" s="203">
        <v>3183.8</v>
      </c>
      <c r="BK97" s="203">
        <v>2524.8000000000002</v>
      </c>
      <c r="BL97" s="203">
        <v>3064.2</v>
      </c>
      <c r="BM97" s="203">
        <v>3029</v>
      </c>
      <c r="BN97" s="203">
        <v>3392</v>
      </c>
      <c r="BO97" s="203">
        <v>3219.7</v>
      </c>
      <c r="BP97" s="203">
        <v>3515.1</v>
      </c>
      <c r="BQ97" s="203">
        <v>3498.8</v>
      </c>
      <c r="BR97" s="203">
        <v>3672</v>
      </c>
      <c r="BS97" s="203">
        <v>3796</v>
      </c>
      <c r="BT97" s="203">
        <v>3710.9</v>
      </c>
      <c r="BU97" s="203">
        <v>3893</v>
      </c>
      <c r="BV97" s="203">
        <v>2629.1</v>
      </c>
      <c r="BW97" s="203">
        <v>2102.3000000000002</v>
      </c>
      <c r="BX97" s="203">
        <v>2718.2</v>
      </c>
      <c r="BY97" s="203">
        <v>2445.9</v>
      </c>
      <c r="BZ97" s="203">
        <v>621.20000000000005</v>
      </c>
      <c r="CA97" s="203">
        <v>278.7</v>
      </c>
      <c r="CB97" s="203">
        <v>3017.7</v>
      </c>
      <c r="CC97" s="203">
        <v>3258.1</v>
      </c>
      <c r="CD97" s="261">
        <v>2.6947467999999999</v>
      </c>
      <c r="CE97" s="261">
        <v>2.6365602666666659</v>
      </c>
      <c r="CF97" s="261">
        <v>2.1412474999999982</v>
      </c>
      <c r="CG97" s="261">
        <v>2.6874499499999982</v>
      </c>
      <c r="CH97" s="261">
        <v>0.26964945000000046</v>
      </c>
      <c r="CI97" s="261">
        <v>0.37900648333333326</v>
      </c>
      <c r="CJ97" s="261">
        <v>0.40249731666666705</v>
      </c>
      <c r="CK97" s="261">
        <v>0.37876425000000019</v>
      </c>
      <c r="CL97" s="261">
        <v>26.206387520525496</v>
      </c>
      <c r="CM97" s="261">
        <v>26.212561576354727</v>
      </c>
      <c r="CN97" s="261">
        <v>34.899351395730712</v>
      </c>
      <c r="CO97" s="261">
        <v>32.60453530377665</v>
      </c>
      <c r="CP97" s="261">
        <v>83.487110016420345</v>
      </c>
      <c r="CQ97" s="261">
        <v>83.289614121510553</v>
      </c>
      <c r="CR97" s="261">
        <v>9.8522167487684748E-2</v>
      </c>
      <c r="CS97" s="261">
        <v>6.8965517241379337E-2</v>
      </c>
      <c r="CT97" s="261">
        <v>1.5754088669950728</v>
      </c>
      <c r="CU97" s="261">
        <v>1.7060344827586214</v>
      </c>
      <c r="CV97" s="261">
        <v>4.9349999999999996</v>
      </c>
      <c r="CW97" s="261">
        <v>4.8840000000000003</v>
      </c>
      <c r="CX97" s="204">
        <f>IFERROR(AVERAGEIF(RD[[#This Row],[IS1POA1 (KWh/m2)]:[IS7POA2 (KWh/m2)]],"&lt;&gt;0",RD[[#This Row],[IS1POA1 (KWh/m2)]:[IS7POA2 (KWh/m2)]]),"")</f>
        <v>2.6656535333333329</v>
      </c>
      <c r="CY97" s="204">
        <f>IFERROR(AVERAGEIF(RD[[#This Row],[IS1GHI1 (KWh/m2)]:[IS7GHI2 (KWh/m2)]],"&lt;&gt;0",RD[[#This Row],[IS1GHI1 (KWh/m2)]:[IS7GHI2 (KWh/m2)]]),"")</f>
        <v>2.4143487249999982</v>
      </c>
      <c r="CZ97" s="204">
        <f>IFERROR(AVERAGEIF(RD[[#This Row],[IS1POA_BS1 (KWh/m2)]:[IS7POA_BS2 (KWh/m2)]],"&lt;&gt;0",RD[[#This Row],[IS1POA_BS1 (KWh/m2)]:[IS7POA_BS2 (KWh/m2)]]),"")</f>
        <v>0.32432796666666686</v>
      </c>
      <c r="DA97" s="204">
        <f>IFERROR(AVERAGEIF(RD[[#This Row],[IS1GHI_BS1 (KWh/m2)]:[IS1GHI_BS1 (KWh/m2)2]],"&lt;&gt;0",RD[[#This Row],[IS1GHI_BS1 (KWh/m2)]:[IS1GHI_BS1 (KWh/m2)2]]),"")</f>
        <v>0.39063078333333362</v>
      </c>
      <c r="DB97" s="204">
        <f>IFERROR(AVERAGEIF(RD[[#This Row],[IS1AT1 (°C)]:[IS7AT2 (°C)]],"&lt;&gt;0",RD[[#This Row],[IS1AT1 (°C)]:[IS7AT2 (°C)]]),"")</f>
        <v>26.209474548440113</v>
      </c>
      <c r="DC97" s="204">
        <f>IFERROR(AVERAGEIF(RD[[#This Row],[IS1MT1 (°C)]:[IS7MT2 (°C)]],"&lt;&gt;0",RD[[#This Row],[IS1MT1 (°C)]:[IS7MT2 (°C)]]),"")</f>
        <v>33.751943349753681</v>
      </c>
      <c r="DD97" s="204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204">
        <f>IFERROR(AVERAGEIF(RD[[#This Row],[WS_Solar1_Avg (m/s)]:[IS7_WS_Solar1_Avg (m/s)]],"&lt;&gt;0",RD[[#This Row],[WS_Solar1_Avg (m/s)]:[IS7_WS_Solar1_Avg (m/s)]]),"")</f>
        <v>1.6407216748768469</v>
      </c>
      <c r="DG97" s="204">
        <f>IFERROR(AVERAGEIF(RD[[#This Row],[WS_Solar1_Max (m/s)]:[IS7_WS_Solar1_Max (m/s)]],"&lt;&gt;0",RD[[#This Row],[WS_Solar1_Max (m/s)]:[IS7_WS_Solar1_Max (m/s)]]),"")</f>
        <v>4.9094999999999995</v>
      </c>
      <c r="DH97" s="204">
        <f>SUM(RD[[#This Row],[IS1Inv1M1]:[IS4Inv4M2]])</f>
        <v>111684.2</v>
      </c>
      <c r="DI97" s="205">
        <f>SUM(RD[[#This Row],[IS7Inv1M1]]+RD[[#This Row],[IS7Inv2M1]])</f>
        <v>7132.1</v>
      </c>
      <c r="DJ97" s="204">
        <f>SUM(RD[[#This Row],[IS5Inv1M1]:[IS5Inv2M2]])</f>
        <v>17542.099999999999</v>
      </c>
      <c r="DK97" s="204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86">
        <f>SUM(RD[[#This Row],[IS12Inv1M1]:[IS12Inv1M4]])</f>
        <v>13625.599999999999</v>
      </c>
      <c r="DO97" s="286">
        <f>SUM(RD[[#This Row],[IS13Inv1M1]:[IS13Inv2M2]])</f>
        <v>15071.9</v>
      </c>
      <c r="DP97" s="204">
        <f>SUM(RD[[#This Row],[O2R15]:[O2R26]])</f>
        <v>283345.40000000002</v>
      </c>
      <c r="DQ97" s="164">
        <v>44662.9</v>
      </c>
      <c r="DR97" s="168">
        <v>225.8</v>
      </c>
      <c r="DS97" s="164">
        <v>39008.400000000001</v>
      </c>
      <c r="DT97" s="164">
        <v>237.8</v>
      </c>
      <c r="DU97" s="168">
        <v>45998.1</v>
      </c>
      <c r="DV97" s="168">
        <v>438.3</v>
      </c>
      <c r="DW97" s="164">
        <v>10544.2</v>
      </c>
      <c r="DX97" s="168">
        <v>54.9</v>
      </c>
      <c r="DY97" s="168">
        <v>3483.4</v>
      </c>
      <c r="DZ97" s="168">
        <v>16.899999999999999</v>
      </c>
      <c r="EA97" s="140">
        <v>106.08</v>
      </c>
      <c r="EB97" s="241">
        <v>147625132</v>
      </c>
      <c r="EC97" s="240">
        <v>1042627.072</v>
      </c>
      <c r="ED97" s="241">
        <v>1252</v>
      </c>
      <c r="EE97" s="241">
        <v>141836</v>
      </c>
      <c r="EF97" s="164">
        <v>204679</v>
      </c>
      <c r="EG97" s="164">
        <v>2011.1</v>
      </c>
      <c r="EH97" s="146">
        <f>IF((RD[[#This Row],[33 kV_F3_Ex
Incomer1]]-DQ96)*1000&lt;0,0,(RD[[#This Row],[33 kV_F3_Ex
Incomer1]]-DQ96)*1000)</f>
        <v>56599.999999998545</v>
      </c>
      <c r="EI97" s="146">
        <f>IF((RD[[#This Row],[34 kV_F3_Im
Incomer1]]-DR96)*1000&lt;0,0,(RD[[#This Row],[34 kV_F3_Im
Incomer1]]-DR96)*1000)</f>
        <v>300.00000000001137</v>
      </c>
      <c r="EJ97" s="146">
        <f>IF((RD[[#This Row],[33 kV_F4_Ex
Incomer2]]-DS96)*1000&lt;0,0,(RD[[#This Row],[33 kV_F4_Ex
Incomer2]]-DS96)*1000)</f>
        <v>52900.000000001455</v>
      </c>
      <c r="EK97" s="146">
        <f>IF((RD[[#This Row],[34 kV_F4_Im
Incomer2]]-DT96)*1000&lt;0,0,(RD[[#This Row],[34 kV_F4_Im
Incomer2]]-DT96)*1000)</f>
        <v>300.00000000001137</v>
      </c>
      <c r="EL97" s="146">
        <f>IF((RD[[#This Row],[33 kV_F5_Ex
Incomer3]]-DU96)*1000&lt;0,0,(RD[[#This Row],[33 kV_F5_Ex
Incomer3]]-DU96)*1000)</f>
        <v>76699.99999999709</v>
      </c>
      <c r="EM97" s="146">
        <f>IF((RD[[#This Row],[34 kV_F5_Im
Incomer3]]-DV96)*1000&lt;0,0,(RD[[#This Row],[34 kV_F5_Im
Incomer3]]-DV96)*1000)</f>
        <v>1300.0000000000114</v>
      </c>
      <c r="EN97" s="146">
        <f>IF((RD[[#This Row],[33 kV_F6_Ex
Incomer4]]-DW96)*1000&lt;0,0,(RD[[#This Row],[33 kV_F6_Ex
Incomer4]]-DW96)*1000)</f>
        <v>17400.000000001455</v>
      </c>
      <c r="EO97" s="146">
        <f t="shared" si="166"/>
        <v>400.00000000000568</v>
      </c>
      <c r="EP97" s="146">
        <f>IF((RD[[#This Row],[33 kV_F7_Ex
Incomer5]]-DY96)*1000&lt;0,0,(RD[[#This Row],[33 kV_F7_Ex
Incomer5]]-DY96)*1000)</f>
        <v>66099.999999999913</v>
      </c>
      <c r="EQ97" s="146">
        <f>IF((RD[[#This Row],[33 kV_F7_Im
Incomer5]]-DZ96)*1000&lt;0,0,(RD[[#This Row],[33 kV_F7_Im
Incomer5]]-DZ96)*1000)</f>
        <v>699.99999999999932</v>
      </c>
      <c r="ER97" s="146">
        <f>IF((RD[[#This Row],[33 kV_Aux Trafo]]-EA96)*1000&lt;0,0,(RD[[#This Row],[33 kV_Aux Trafo]]-EA96)*1000)</f>
        <v>219.99999999999886</v>
      </c>
      <c r="ES97" s="158">
        <f>IF((RD[[#This Row],[33kV_OG1_Ex_]]-EB96)*1&lt;0,0,(RD[[#This Row],[33kV_OG1_Ex_]]-EB96)*1)</f>
        <v>282969</v>
      </c>
      <c r="ET97" s="146">
        <f>IF((RD[[#This Row],[33kV_OG1_Im]]-EC96)*1&lt;0,0,(RD[[#This Row],[33kV_OG1_Im]]-EC96)*1)</f>
        <v>3036.2240000000456</v>
      </c>
      <c r="EU97" s="146">
        <f>IF((RD[[#This Row],[132kV_TX1_EX]]-ED96)*720&lt;=0,"",(RD[[#This Row],[132kV_TX1_EX]]-ED96)*720)</f>
        <v>2880</v>
      </c>
      <c r="EV97" s="146">
        <f>IF((RD[[#This Row],[132 kV_Tx1_Im]]-EE96)*720&lt;=0,0,(RD[[#This Row],[132 kV_Tx1_Im]]-EE96)*720)</f>
        <v>203040</v>
      </c>
      <c r="EW97" s="146">
        <f>IF((RD[[#This Row],[132kV_L1_Ex]]-EF96)*720&lt;=0,0,(RD[[#This Row],[132kV_L1_Ex]]-EF96)*720)</f>
        <v>282095.99999999162</v>
      </c>
      <c r="EX97" s="146">
        <f>IF((RD[[#This Row],[132kV_L1_Im]]-EG96)*720&lt;=0,0,(RD[[#This Row],[132kV_L1_Im]]-EG96)*720)</f>
        <v>3527.9999999999018</v>
      </c>
      <c r="EY97" s="242">
        <f>IFERROR(RD[[#This Row],[33kV_OG1_Ex (MWh)]]+RD[[#This Row],[33kV_OG1_Im (MWh)]],"")</f>
        <v>286005.22400000005</v>
      </c>
      <c r="EZ97" s="148">
        <f>RD[[#This Row],[33kV_OG1_Ex (MWh)]]-RD[[#This Row],[33kV_OG1_Im (MWh)]]</f>
        <v>279932.77599999995</v>
      </c>
      <c r="FA97" s="148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43">
        <f>IFERROR((RD[[#This Row],[Sunset Time (POA&lt;20 W/m2)]]-RD[[#This Row],[Sunrise Time (POA&gt;20 W/m2)]])*24,0)</f>
        <v>11.966666666666665</v>
      </c>
      <c r="FD97" s="244">
        <v>126.3</v>
      </c>
      <c r="FE97" s="303" t="s">
        <v>297</v>
      </c>
      <c r="FG97" s="144" t="str">
        <f>IFERROR(RD[[#This Row],[E_AC (WPR)]]/RD[[#This Row],[E_DC (WPR)]],"")</f>
        <v/>
      </c>
    </row>
    <row r="98" spans="1:163">
      <c r="A98" s="133">
        <f t="shared" si="161"/>
        <v>45838</v>
      </c>
      <c r="B98" s="138">
        <f>YEAR(RD[[#This Row],[Date]])+IF(MONTH(RD[[#This Row],[Date]])&gt;=4,1,0)</f>
        <v>2026</v>
      </c>
      <c r="C98" s="138">
        <f>YEAR(RD[[#This Row],[Date]])</f>
        <v>2025</v>
      </c>
      <c r="D98" s="139">
        <f t="shared" si="165"/>
        <v>45809</v>
      </c>
      <c r="E98" s="138">
        <f>DAY(EOMONTH(RD[[#This Row],[Date]],0))</f>
        <v>30</v>
      </c>
      <c r="F98" s="152">
        <v>0.26944444444444443</v>
      </c>
      <c r="G98" s="162">
        <v>0.78263888888888888</v>
      </c>
      <c r="H98" s="124">
        <v>4080.6</v>
      </c>
      <c r="I98" s="268">
        <v>4076.2</v>
      </c>
      <c r="J98" s="124">
        <v>3786.3</v>
      </c>
      <c r="K98" s="124">
        <v>3796.1</v>
      </c>
      <c r="L98" s="124">
        <v>3922</v>
      </c>
      <c r="M98" s="124">
        <v>4044.7</v>
      </c>
      <c r="N98" s="124">
        <v>3928.5</v>
      </c>
      <c r="O98" s="124">
        <v>4380.3999999999996</v>
      </c>
      <c r="P98" s="124">
        <v>4009.3</v>
      </c>
      <c r="Q98" s="124">
        <v>3895.3</v>
      </c>
      <c r="R98" s="124">
        <v>3994</v>
      </c>
      <c r="S98" s="266">
        <v>4043.9</v>
      </c>
      <c r="T98" s="124">
        <v>4199.2</v>
      </c>
      <c r="U98" s="124">
        <v>3967.9</v>
      </c>
      <c r="V98" s="124">
        <v>4118.7</v>
      </c>
      <c r="W98" s="124">
        <v>3956.7</v>
      </c>
      <c r="X98" s="266">
        <v>5592</v>
      </c>
      <c r="Y98" s="203">
        <v>6331.8</v>
      </c>
      <c r="Z98" s="203">
        <v>5450.7</v>
      </c>
      <c r="AA98" s="203">
        <v>5715.1</v>
      </c>
      <c r="AB98" s="266">
        <v>6045</v>
      </c>
      <c r="AC98" s="203">
        <v>3604.7</v>
      </c>
      <c r="AD98" s="203">
        <v>5476</v>
      </c>
      <c r="AE98" s="203">
        <v>5651.3</v>
      </c>
      <c r="AF98" s="266">
        <v>5535.5</v>
      </c>
      <c r="AG98" s="203">
        <v>5580.2</v>
      </c>
      <c r="AH98" s="203">
        <v>5516.3</v>
      </c>
      <c r="AI98" s="266">
        <v>5522.2</v>
      </c>
      <c r="AJ98" s="203">
        <v>4425.8</v>
      </c>
      <c r="AK98" s="266">
        <v>4588</v>
      </c>
      <c r="AL98" s="203">
        <v>4496.1000000000004</v>
      </c>
      <c r="AM98" s="266">
        <v>4565.5</v>
      </c>
      <c r="AN98" s="203">
        <v>4498.1000000000004</v>
      </c>
      <c r="AO98" s="266">
        <v>4649.8999999999996</v>
      </c>
      <c r="AP98" s="203">
        <v>4580.3</v>
      </c>
      <c r="AQ98" s="266">
        <v>4327.3</v>
      </c>
      <c r="AR98" s="203">
        <v>3611.4</v>
      </c>
      <c r="AS98" s="266">
        <v>3634.2</v>
      </c>
      <c r="AT98" s="203">
        <v>3571</v>
      </c>
      <c r="AU98" s="266">
        <v>3583.5</v>
      </c>
      <c r="AV98" s="203">
        <v>3657.6</v>
      </c>
      <c r="AW98" s="203">
        <v>3645.1</v>
      </c>
      <c r="AX98" s="203">
        <v>5179.6000000000004</v>
      </c>
      <c r="AY98" s="203">
        <v>5860.1</v>
      </c>
      <c r="AZ98" s="203">
        <v>4229.6000000000004</v>
      </c>
      <c r="BA98" s="203">
        <v>5181.8</v>
      </c>
      <c r="BB98" s="203">
        <v>5650.1</v>
      </c>
      <c r="BC98" s="203">
        <v>5401.9</v>
      </c>
      <c r="BD98" s="203">
        <v>4897.3999999999996</v>
      </c>
      <c r="BE98" s="203">
        <v>5005.5</v>
      </c>
      <c r="BF98" s="203">
        <v>5902.7</v>
      </c>
      <c r="BG98" s="203">
        <v>5979.5</v>
      </c>
      <c r="BH98" s="203">
        <v>5882.6</v>
      </c>
      <c r="BI98" s="203">
        <v>6046.2</v>
      </c>
      <c r="BJ98" s="203">
        <v>3890.2</v>
      </c>
      <c r="BK98" s="203">
        <v>3089.6</v>
      </c>
      <c r="BL98" s="203">
        <v>3751.5</v>
      </c>
      <c r="BM98" s="203">
        <v>4251</v>
      </c>
      <c r="BN98" s="203">
        <v>4144.3</v>
      </c>
      <c r="BO98" s="203">
        <v>3982.9</v>
      </c>
      <c r="BP98" s="203">
        <v>4370.7</v>
      </c>
      <c r="BQ98" s="203">
        <v>4271.6000000000004</v>
      </c>
      <c r="BR98" s="203">
        <v>4492</v>
      </c>
      <c r="BS98" s="203">
        <v>4622.2</v>
      </c>
      <c r="BT98" s="203">
        <v>4539</v>
      </c>
      <c r="BU98" s="203">
        <v>4741.8</v>
      </c>
      <c r="BV98" s="203">
        <v>3923.2</v>
      </c>
      <c r="BW98" s="203">
        <v>2688.8</v>
      </c>
      <c r="BX98" s="203">
        <v>3401.9</v>
      </c>
      <c r="BY98" s="203">
        <v>3709.5</v>
      </c>
      <c r="BZ98" s="203">
        <v>840.7</v>
      </c>
      <c r="CA98" s="203">
        <v>387.5</v>
      </c>
      <c r="CB98" s="203">
        <v>3736.1</v>
      </c>
      <c r="CC98" s="203">
        <v>4018.9</v>
      </c>
      <c r="CD98" s="261">
        <v>3.2021838999999992</v>
      </c>
      <c r="CE98" s="261">
        <v>2.7193817000000013</v>
      </c>
      <c r="CF98" s="261">
        <v>2.5280537166666668</v>
      </c>
      <c r="CG98" s="261">
        <v>2.7019890833333333</v>
      </c>
      <c r="CH98" s="261">
        <v>0.31491691666666682</v>
      </c>
      <c r="CI98" s="261">
        <v>0.36576698333333302</v>
      </c>
      <c r="CJ98" s="261">
        <v>0.47702435000000004</v>
      </c>
      <c r="CK98" s="261">
        <v>0.38634899999999961</v>
      </c>
      <c r="CL98" s="261">
        <v>27.101262135922244</v>
      </c>
      <c r="CM98" s="261">
        <v>26.995307443365721</v>
      </c>
      <c r="CN98" s="261">
        <v>36.621183656957946</v>
      </c>
      <c r="CO98" s="261">
        <v>33.700226537216793</v>
      </c>
      <c r="CP98" s="261">
        <v>80.03394822006473</v>
      </c>
      <c r="CQ98" s="261">
        <v>81.112500000000026</v>
      </c>
      <c r="CR98" s="261">
        <v>0</v>
      </c>
      <c r="CS98" s="261">
        <v>9.7087378640776621E-3</v>
      </c>
      <c r="CT98" s="261">
        <v>1.2311771844660215</v>
      </c>
      <c r="CU98" s="261">
        <v>1.2146699029126209</v>
      </c>
      <c r="CV98" s="261">
        <v>3.3029999999999999</v>
      </c>
      <c r="CW98" s="261">
        <v>3.4140000000000001</v>
      </c>
      <c r="CX98" s="204">
        <f>IFERROR(AVERAGEIF(RD[[#This Row],[IS1POA1 (KWh/m2)]:[IS7POA2 (KWh/m2)]],"&lt;&gt;0",RD[[#This Row],[IS1POA1 (KWh/m2)]:[IS7POA2 (KWh/m2)]]),"")</f>
        <v>2.9607828000000005</v>
      </c>
      <c r="CY98" s="204">
        <f>IFERROR(AVERAGEIF(RD[[#This Row],[IS1GHI1 (KWh/m2)]:[IS7GHI2 (KWh/m2)]],"&lt;&gt;0",RD[[#This Row],[IS1GHI1 (KWh/m2)]:[IS7GHI2 (KWh/m2)]]),"")</f>
        <v>2.6150213999999998</v>
      </c>
      <c r="CZ98" s="204">
        <f>IFERROR(AVERAGEIF(RD[[#This Row],[IS1POA_BS1 (KWh/m2)]:[IS7POA_BS2 (KWh/m2)]],"&lt;&gt;0",RD[[#This Row],[IS1POA_BS1 (KWh/m2)]:[IS7POA_BS2 (KWh/m2)]]),"")</f>
        <v>0.34034194999999989</v>
      </c>
      <c r="DA98" s="204">
        <f>IFERROR(AVERAGEIF(RD[[#This Row],[IS1GHI_BS1 (KWh/m2)]:[IS1GHI_BS1 (KWh/m2)2]],"&lt;&gt;0",RD[[#This Row],[IS1GHI_BS1 (KWh/m2)]:[IS1GHI_BS1 (KWh/m2)2]]),"")</f>
        <v>0.4316866749999998</v>
      </c>
      <c r="DB98" s="204">
        <f>IFERROR(AVERAGEIF(RD[[#This Row],[IS1AT1 (°C)]:[IS7AT2 (°C)]],"&lt;&gt;0",RD[[#This Row],[IS1AT1 (°C)]:[IS7AT2 (°C)]]),"")</f>
        <v>27.048284789643983</v>
      </c>
      <c r="DC98" s="204">
        <f>IFERROR(AVERAGEIF(RD[[#This Row],[IS1MT1 (°C)]:[IS7MT2 (°C)]],"&lt;&gt;0",RD[[#This Row],[IS1MT1 (°C)]:[IS7MT2 (°C)]]),"")</f>
        <v>35.160705097087373</v>
      </c>
      <c r="DD98" s="204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204">
        <f>IFERROR(AVERAGEIF(RD[[#This Row],[WS_Solar1_Avg (m/s)]:[IS7_WS_Solar1_Avg (m/s)]],"&lt;&gt;0",RD[[#This Row],[WS_Solar1_Avg (m/s)]:[IS7_WS_Solar1_Avg (m/s)]]),"")</f>
        <v>1.2229235436893213</v>
      </c>
      <c r="DG98" s="204">
        <f>IFERROR(AVERAGEIF(RD[[#This Row],[WS_Solar1_Max (m/s)]:[IS7_WS_Solar1_Max (m/s)]],"&lt;&gt;0",RD[[#This Row],[WS_Solar1_Max (m/s)]:[IS7_WS_Solar1_Max (m/s)]]),"")</f>
        <v>3.3585000000000003</v>
      </c>
      <c r="DH98" s="204">
        <f>SUM(RD[[#This Row],[IS1Inv1M1]:[IS4Inv4M2]])</f>
        <v>130220.59999999999</v>
      </c>
      <c r="DI98" s="205">
        <f>SUM(RD[[#This Row],[IS7Inv1M1]]+RD[[#This Row],[IS7Inv2M1]])</f>
        <v>7245.6</v>
      </c>
      <c r="DJ98" s="204">
        <f>SUM(RD[[#This Row],[IS5Inv1M1]:[IS5Inv2M2]])</f>
        <v>18075.400000000001</v>
      </c>
      <c r="DK98" s="204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86">
        <f>SUM(RD[[#This Row],[IS12Inv1M1]:[IS12Inv1M4]])</f>
        <v>16769.5</v>
      </c>
      <c r="DO98" s="286">
        <f>SUM(RD[[#This Row],[IS13Inv1M1]:[IS13Inv2M2]])</f>
        <v>18395</v>
      </c>
      <c r="DP98" s="204">
        <f>SUM(RD[[#This Row],[O2R15]:[O2R26]])</f>
        <v>326124.79999999993</v>
      </c>
      <c r="DQ98" s="164">
        <v>44728.7</v>
      </c>
      <c r="DR98" s="168">
        <v>226.2</v>
      </c>
      <c r="DS98" s="164">
        <v>39070.1</v>
      </c>
      <c r="DT98" s="164">
        <v>238.1</v>
      </c>
      <c r="DU98" s="168">
        <v>46076.3</v>
      </c>
      <c r="DV98" s="168">
        <v>439.6</v>
      </c>
      <c r="DW98" s="164">
        <v>10567</v>
      </c>
      <c r="DX98" s="168">
        <v>55.2</v>
      </c>
      <c r="DY98" s="168">
        <v>3563.2</v>
      </c>
      <c r="DZ98" s="168">
        <v>17.600000000000001</v>
      </c>
      <c r="EA98" s="140">
        <v>106.33</v>
      </c>
      <c r="EB98" s="241">
        <v>147949748</v>
      </c>
      <c r="EC98" s="240">
        <v>1045947.328</v>
      </c>
      <c r="ED98" s="241">
        <v>1256</v>
      </c>
      <c r="EE98" s="241">
        <v>142159</v>
      </c>
      <c r="EF98" s="164">
        <v>205128.4</v>
      </c>
      <c r="EG98" s="164">
        <v>2016.4</v>
      </c>
      <c r="EH98" s="146">
        <f>IF((RD[[#This Row],[33 kV_F3_Ex
Incomer1]]-DQ97)*1000&lt;0,0,(RD[[#This Row],[33 kV_F3_Ex
Incomer1]]-DQ97)*1000)</f>
        <v>65799.999999995634</v>
      </c>
      <c r="EI98" s="146">
        <f>IF((RD[[#This Row],[34 kV_F3_Im
Incomer1]]-DR97)*1000&lt;0,0,(RD[[#This Row],[34 kV_F3_Im
Incomer1]]-DR97)*1000)</f>
        <v>399.99999999997726</v>
      </c>
      <c r="EJ98" s="146">
        <f>IF((RD[[#This Row],[33 kV_F4_Ex
Incomer2]]-DS97)*1000&lt;0,0,(RD[[#This Row],[33 kV_F4_Ex
Incomer2]]-DS97)*1000)</f>
        <v>61699.99999999709</v>
      </c>
      <c r="EK98" s="146">
        <f>IF((RD[[#This Row],[34 kV_F4_Im
Incomer2]]-DT97)*1000&lt;0,0,(RD[[#This Row],[34 kV_F4_Im
Incomer2]]-DT97)*1000)</f>
        <v>299.99999999998295</v>
      </c>
      <c r="EL98" s="146">
        <f>IF((RD[[#This Row],[33 kV_F5_Ex
Incomer3]]-DU97)*1000&lt;0,0,(RD[[#This Row],[33 kV_F5_Ex
Incomer3]]-DU97)*1000)</f>
        <v>78200.000000004366</v>
      </c>
      <c r="EM98" s="146">
        <f>IF((RD[[#This Row],[34 kV_F5_Im
Incomer3]]-DV97)*1000&lt;0,0,(RD[[#This Row],[34 kV_F5_Im
Incomer3]]-DV97)*1000)</f>
        <v>1300.0000000000114</v>
      </c>
      <c r="EN98" s="146">
        <f>IF((RD[[#This Row],[33 kV_F6_Ex
Incomer4]]-DW97)*1000&lt;0,0,(RD[[#This Row],[33 kV_F6_Ex
Incomer4]]-DW97)*1000)</f>
        <v>22799.999999999272</v>
      </c>
      <c r="EO98" s="146">
        <f t="shared" si="166"/>
        <v>299.99999999998295</v>
      </c>
      <c r="EP98" s="146">
        <f>IF((RD[[#This Row],[33 kV_F7_Ex
Incomer5]]-DY97)*1000&lt;0,0,(RD[[#This Row],[33 kV_F7_Ex
Incomer5]]-DY97)*1000)</f>
        <v>79799.999999999724</v>
      </c>
      <c r="EQ98" s="146">
        <f>IF((RD[[#This Row],[33 kV_F7_Im
Incomer5]]-DZ97)*1000&lt;0,0,(RD[[#This Row],[33 kV_F7_Im
Incomer5]]-DZ97)*1000)</f>
        <v>700.00000000000284</v>
      </c>
      <c r="ER98" s="146">
        <f>IF((RD[[#This Row],[33 kV_Aux Trafo]]-EA97)*1000&lt;0,0,(RD[[#This Row],[33 kV_Aux Trafo]]-EA97)*1000)</f>
        <v>250</v>
      </c>
      <c r="ES98" s="158">
        <f>IF((RD[[#This Row],[33kV_OG1_Ex_]]-EB97)*1&lt;0,0,(RD[[#This Row],[33kV_OG1_Ex_]]-EB97)*1)</f>
        <v>324616</v>
      </c>
      <c r="ET98" s="146">
        <f>IF((RD[[#This Row],[33kV_OG1_Im]]-EC97)*1&lt;0,0,(RD[[#This Row],[33kV_OG1_Im]]-EC97)*1)</f>
        <v>3320.2559999999357</v>
      </c>
      <c r="EU98" s="146">
        <f>IF((RD[[#This Row],[132kV_TX1_EX]]-ED97)*720&lt;=0,"",(RD[[#This Row],[132kV_TX1_EX]]-ED97)*720)</f>
        <v>2880</v>
      </c>
      <c r="EV98" s="146">
        <f>IF((RD[[#This Row],[132 kV_Tx1_Im]]-EE97)*720&lt;=0,0,(RD[[#This Row],[132 kV_Tx1_Im]]-EE97)*720)</f>
        <v>232560</v>
      </c>
      <c r="EW98" s="146">
        <f>IF((RD[[#This Row],[132kV_L1_Ex]]-EF97)*720&lt;=0,0,(RD[[#This Row],[132kV_L1_Ex]]-EF97)*720)</f>
        <v>323567.99999999581</v>
      </c>
      <c r="EX98" s="146">
        <f>IF((RD[[#This Row],[132kV_L1_Im]]-EG97)*720&lt;=0,0,(RD[[#This Row],[132kV_L1_Im]]-EG97)*720)</f>
        <v>3816.000000000131</v>
      </c>
      <c r="EY98" s="242">
        <f>IFERROR(RD[[#This Row],[33kV_OG1_Ex (MWh)]]+RD[[#This Row],[33kV_OG1_Im (MWh)]],"")</f>
        <v>327936.25599999994</v>
      </c>
      <c r="EZ98" s="148">
        <f>RD[[#This Row],[33kV_OG1_Ex (MWh)]]-RD[[#This Row],[33kV_OG1_Im (MWh)]]</f>
        <v>321295.74400000006</v>
      </c>
      <c r="FA98" s="148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43">
        <f>IFERROR((RD[[#This Row],[Sunset Time (POA&lt;20 W/m2)]]-RD[[#This Row],[Sunrise Time (POA&gt;20 W/m2)]])*24,0)</f>
        <v>12.316666666666668</v>
      </c>
      <c r="FD98" s="244">
        <v>128.08000000000001</v>
      </c>
      <c r="FE98" t="s">
        <v>303</v>
      </c>
      <c r="FG98" s="144" t="str">
        <f>IFERROR(RD[[#This Row],[E_AC (WPR)]]/RD[[#This Row],[E_DC (WPR)]],"")</f>
        <v/>
      </c>
    </row>
    <row r="99" spans="1:163">
      <c r="A99" s="133">
        <f t="shared" si="161"/>
        <v>45839</v>
      </c>
      <c r="B99" s="138">
        <f>YEAR(RD[[#This Row],[Date]])+IF(MONTH(RD[[#This Row],[Date]])&gt;=4,1,0)</f>
        <v>2026</v>
      </c>
      <c r="C99" s="138">
        <f>YEAR(RD[[#This Row],[Date]])</f>
        <v>2025</v>
      </c>
      <c r="D99" s="139">
        <f t="shared" si="165"/>
        <v>45839</v>
      </c>
      <c r="E99" s="138">
        <f>DAY(EOMONTH(RD[[#This Row],[Date]],0))</f>
        <v>31</v>
      </c>
      <c r="F99" s="152">
        <v>0.26597222222222222</v>
      </c>
      <c r="G99" s="162">
        <v>0.77777777777777779</v>
      </c>
      <c r="H99" s="124">
        <v>4764.1000000000004</v>
      </c>
      <c r="I99" s="268">
        <v>4732.3999999999996</v>
      </c>
      <c r="J99" s="124">
        <v>4422.3</v>
      </c>
      <c r="K99" s="124">
        <v>4440.8</v>
      </c>
      <c r="L99" s="124">
        <v>4585.5</v>
      </c>
      <c r="M99" s="124">
        <v>4746.5</v>
      </c>
      <c r="N99" s="124">
        <v>4607</v>
      </c>
      <c r="O99" s="124">
        <v>5107.1000000000004</v>
      </c>
      <c r="P99" s="124">
        <v>4700.7</v>
      </c>
      <c r="Q99" s="124">
        <v>4554.3999999999996</v>
      </c>
      <c r="R99" s="124">
        <v>4664</v>
      </c>
      <c r="S99" s="266">
        <v>4726.2</v>
      </c>
      <c r="T99" s="124">
        <v>4897.3999999999996</v>
      </c>
      <c r="U99" s="124">
        <v>4622.7</v>
      </c>
      <c r="V99" s="124">
        <v>4801.3999999999996</v>
      </c>
      <c r="W99" s="124">
        <v>4618.7</v>
      </c>
      <c r="X99" s="266">
        <v>6475.1</v>
      </c>
      <c r="Y99" s="203">
        <v>7281.6</v>
      </c>
      <c r="Z99" s="203">
        <v>6328.7</v>
      </c>
      <c r="AA99" s="203">
        <v>6629.5</v>
      </c>
      <c r="AB99" s="266">
        <v>6941.5</v>
      </c>
      <c r="AC99" s="203">
        <v>4164.8</v>
      </c>
      <c r="AD99" s="203">
        <v>6286.2</v>
      </c>
      <c r="AE99" s="203">
        <v>6536.6</v>
      </c>
      <c r="AF99" s="266">
        <v>6380.7</v>
      </c>
      <c r="AG99" s="203">
        <v>6417</v>
      </c>
      <c r="AH99" s="203">
        <v>6375.7</v>
      </c>
      <c r="AI99" s="266">
        <v>6387.7</v>
      </c>
      <c r="AJ99" s="203">
        <v>5257.1</v>
      </c>
      <c r="AK99" s="266">
        <v>5442.8</v>
      </c>
      <c r="AL99" s="203">
        <v>5333.5</v>
      </c>
      <c r="AM99" s="266">
        <v>5402</v>
      </c>
      <c r="AN99" s="203">
        <v>5358.2</v>
      </c>
      <c r="AO99" s="266">
        <v>5542.7</v>
      </c>
      <c r="AP99" s="203">
        <v>5463.6</v>
      </c>
      <c r="AQ99" s="266">
        <v>5176.5</v>
      </c>
      <c r="AR99" s="203">
        <v>4331.7</v>
      </c>
      <c r="AS99" s="266">
        <v>4348.1000000000004</v>
      </c>
      <c r="AT99" s="203">
        <v>4268</v>
      </c>
      <c r="AU99" s="266">
        <v>4293.2</v>
      </c>
      <c r="AV99" s="203">
        <v>4368.7</v>
      </c>
      <c r="AW99" s="203">
        <v>4352.1000000000004</v>
      </c>
      <c r="AX99" s="203">
        <v>6190.4</v>
      </c>
      <c r="AY99" s="203">
        <v>7013.4</v>
      </c>
      <c r="AZ99" s="203">
        <v>5071.5</v>
      </c>
      <c r="BA99" s="203">
        <v>6192.2</v>
      </c>
      <c r="BB99" s="203">
        <v>6428.6</v>
      </c>
      <c r="BC99" s="203">
        <v>6137.1</v>
      </c>
      <c r="BD99" s="203">
        <v>5570.4</v>
      </c>
      <c r="BE99" s="203">
        <v>5615.8</v>
      </c>
      <c r="BF99" s="203">
        <v>6700.3</v>
      </c>
      <c r="BG99" s="203">
        <v>6793.6</v>
      </c>
      <c r="BH99" s="203">
        <v>6661.7</v>
      </c>
      <c r="BI99" s="203">
        <v>6877.7</v>
      </c>
      <c r="BJ99" s="203">
        <v>4455</v>
      </c>
      <c r="BK99" s="203">
        <v>3548</v>
      </c>
      <c r="BL99" s="203">
        <v>4288.8999999999996</v>
      </c>
      <c r="BM99" s="203">
        <v>4070.2</v>
      </c>
      <c r="BN99" s="203">
        <v>4700.3999999999996</v>
      </c>
      <c r="BO99" s="203">
        <v>4472.6000000000004</v>
      </c>
      <c r="BP99" s="203">
        <v>4918</v>
      </c>
      <c r="BQ99" s="203">
        <v>4842.8</v>
      </c>
      <c r="BR99" s="203">
        <v>4919.6000000000004</v>
      </c>
      <c r="BS99" s="203">
        <v>5188.5</v>
      </c>
      <c r="BT99" s="203">
        <v>5082.7</v>
      </c>
      <c r="BU99" s="203">
        <v>5496.8</v>
      </c>
      <c r="BV99" s="203">
        <v>4349.7</v>
      </c>
      <c r="BW99" s="203">
        <v>3033.3</v>
      </c>
      <c r="BX99" s="203">
        <v>3750.6</v>
      </c>
      <c r="BY99" s="203">
        <v>4081</v>
      </c>
      <c r="BZ99" s="203">
        <v>1349.6</v>
      </c>
      <c r="CA99" s="203">
        <v>437.7</v>
      </c>
      <c r="CB99" s="203">
        <v>4191.8999999999996</v>
      </c>
      <c r="CC99" s="203">
        <v>4551.5</v>
      </c>
      <c r="CD99" s="261">
        <v>3.7689169666666653</v>
      </c>
      <c r="CE99" s="261">
        <v>3.2619244333333381</v>
      </c>
      <c r="CF99" s="261">
        <v>2.9759130999999992</v>
      </c>
      <c r="CG99" s="261">
        <v>3.2627356166666699</v>
      </c>
      <c r="CH99" s="261">
        <v>0.41227006666666749</v>
      </c>
      <c r="CI99" s="261">
        <v>0.4575469166666668</v>
      </c>
      <c r="CJ99" s="261">
        <v>0.57782066666666632</v>
      </c>
      <c r="CK99" s="261">
        <v>0.47430330000000021</v>
      </c>
      <c r="CL99" s="261">
        <v>26.902974358974298</v>
      </c>
      <c r="CM99" s="261">
        <v>27.218341880341853</v>
      </c>
      <c r="CN99" s="261">
        <v>37.340736752136799</v>
      </c>
      <c r="CO99" s="261">
        <v>34.771874358974344</v>
      </c>
      <c r="CP99" s="261">
        <v>80.650982905982943</v>
      </c>
      <c r="CQ99" s="261">
        <v>79.405188034187944</v>
      </c>
      <c r="CR99" s="261">
        <v>1.0256410256410248E-2</v>
      </c>
      <c r="CS99" s="261">
        <v>0</v>
      </c>
      <c r="CT99" s="261">
        <v>1.6913230769230774</v>
      </c>
      <c r="CU99" s="261">
        <v>1.8990692307692296</v>
      </c>
      <c r="CV99" s="261">
        <v>4.0979999999999999</v>
      </c>
      <c r="CW99" s="261">
        <v>5.085</v>
      </c>
      <c r="CX99" s="204">
        <f>IFERROR(AVERAGEIF(RD[[#This Row],[IS1POA1 (KWh/m2)]:[IS7POA2 (KWh/m2)]],"&lt;&gt;0",RD[[#This Row],[IS1POA1 (KWh/m2)]:[IS7POA2 (KWh/m2)]]),"")</f>
        <v>3.5154207000000017</v>
      </c>
      <c r="CY99" s="204">
        <f>IFERROR(AVERAGEIF(RD[[#This Row],[IS1GHI1 (KWh/m2)]:[IS7GHI2 (KWh/m2)]],"&lt;&gt;0",RD[[#This Row],[IS1GHI1 (KWh/m2)]:[IS7GHI2 (KWh/m2)]]),"")</f>
        <v>3.1193243583333343</v>
      </c>
      <c r="CZ99" s="204">
        <f>IFERROR(AVERAGEIF(RD[[#This Row],[IS1POA_BS1 (KWh/m2)]:[IS7POA_BS2 (KWh/m2)]],"&lt;&gt;0",RD[[#This Row],[IS1POA_BS1 (KWh/m2)]:[IS7POA_BS2 (KWh/m2)]]),"")</f>
        <v>0.43490849166666712</v>
      </c>
      <c r="DA99" s="204">
        <f>IFERROR(AVERAGEIF(RD[[#This Row],[IS1GHI_BS1 (KWh/m2)]:[IS1GHI_BS1 (KWh/m2)2]],"&lt;&gt;0",RD[[#This Row],[IS1GHI_BS1 (KWh/m2)]:[IS1GHI_BS1 (KWh/m2)2]]),"")</f>
        <v>0.52606198333333332</v>
      </c>
      <c r="DB99" s="204">
        <f>IFERROR(AVERAGEIF(RD[[#This Row],[IS1AT1 (°C)]:[IS7AT2 (°C)]],"&lt;&gt;0",RD[[#This Row],[IS1AT1 (°C)]:[IS7AT2 (°C)]]),"")</f>
        <v>27.060658119658076</v>
      </c>
      <c r="DC99" s="204">
        <f>IFERROR(AVERAGEIF(RD[[#This Row],[IS1MT1 (°C)]:[IS7MT2 (°C)]],"&lt;&gt;0",RD[[#This Row],[IS1MT1 (°C)]:[IS7MT2 (°C)]]),"")</f>
        <v>36.056305555555568</v>
      </c>
      <c r="DD99" s="204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204">
        <f>IFERROR(AVERAGEIF(RD[[#This Row],[WS_Solar1_Avg (m/s)]:[IS7_WS_Solar1_Avg (m/s)]],"&lt;&gt;0",RD[[#This Row],[WS_Solar1_Avg (m/s)]:[IS7_WS_Solar1_Avg (m/s)]]),"")</f>
        <v>1.7951961538461534</v>
      </c>
      <c r="DG99" s="204">
        <f>IFERROR(AVERAGEIF(RD[[#This Row],[WS_Solar1_Max (m/s)]:[IS7_WS_Solar1_Max (m/s)]],"&lt;&gt;0",RD[[#This Row],[WS_Solar1_Max (m/s)]:[IS7_WS_Solar1_Max (m/s)]]),"")</f>
        <v>4.5914999999999999</v>
      </c>
      <c r="DH99" s="204">
        <f>SUM(RD[[#This Row],[IS1Inv1M1]:[IS4Inv4M2]])</f>
        <v>151196.30000000002</v>
      </c>
      <c r="DI99" s="205">
        <f>SUM(RD[[#This Row],[IS7Inv1M1]]+RD[[#This Row],[IS7Inv2M1]])</f>
        <v>8679.7999999999993</v>
      </c>
      <c r="DJ99" s="204">
        <f>SUM(RD[[#This Row],[IS5Inv1M1]:[IS5Inv2M2]])</f>
        <v>21435.4</v>
      </c>
      <c r="DK99" s="204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86">
        <f>SUM(RD[[#This Row],[IS12Inv1M1]:[IS12Inv1M4]])</f>
        <v>18933.8</v>
      </c>
      <c r="DO99" s="286">
        <f>SUM(RD[[#This Row],[IS13Inv1M1]:[IS13Inv2M2]])</f>
        <v>20687.599999999999</v>
      </c>
      <c r="DP99" s="204">
        <f>SUM(RD[[#This Row],[O2R15]:[O2R26]])</f>
        <v>377115.99999999994</v>
      </c>
      <c r="DQ99" s="164">
        <v>44804.5</v>
      </c>
      <c r="DR99" s="168">
        <v>226.6</v>
      </c>
      <c r="DS99" s="164">
        <v>39141.800000000003</v>
      </c>
      <c r="DT99" s="164">
        <v>238.5</v>
      </c>
      <c r="DU99" s="168">
        <v>46169.4</v>
      </c>
      <c r="DV99" s="168">
        <v>440.9</v>
      </c>
      <c r="DW99" s="164">
        <v>10592.8</v>
      </c>
      <c r="DX99" s="168">
        <v>55.4</v>
      </c>
      <c r="DY99" s="168">
        <v>3653.2</v>
      </c>
      <c r="DZ99" s="168">
        <v>18.3</v>
      </c>
      <c r="EA99" s="140">
        <v>106.57</v>
      </c>
      <c r="EB99" s="241">
        <v>148324630</v>
      </c>
      <c r="EC99" s="240">
        <v>1049154.7520000001</v>
      </c>
      <c r="ED99" s="241">
        <v>1259</v>
      </c>
      <c r="EE99" s="241">
        <v>142533</v>
      </c>
      <c r="EF99" s="164">
        <v>205647.4</v>
      </c>
      <c r="EG99" s="164">
        <v>2021.6</v>
      </c>
      <c r="EH99" s="146">
        <f>IF((RD[[#This Row],[33 kV_F3_Ex
Incomer1]]-DQ98)*1000&lt;0,0,(RD[[#This Row],[33 kV_F3_Ex
Incomer1]]-DQ98)*1000)</f>
        <v>75800.00000000291</v>
      </c>
      <c r="EI99" s="146">
        <f>IF((RD[[#This Row],[34 kV_F3_Im
Incomer1]]-DR98)*1000&lt;0,0,(RD[[#This Row],[34 kV_F3_Im
Incomer1]]-DR98)*1000)</f>
        <v>400.00000000000568</v>
      </c>
      <c r="EJ99" s="146">
        <f>IF((RD[[#This Row],[33 kV_F4_Ex
Incomer2]]-DS98)*1000&lt;0,0,(RD[[#This Row],[33 kV_F4_Ex
Incomer2]]-DS98)*1000)</f>
        <v>71700.000000004366</v>
      </c>
      <c r="EK99" s="146">
        <f>IF((RD[[#This Row],[34 kV_F4_Im
Incomer2]]-DT98)*1000&lt;0,0,(RD[[#This Row],[34 kV_F4_Im
Incomer2]]-DT98)*1000)</f>
        <v>400.00000000000568</v>
      </c>
      <c r="EL99" s="146">
        <f>IF((RD[[#This Row],[33 kV_F5_Ex
Incomer3]]-DU98)*1000&lt;0,0,(RD[[#This Row],[33 kV_F5_Ex
Incomer3]]-DU98)*1000)</f>
        <v>93099.999999998545</v>
      </c>
      <c r="EM99" s="146">
        <f>IF((RD[[#This Row],[34 kV_F5_Im
Incomer3]]-DV98)*1000&lt;0,0,(RD[[#This Row],[34 kV_F5_Im
Incomer3]]-DV98)*1000)</f>
        <v>1299.9999999999545</v>
      </c>
      <c r="EN99" s="146">
        <f>IF((RD[[#This Row],[33 kV_F6_Ex
Incomer4]]-DW98)*1000&lt;0,0,(RD[[#This Row],[33 kV_F6_Ex
Incomer4]]-DW98)*1000)</f>
        <v>25799.999999999272</v>
      </c>
      <c r="EO99" s="146">
        <f t="shared" si="166"/>
        <v>300.00000000001137</v>
      </c>
      <c r="EP99" s="146">
        <f>IF((RD[[#This Row],[33 kV_F7_Ex
Incomer5]]-DY98)*1000&lt;0,0,(RD[[#This Row],[33 kV_F7_Ex
Incomer5]]-DY98)*1000)</f>
        <v>90000</v>
      </c>
      <c r="EQ99" s="146">
        <f>IF((RD[[#This Row],[33 kV_F7_Im
Incomer5]]-DZ98)*1000&lt;0,0,(RD[[#This Row],[33 kV_F7_Im
Incomer5]]-DZ98)*1000)</f>
        <v>699.99999999999932</v>
      </c>
      <c r="ER99" s="146">
        <f>IF((RD[[#This Row],[33 kV_Aux Trafo]]-EA98)*1000&lt;0,0,(RD[[#This Row],[33 kV_Aux Trafo]]-EA98)*1000)</f>
        <v>239.99999999999488</v>
      </c>
      <c r="ES99" s="158">
        <f>IF((RD[[#This Row],[33kV_OG1_Ex_]]-EB98)*1&lt;0,0,(RD[[#This Row],[33kV_OG1_Ex_]]-EB98)*1)</f>
        <v>374882</v>
      </c>
      <c r="ET99" s="146">
        <f>IF((RD[[#This Row],[33kV_OG1_Im]]-EC98)*1&lt;0,0,(RD[[#This Row],[33kV_OG1_Im]]-EC98)*1)</f>
        <v>3207.4240000001155</v>
      </c>
      <c r="EU99" s="146">
        <f>IF((RD[[#This Row],[132kV_TX1_EX]]-ED98)*720&lt;=0,"",(RD[[#This Row],[132kV_TX1_EX]]-ED98)*720)</f>
        <v>2160</v>
      </c>
      <c r="EV99" s="146">
        <f>IF((RD[[#This Row],[132 kV_Tx1_Im]]-EE98)*720&lt;=0,0,(RD[[#This Row],[132 kV_Tx1_Im]]-EE98)*720)</f>
        <v>269280</v>
      </c>
      <c r="EW99" s="146">
        <f>IF((RD[[#This Row],[132kV_L1_Ex]]-EF98)*720&lt;=0,0,(RD[[#This Row],[132kV_L1_Ex]]-EF98)*720)</f>
        <v>373680</v>
      </c>
      <c r="EX99" s="146">
        <f>IF((RD[[#This Row],[132kV_L1_Im]]-EG98)*720&lt;=0,0,(RD[[#This Row],[132kV_L1_Im]]-EG98)*720)</f>
        <v>3743.999999999869</v>
      </c>
      <c r="EY99" s="242">
        <f>IFERROR(RD[[#This Row],[33kV_OG1_Ex (MWh)]]+RD[[#This Row],[33kV_OG1_Im (MWh)]],"")</f>
        <v>378089.42400000012</v>
      </c>
      <c r="EZ99" s="148">
        <f>RD[[#This Row],[33kV_OG1_Ex (MWh)]]-RD[[#This Row],[33kV_OG1_Im (MWh)]]</f>
        <v>371674.57599999988</v>
      </c>
      <c r="FA99" s="148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43">
        <f>IFERROR((RD[[#This Row],[Sunset Time (POA&lt;20 W/m2)]]-RD[[#This Row],[Sunrise Time (POA&gt;20 W/m2)]])*24,0)</f>
        <v>12.283333333333335</v>
      </c>
      <c r="FD99" s="244">
        <v>128.08000000000001</v>
      </c>
      <c r="FE99" t="s">
        <v>304</v>
      </c>
      <c r="FG99" s="144" t="str">
        <f>IFERROR(RD[[#This Row],[E_AC (WPR)]]/RD[[#This Row],[E_DC (WPR)]],"")</f>
        <v/>
      </c>
    </row>
    <row r="100" spans="1:163">
      <c r="A100" s="133">
        <f t="shared" si="161"/>
        <v>45840</v>
      </c>
      <c r="B100" s="138">
        <f>YEAR(RD[[#This Row],[Date]])+IF(MONTH(RD[[#This Row],[Date]])&gt;=4,1,0)</f>
        <v>2026</v>
      </c>
      <c r="C100" s="138">
        <f>YEAR(RD[[#This Row],[Date]])</f>
        <v>2025</v>
      </c>
      <c r="D100" s="139">
        <f t="shared" si="165"/>
        <v>45839</v>
      </c>
      <c r="E100" s="138">
        <f>DAY(EOMONTH(RD[[#This Row],[Date]],0))</f>
        <v>31</v>
      </c>
      <c r="F100" s="152">
        <v>0.26041666666666669</v>
      </c>
      <c r="G100" s="162">
        <v>0.79305555555555551</v>
      </c>
      <c r="H100" s="124">
        <v>5489.5</v>
      </c>
      <c r="I100" s="268">
        <v>5494.8</v>
      </c>
      <c r="J100" s="124">
        <v>5116.8</v>
      </c>
      <c r="K100" s="124">
        <v>5102</v>
      </c>
      <c r="L100" s="124">
        <v>5292.2</v>
      </c>
      <c r="M100" s="124">
        <v>5446.9</v>
      </c>
      <c r="N100" s="124">
        <v>5286.9</v>
      </c>
      <c r="O100" s="124">
        <v>5876.1</v>
      </c>
      <c r="P100" s="124">
        <v>5376</v>
      </c>
      <c r="Q100" s="124">
        <v>5245.6</v>
      </c>
      <c r="R100" s="124">
        <v>5378.5</v>
      </c>
      <c r="S100" s="266">
        <v>5467.3</v>
      </c>
      <c r="T100" s="124">
        <v>5638.8</v>
      </c>
      <c r="U100" s="124">
        <v>5352.4</v>
      </c>
      <c r="V100" s="124">
        <v>5537.1</v>
      </c>
      <c r="W100" s="124">
        <v>5328.6</v>
      </c>
      <c r="X100" s="266">
        <v>7534.6</v>
      </c>
      <c r="Y100" s="203">
        <v>8477.1</v>
      </c>
      <c r="Z100" s="203">
        <v>7305.2</v>
      </c>
      <c r="AA100" s="203">
        <v>7660.6</v>
      </c>
      <c r="AB100" s="266">
        <v>8160</v>
      </c>
      <c r="AC100" s="203">
        <v>4931.3999999999996</v>
      </c>
      <c r="AD100" s="203">
        <v>7515.3</v>
      </c>
      <c r="AE100" s="203">
        <v>7734</v>
      </c>
      <c r="AF100" s="266">
        <v>7474.2</v>
      </c>
      <c r="AG100" s="203">
        <v>7532.3</v>
      </c>
      <c r="AH100" s="203">
        <v>7447.3</v>
      </c>
      <c r="AI100" s="266">
        <v>7503.9</v>
      </c>
      <c r="AJ100" s="203">
        <v>6369.2</v>
      </c>
      <c r="AK100" s="266">
        <v>6522</v>
      </c>
      <c r="AL100" s="203">
        <v>6351.6</v>
      </c>
      <c r="AM100" s="266">
        <v>6410.3</v>
      </c>
      <c r="AN100" s="203">
        <v>5785.5</v>
      </c>
      <c r="AO100" s="266">
        <v>5900</v>
      </c>
      <c r="AP100" s="203">
        <v>5887.3</v>
      </c>
      <c r="AQ100" s="266">
        <v>4407.3</v>
      </c>
      <c r="AR100" s="203">
        <v>5215.1000000000004</v>
      </c>
      <c r="AS100" s="266">
        <v>5244.8</v>
      </c>
      <c r="AT100" s="203">
        <v>3874</v>
      </c>
      <c r="AU100" s="266">
        <v>3902.6</v>
      </c>
      <c r="AV100" s="203">
        <v>3940.3</v>
      </c>
      <c r="AW100" s="203">
        <v>3938.7</v>
      </c>
      <c r="AX100" s="203">
        <v>7438.7</v>
      </c>
      <c r="AY100" s="203">
        <v>8307.2999999999993</v>
      </c>
      <c r="AZ100" s="203">
        <v>6007.7</v>
      </c>
      <c r="BA100" s="203">
        <v>7329.1</v>
      </c>
      <c r="BB100" s="203">
        <v>7469</v>
      </c>
      <c r="BC100" s="203">
        <v>7091.7</v>
      </c>
      <c r="BD100" s="203">
        <v>6517.6</v>
      </c>
      <c r="BE100" s="203">
        <v>6989.7</v>
      </c>
      <c r="BF100" s="203">
        <v>8045</v>
      </c>
      <c r="BG100" s="203">
        <v>8216</v>
      </c>
      <c r="BH100" s="203">
        <v>8030.5</v>
      </c>
      <c r="BI100" s="203">
        <v>8336.2999999999993</v>
      </c>
      <c r="BJ100" s="203">
        <v>5553.8</v>
      </c>
      <c r="BK100" s="203">
        <v>4454.3999999999996</v>
      </c>
      <c r="BL100" s="203">
        <v>5416</v>
      </c>
      <c r="BM100" s="203">
        <v>5371.5</v>
      </c>
      <c r="BN100" s="203">
        <v>5849.5</v>
      </c>
      <c r="BO100" s="203">
        <v>5657</v>
      </c>
      <c r="BP100" s="203">
        <v>6187.7</v>
      </c>
      <c r="BQ100" s="203">
        <v>6065.5</v>
      </c>
      <c r="BR100" s="203">
        <v>6223.2</v>
      </c>
      <c r="BS100" s="203">
        <v>6573.9</v>
      </c>
      <c r="BT100" s="203">
        <v>6449.7</v>
      </c>
      <c r="BU100" s="203">
        <v>6915.5</v>
      </c>
      <c r="BV100" s="203">
        <v>5476.9</v>
      </c>
      <c r="BW100" s="203">
        <v>4172.6000000000004</v>
      </c>
      <c r="BX100" s="203">
        <v>4796.3999999999996</v>
      </c>
      <c r="BY100" s="203">
        <v>5386.8</v>
      </c>
      <c r="BZ100" s="203">
        <v>2334.5</v>
      </c>
      <c r="CA100" s="203">
        <v>713</v>
      </c>
      <c r="CB100" s="203">
        <v>5296.5</v>
      </c>
      <c r="CC100" s="203">
        <v>5737.5</v>
      </c>
      <c r="CD100" s="261">
        <v>4.4195128499999976</v>
      </c>
      <c r="CE100" s="261">
        <v>3.9924762500000002</v>
      </c>
      <c r="CF100" s="261">
        <v>3.5275655499999998</v>
      </c>
      <c r="CG100" s="261">
        <v>4.0644706500000058</v>
      </c>
      <c r="CH100" s="261">
        <v>0.53823570000000032</v>
      </c>
      <c r="CI100" s="261">
        <v>0.54318975000000025</v>
      </c>
      <c r="CJ100" s="261">
        <v>0.6919376833333335</v>
      </c>
      <c r="CK100" s="261">
        <v>0.594339216666666</v>
      </c>
      <c r="CL100" s="261">
        <v>26.939322314049654</v>
      </c>
      <c r="CM100" s="261">
        <v>27.041008264462857</v>
      </c>
      <c r="CN100" s="261">
        <v>37.563327272727314</v>
      </c>
      <c r="CO100" s="261">
        <v>34.949607438016514</v>
      </c>
      <c r="CP100" s="261">
        <v>82.440809917355409</v>
      </c>
      <c r="CQ100" s="261">
        <v>81.913892561983602</v>
      </c>
      <c r="CR100" s="261">
        <v>0.10909090909090888</v>
      </c>
      <c r="CS100" s="261">
        <v>0.10909090909090888</v>
      </c>
      <c r="CT100" s="261">
        <v>1.5998404958677692</v>
      </c>
      <c r="CU100" s="261">
        <v>1.7767834710743839</v>
      </c>
      <c r="CV100" s="261">
        <v>3.7829999999999999</v>
      </c>
      <c r="CW100" s="261">
        <v>3.8820000000000001</v>
      </c>
      <c r="CX100" s="204">
        <f>IFERROR(AVERAGEIF(RD[[#This Row],[IS1POA1 (KWh/m2)]:[IS7POA2 (KWh/m2)]],"&lt;&gt;0",RD[[#This Row],[IS1POA1 (KWh/m2)]:[IS7POA2 (KWh/m2)]]),"")</f>
        <v>4.2059945499999989</v>
      </c>
      <c r="CY100" s="204">
        <f>IFERROR(AVERAGEIF(RD[[#This Row],[IS1GHI1 (KWh/m2)]:[IS7GHI2 (KWh/m2)]],"&lt;&gt;0",RD[[#This Row],[IS1GHI1 (KWh/m2)]:[IS7GHI2 (KWh/m2)]]),"")</f>
        <v>3.7960181000000031</v>
      </c>
      <c r="CZ100" s="204">
        <f>IFERROR(AVERAGEIF(RD[[#This Row],[IS1POA_BS1 (KWh/m2)]:[IS7POA_BS2 (KWh/m2)]],"&lt;&gt;0",RD[[#This Row],[IS1POA_BS1 (KWh/m2)]:[IS7POA_BS2 (KWh/m2)]]),"")</f>
        <v>0.54071272500000034</v>
      </c>
      <c r="DA100" s="204">
        <f>IFERROR(AVERAGEIF(RD[[#This Row],[IS1GHI_BS1 (KWh/m2)]:[IS1GHI_BS1 (KWh/m2)2]],"&lt;&gt;0",RD[[#This Row],[IS1GHI_BS1 (KWh/m2)]:[IS1GHI_BS1 (KWh/m2)2]]),"")</f>
        <v>0.6431384499999997</v>
      </c>
      <c r="DB100" s="204">
        <f>IFERROR(AVERAGEIF(RD[[#This Row],[IS1AT1 (°C)]:[IS7AT2 (°C)]],"&lt;&gt;0",RD[[#This Row],[IS1AT1 (°C)]:[IS7AT2 (°C)]]),"")</f>
        <v>26.990165289256254</v>
      </c>
      <c r="DC100" s="204">
        <f>IFERROR(AVERAGEIF(RD[[#This Row],[IS1MT1 (°C)]:[IS7MT2 (°C)]],"&lt;&gt;0",RD[[#This Row],[IS1MT1 (°C)]:[IS7MT2 (°C)]]),"")</f>
        <v>36.25646735537191</v>
      </c>
      <c r="DD100" s="204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204">
        <f>IFERROR(AVERAGEIF(RD[[#This Row],[WS_Solar1_Avg (m/s)]:[IS7_WS_Solar1_Avg (m/s)]],"&lt;&gt;0",RD[[#This Row],[WS_Solar1_Avg (m/s)]:[IS7_WS_Solar1_Avg (m/s)]]),"")</f>
        <v>1.6883119834710767</v>
      </c>
      <c r="DG100" s="204">
        <f>IFERROR(AVERAGEIF(RD[[#This Row],[WS_Solar1_Max (m/s)]:[IS7_WS_Solar1_Max (m/s)]],"&lt;&gt;0",RD[[#This Row],[WS_Solar1_Max (m/s)]:[IS7_WS_Solar1_Max (m/s)]]),"")</f>
        <v>3.8325</v>
      </c>
      <c r="DH100" s="204">
        <f>SUM(RD[[#This Row],[IS1Inv1M1]:[IS4Inv4M2]])</f>
        <v>175705.4</v>
      </c>
      <c r="DI100" s="205">
        <f>SUM(RD[[#This Row],[IS7Inv1M1]]+RD[[#This Row],[IS7Inv2M1]])</f>
        <v>10459.900000000001</v>
      </c>
      <c r="DJ100" s="204">
        <f>SUM(RD[[#This Row],[IS5Inv1M1]:[IS5Inv2M2]])</f>
        <v>25653.100000000002</v>
      </c>
      <c r="DK100" s="204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86">
        <f>SUM(RD[[#This Row],[IS12Inv1M1]:[IS12Inv1M4]])</f>
        <v>23759.7</v>
      </c>
      <c r="DO100" s="286">
        <f>SUM(RD[[#This Row],[IS13Inv1M1]:[IS13Inv2M2]])</f>
        <v>26162.3</v>
      </c>
      <c r="DP100" s="204">
        <f>SUM(RD[[#This Row],[O2R15]:[O2R26]])</f>
        <v>443864.6</v>
      </c>
      <c r="DQ100" s="164">
        <v>44893.4</v>
      </c>
      <c r="DR100" s="168">
        <v>227</v>
      </c>
      <c r="DS100" s="164">
        <v>39224.1</v>
      </c>
      <c r="DT100" s="164">
        <v>238.8</v>
      </c>
      <c r="DU100" s="168">
        <v>46271.7</v>
      </c>
      <c r="DV100" s="168">
        <v>442.2</v>
      </c>
      <c r="DW100" s="164">
        <v>10626.4</v>
      </c>
      <c r="DX100" s="168">
        <v>55.6</v>
      </c>
      <c r="DY100" s="168">
        <v>3763.6</v>
      </c>
      <c r="DZ100" s="168">
        <v>18.8</v>
      </c>
      <c r="EA100" s="140">
        <v>106.82</v>
      </c>
      <c r="EB100" s="241">
        <v>148764606</v>
      </c>
      <c r="EC100" s="240">
        <v>1052034.368</v>
      </c>
      <c r="ED100" s="241">
        <v>1263</v>
      </c>
      <c r="EE100" s="241">
        <v>142971</v>
      </c>
      <c r="EF100" s="164">
        <v>206256.7</v>
      </c>
      <c r="EG100" s="164">
        <v>2026.3</v>
      </c>
      <c r="EH100" s="146">
        <f>IF((RD[[#This Row],[33 kV_F3_Ex
Incomer1]]-DQ99)*1000&lt;0,0,(RD[[#This Row],[33 kV_F3_Ex
Incomer1]]-DQ99)*1000)</f>
        <v>88900.000000001455</v>
      </c>
      <c r="EI100" s="146">
        <f>IF((RD[[#This Row],[34 kV_F3_Im
Incomer1]]-DR99)*1000&lt;0,0,(RD[[#This Row],[34 kV_F3_Im
Incomer1]]-DR99)*1000)</f>
        <v>400.00000000000568</v>
      </c>
      <c r="EJ100" s="146">
        <f>IF((RD[[#This Row],[33 kV_F4_Ex
Incomer2]]-DS99)*1000&lt;0,0,(RD[[#This Row],[33 kV_F4_Ex
Incomer2]]-DS99)*1000)</f>
        <v>82299.999999995634</v>
      </c>
      <c r="EK100" s="146">
        <f>IF((RD[[#This Row],[34 kV_F4_Im
Incomer2]]-DT99)*1000&lt;0,0,(RD[[#This Row],[34 kV_F4_Im
Incomer2]]-DT99)*1000)</f>
        <v>300.00000000001137</v>
      </c>
      <c r="EL100" s="146">
        <f>IF((RD[[#This Row],[33 kV_F5_Ex
Incomer3]]-DU99)*1000&lt;0,0,(RD[[#This Row],[33 kV_F5_Ex
Incomer3]]-DU99)*1000)</f>
        <v>102299.99999999563</v>
      </c>
      <c r="EM100" s="146">
        <f>IF((RD[[#This Row],[34 kV_F5_Im
Incomer3]]-DV99)*1000&lt;0,0,(RD[[#This Row],[34 kV_F5_Im
Incomer3]]-DV99)*1000)</f>
        <v>1300.0000000000114</v>
      </c>
      <c r="EN100" s="146">
        <f>IF((RD[[#This Row],[33 kV_F6_Ex
Incomer4]]-DW99)*1000&lt;0,0,(RD[[#This Row],[33 kV_F6_Ex
Incomer4]]-DW99)*1000)</f>
        <v>33600.000000000364</v>
      </c>
      <c r="EO100" s="146">
        <f t="shared" si="166"/>
        <v>300.00000000001137</v>
      </c>
      <c r="EP100" s="146">
        <f>IF((RD[[#This Row],[33 kV_F7_Ex
Incomer5]]-DY99)*1000&lt;0,0,(RD[[#This Row],[33 kV_F7_Ex
Incomer5]]-DY99)*1000)</f>
        <v>110400.00000000009</v>
      </c>
      <c r="EQ100" s="146">
        <f>IF((RD[[#This Row],[33 kV_F7_Im
Incomer5]]-DZ99)*1000&lt;0,0,(RD[[#This Row],[33 kV_F7_Im
Incomer5]]-DZ99)*1000)</f>
        <v>500</v>
      </c>
      <c r="ER100" s="146">
        <f>IF((RD[[#This Row],[33 kV_Aux Trafo]]-EA99)*1000&lt;0,0,(RD[[#This Row],[33 kV_Aux Trafo]]-EA99)*1000)</f>
        <v>250</v>
      </c>
      <c r="ES100" s="158">
        <f>IF((RD[[#This Row],[33kV_OG1_Ex_]]-EB99)*1&lt;0,0,(RD[[#This Row],[33kV_OG1_Ex_]]-EB99)*1)</f>
        <v>439976</v>
      </c>
      <c r="ET100" s="146">
        <f>IF((RD[[#This Row],[33kV_OG1_Im]]-EC99)*1&lt;0,0,(RD[[#This Row],[33kV_OG1_Im]]-EC99)*1)</f>
        <v>2879.6159999999218</v>
      </c>
      <c r="EU100" s="146">
        <f>IF((RD[[#This Row],[132kV_TX1_EX]]-ED99)*720&lt;=0,"",(RD[[#This Row],[132kV_TX1_EX]]-ED99)*720)</f>
        <v>2880</v>
      </c>
      <c r="EV100" s="146">
        <f>IF((RD[[#This Row],[132 kV_Tx1_Im]]-EE99)*720&lt;=0,0,(RD[[#This Row],[132 kV_Tx1_Im]]-EE99)*720)</f>
        <v>315360</v>
      </c>
      <c r="EW100" s="146">
        <f>IF((RD[[#This Row],[132kV_L1_Ex]]-EF99)*720&lt;=0,0,(RD[[#This Row],[132kV_L1_Ex]]-EF99)*720)</f>
        <v>438696.00000001257</v>
      </c>
      <c r="EX100" s="146">
        <f>IF((RD[[#This Row],[132kV_L1_Im]]-EG99)*720&lt;=0,0,(RD[[#This Row],[132kV_L1_Im]]-EG99)*720)</f>
        <v>3384.0000000000327</v>
      </c>
      <c r="EY100" s="242">
        <f>IFERROR(RD[[#This Row],[33kV_OG1_Ex (MWh)]]+RD[[#This Row],[33kV_OG1_Im (MWh)]],"")</f>
        <v>442855.61599999992</v>
      </c>
      <c r="EZ100" s="148">
        <f>RD[[#This Row],[33kV_OG1_Ex (MWh)]]-RD[[#This Row],[33kV_OG1_Im (MWh)]]</f>
        <v>437096.38400000008</v>
      </c>
      <c r="FA100" s="148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43">
        <f>IFERROR((RD[[#This Row],[Sunset Time (POA&lt;20 W/m2)]]-RD[[#This Row],[Sunrise Time (POA&gt;20 W/m2)]])*24,0)</f>
        <v>12.783333333333333</v>
      </c>
      <c r="FD100" s="244">
        <v>128.08000000000001</v>
      </c>
      <c r="FE100" t="s">
        <v>305</v>
      </c>
      <c r="FG100" s="144" t="str">
        <f>IFERROR(RD[[#This Row],[E_AC (WPR)]]/RD[[#This Row],[E_DC (WPR)]],"")</f>
        <v/>
      </c>
    </row>
    <row r="101" spans="1:163">
      <c r="A101" s="133">
        <f>A100+1</f>
        <v>45841</v>
      </c>
      <c r="B101" s="138">
        <f>YEAR(RD[[#This Row],[Date]])+IF(MONTH(RD[[#This Row],[Date]])&gt;=4,1,0)</f>
        <v>2026</v>
      </c>
      <c r="C101" s="138">
        <f>YEAR(RD[[#This Row],[Date]])</f>
        <v>2025</v>
      </c>
      <c r="D101" s="139">
        <f>A101-DAY(A101)+1</f>
        <v>45839</v>
      </c>
      <c r="E101" s="138">
        <f>DAY(EOMONTH(RD[[#This Row],[Date]],0))</f>
        <v>31</v>
      </c>
      <c r="F101" s="152">
        <v>0.25069444444444444</v>
      </c>
      <c r="G101" s="162">
        <v>0.77500000000000002</v>
      </c>
      <c r="H101" s="124">
        <v>5427.4</v>
      </c>
      <c r="I101" s="268">
        <v>5441.5</v>
      </c>
      <c r="J101" s="124">
        <v>5060.8999999999996</v>
      </c>
      <c r="K101" s="124">
        <v>5030</v>
      </c>
      <c r="L101" s="124">
        <v>5215.7</v>
      </c>
      <c r="M101" s="124">
        <v>5372.4</v>
      </c>
      <c r="N101" s="124">
        <v>5219</v>
      </c>
      <c r="O101" s="124">
        <v>5751.5</v>
      </c>
      <c r="P101" s="124">
        <v>5363</v>
      </c>
      <c r="Q101" s="124">
        <v>5210.3999999999996</v>
      </c>
      <c r="R101" s="124">
        <v>5365.6</v>
      </c>
      <c r="S101" s="266">
        <v>5455.2</v>
      </c>
      <c r="T101" s="124">
        <v>5613.7</v>
      </c>
      <c r="U101" s="124">
        <v>5383.9</v>
      </c>
      <c r="V101" s="124">
        <v>5537.6</v>
      </c>
      <c r="W101" s="124">
        <v>5322</v>
      </c>
      <c r="X101" s="294">
        <v>7521.7</v>
      </c>
      <c r="Y101" s="203">
        <v>8502.5</v>
      </c>
      <c r="Z101" s="203">
        <v>7297.4</v>
      </c>
      <c r="AA101" s="203">
        <v>7663.6</v>
      </c>
      <c r="AB101" s="294">
        <v>8376.5</v>
      </c>
      <c r="AC101" s="203">
        <v>5074.3999999999996</v>
      </c>
      <c r="AD101" s="203">
        <v>7754.4</v>
      </c>
      <c r="AE101" s="203">
        <v>7916.7</v>
      </c>
      <c r="AF101" s="294">
        <v>7628.2</v>
      </c>
      <c r="AG101" s="203">
        <v>7646.4</v>
      </c>
      <c r="AH101" s="203">
        <v>7609.3</v>
      </c>
      <c r="AI101" s="294">
        <v>7651.2</v>
      </c>
      <c r="AJ101" s="142">
        <v>6712</v>
      </c>
      <c r="AK101" s="142">
        <v>6901</v>
      </c>
      <c r="AL101" s="142">
        <v>6736.1</v>
      </c>
      <c r="AM101" s="142">
        <v>6781.3</v>
      </c>
      <c r="AN101" s="142">
        <v>6802.8</v>
      </c>
      <c r="AO101" s="142">
        <v>6997.9</v>
      </c>
      <c r="AP101" s="142">
        <v>6939.9</v>
      </c>
      <c r="AQ101" s="142">
        <v>6819.2</v>
      </c>
      <c r="AR101" s="142">
        <v>5462.1</v>
      </c>
      <c r="AS101" s="142">
        <v>5518.1</v>
      </c>
      <c r="AT101" s="142">
        <v>5474.7</v>
      </c>
      <c r="AU101" s="142">
        <v>5460.9</v>
      </c>
      <c r="AV101" s="142">
        <v>5522.3</v>
      </c>
      <c r="AW101" s="142">
        <v>5486.7</v>
      </c>
      <c r="AX101" s="142">
        <v>7864.9</v>
      </c>
      <c r="AY101" s="142">
        <v>8866.2000000000007</v>
      </c>
      <c r="AZ101" s="142">
        <v>6484.2</v>
      </c>
      <c r="BA101" s="142">
        <v>7844</v>
      </c>
      <c r="BB101" s="142">
        <v>7598.6</v>
      </c>
      <c r="BC101" s="142">
        <v>7283.7</v>
      </c>
      <c r="BD101" s="142">
        <v>6796.8</v>
      </c>
      <c r="BE101" s="142">
        <v>6480.4</v>
      </c>
      <c r="BF101" s="142">
        <v>8083.6</v>
      </c>
      <c r="BG101" s="142">
        <v>8219.4</v>
      </c>
      <c r="BH101" s="142">
        <v>8099.5</v>
      </c>
      <c r="BI101" s="142">
        <v>8359.4</v>
      </c>
      <c r="BJ101" s="142">
        <v>5464.9</v>
      </c>
      <c r="BK101" s="142">
        <v>4369.3999999999996</v>
      </c>
      <c r="BL101" s="142">
        <v>5294.4</v>
      </c>
      <c r="BM101" s="142">
        <v>5250.4</v>
      </c>
      <c r="BN101" s="142">
        <v>5779.7</v>
      </c>
      <c r="BO101" s="142">
        <v>5562.6</v>
      </c>
      <c r="BP101" s="142">
        <v>6074.5</v>
      </c>
      <c r="BQ101" s="142">
        <v>5960.1</v>
      </c>
      <c r="BR101" s="142">
        <v>6098.2</v>
      </c>
      <c r="BS101" s="142">
        <v>6519</v>
      </c>
      <c r="BT101" s="142">
        <v>6307</v>
      </c>
      <c r="BU101" s="142">
        <v>6786.4</v>
      </c>
      <c r="BV101" s="142">
        <v>5531.1</v>
      </c>
      <c r="BW101" s="142">
        <v>5133.3999999999996</v>
      </c>
      <c r="BX101" s="142">
        <v>4834.1000000000004</v>
      </c>
      <c r="BY101" s="142">
        <v>5445.4</v>
      </c>
      <c r="BZ101" s="142">
        <v>2460.3000000000002</v>
      </c>
      <c r="CA101" s="142">
        <v>722.7</v>
      </c>
      <c r="CB101" s="142">
        <v>5257.1</v>
      </c>
      <c r="CC101" s="142">
        <v>5658.3</v>
      </c>
      <c r="CD101" s="206">
        <v>4.2928790166666699</v>
      </c>
      <c r="CE101" s="59">
        <v>4.1966741166666637</v>
      </c>
      <c r="CF101" s="206">
        <v>3.3767194999999957</v>
      </c>
      <c r="CG101" s="206">
        <v>4.2045044666666636</v>
      </c>
      <c r="CH101" s="206">
        <v>0.46469108333333287</v>
      </c>
      <c r="CI101" s="206">
        <v>0.56213841666666686</v>
      </c>
      <c r="CJ101" s="59">
        <v>0.66393259999999865</v>
      </c>
      <c r="CK101" s="59">
        <v>0.6083719999999998</v>
      </c>
      <c r="CL101" s="206">
        <v>27.519025641025667</v>
      </c>
      <c r="CM101" s="206">
        <v>26.430102564102562</v>
      </c>
      <c r="CN101" s="206">
        <v>38.188204273504276</v>
      </c>
      <c r="CO101" s="206">
        <v>35.419642735042743</v>
      </c>
      <c r="CP101" s="206">
        <v>88.188051282051305</v>
      </c>
      <c r="CQ101" s="206">
        <v>88.84670940170929</v>
      </c>
      <c r="CR101" s="206">
        <v>1.0256410256410248E-2</v>
      </c>
      <c r="CS101" s="59">
        <v>1.0256410256410249E-2</v>
      </c>
      <c r="CT101" s="206">
        <v>0.99770769230769074</v>
      </c>
      <c r="CU101" s="206">
        <v>1.1033974358974363</v>
      </c>
      <c r="CV101" s="206">
        <v>3.3</v>
      </c>
      <c r="CW101" s="258">
        <v>3.339</v>
      </c>
      <c r="CX101" s="204">
        <f>IFERROR(AVERAGEIF(RD[[#This Row],[IS1POA1 (KWh/m2)]:[IS7POA2 (KWh/m2)]],"&lt;&gt;0",RD[[#This Row],[IS1POA1 (KWh/m2)]:[IS7POA2 (KWh/m2)]]),"")</f>
        <v>4.2447765666666673</v>
      </c>
      <c r="CY101" s="204">
        <f>IFERROR(AVERAGEIF(RD[[#This Row],[IS1GHI1 (KWh/m2)]:[IS7GHI2 (KWh/m2)]],"&lt;&gt;0",RD[[#This Row],[IS1GHI1 (KWh/m2)]:[IS7GHI2 (KWh/m2)]]),"")</f>
        <v>3.7906119833333296</v>
      </c>
      <c r="CZ101" s="204">
        <f>IFERROR(AVERAGEIF(RD[[#This Row],[IS1POA_BS1 (KWh/m2)]:[IS7POA_BS2 (KWh/m2)]],"&lt;&gt;0",RD[[#This Row],[IS1POA_BS1 (KWh/m2)]:[IS7POA_BS2 (KWh/m2)]]),"")</f>
        <v>0.51341474999999992</v>
      </c>
      <c r="DA101" s="204">
        <f>IFERROR(AVERAGEIF(RD[[#This Row],[IS1GHI_BS1 (KWh/m2)]:[IS1GHI_BS1 (KWh/m2)2]],"&lt;&gt;0",RD[[#This Row],[IS1GHI_BS1 (KWh/m2)]:[IS1GHI_BS1 (KWh/m2)2]]),"")</f>
        <v>0.63615229999999923</v>
      </c>
      <c r="DB101" s="204">
        <f>IFERROR(AVERAGEIF(RD[[#This Row],[IS1AT1 (°C)]:[IS7AT2 (°C)]],"&lt;&gt;0",RD[[#This Row],[IS1AT1 (°C)]:[IS7AT2 (°C)]]),"")</f>
        <v>26.974564102564116</v>
      </c>
      <c r="DC101" s="204">
        <f>IFERROR(AVERAGEIF(RD[[#This Row],[IS1MT1 (°C)]:[IS7MT2 (°C)]],"&lt;&gt;0",RD[[#This Row],[IS1MT1 (°C)]:[IS7MT2 (°C)]]),"")</f>
        <v>36.803923504273513</v>
      </c>
      <c r="DD101" s="204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204">
        <f>IFERROR(AVERAGEIF(RD[[#This Row],[WS_Solar1_Avg (m/s)]:[IS7_WS_Solar1_Avg (m/s)]],"&lt;&gt;0",RD[[#This Row],[WS_Solar1_Avg (m/s)]:[IS7_WS_Solar1_Avg (m/s)]]),"")</f>
        <v>1.0505525641025635</v>
      </c>
      <c r="DG101" s="204">
        <f>IFERROR(AVERAGEIF(RD[[#This Row],[WS_Solar1_Max (m/s)]:[IS7_WS_Solar1_Max (m/s)]],"&lt;&gt;0",RD[[#This Row],[WS_Solar1_Max (m/s)]:[IS7_WS_Solar1_Max (m/s)]]),"")</f>
        <v>3.3194999999999997</v>
      </c>
      <c r="DH101" s="204">
        <f>SUM(RD[[#This Row],[IS1Inv1M1]:[IS4Inv4M2]])</f>
        <v>176412.1</v>
      </c>
      <c r="DI101" s="205">
        <f>SUM(RD[[#This Row],[IS7Inv1M1]]+RD[[#This Row],[IS7Inv2M1]])</f>
        <v>10980.2</v>
      </c>
      <c r="DJ101" s="204">
        <f>SUM(RD[[#This Row],[IS5Inv1M1]:[IS5Inv2M2]])</f>
        <v>27130.399999999998</v>
      </c>
      <c r="DK101" s="204">
        <f>SUM(RD[[#This Row],[IS8Inv1M1]:[IS9Inv2M2]])</f>
        <v>53003.899999999994</v>
      </c>
      <c r="DL101" s="60">
        <f>SUM(RD[[#This Row],[IS6Inv1M1]:[IS6Inv2M2]])</f>
        <v>27559.8</v>
      </c>
      <c r="DM101" s="286">
        <f>SUM(RD[[#This Row],[IS10Inv1M1]:[IS11Inv1M4]],RD[[#This Row],[IS14Inv1M1]:[IS14Inv2M4]])</f>
        <v>116342.9</v>
      </c>
      <c r="DN101" s="286">
        <f>SUM(RD[[#This Row],[IS12Inv1M1]:[IS12Inv1M4]])</f>
        <v>23376.9</v>
      </c>
      <c r="DO101" s="286">
        <f>SUM(RD[[#This Row],[IS13Inv1M1]:[IS13Inv2M2]])</f>
        <v>25710.6</v>
      </c>
      <c r="DP101" s="204">
        <f>SUM(RD[[#This Row],[O2R15]:[O2R26]])</f>
        <v>460516.79999999993</v>
      </c>
      <c r="DQ101" s="164">
        <v>44983.6</v>
      </c>
      <c r="DR101" s="168">
        <v>227.4</v>
      </c>
      <c r="DS101" s="164">
        <v>39305.800000000003</v>
      </c>
      <c r="DT101" s="164">
        <v>239.1</v>
      </c>
      <c r="DU101" s="168">
        <v>46389.4</v>
      </c>
      <c r="DV101" s="168">
        <v>443.5</v>
      </c>
      <c r="DW101" s="164">
        <v>10661.1</v>
      </c>
      <c r="DX101" s="168">
        <v>55.8</v>
      </c>
      <c r="DY101" s="168">
        <v>3872.9</v>
      </c>
      <c r="DZ101" s="168">
        <v>19.399999999999999</v>
      </c>
      <c r="EA101" s="140">
        <v>107.05</v>
      </c>
      <c r="EB101" s="241">
        <v>149220737</v>
      </c>
      <c r="EC101" s="240">
        <v>1055073.8559999999</v>
      </c>
      <c r="ED101" s="241">
        <v>1266</v>
      </c>
      <c r="EE101" s="241">
        <v>143425</v>
      </c>
      <c r="EF101" s="164">
        <v>206888.3</v>
      </c>
      <c r="EG101" s="164">
        <v>2031.1</v>
      </c>
      <c r="EH101" s="146">
        <f>IF((RD[[#This Row],[33 kV_F3_Ex
Incomer1]]-DQ100)*1000&lt;0,0,(RD[[#This Row],[33 kV_F3_Ex
Incomer1]]-DQ100)*1000)</f>
        <v>90199.99999999709</v>
      </c>
      <c r="EI101" s="146">
        <f>IF((RD[[#This Row],[34 kV_F3_Im
Incomer1]]-DR100)*1000&lt;0,0,(RD[[#This Row],[34 kV_F3_Im
Incomer1]]-DR100)*1000)</f>
        <v>400.00000000000568</v>
      </c>
      <c r="EJ101" s="146">
        <f>IF((RD[[#This Row],[33 kV_F4_Ex
Incomer2]]-DS100)*1000&lt;0,0,(RD[[#This Row],[33 kV_F4_Ex
Incomer2]]-DS100)*1000)</f>
        <v>81700.000000004366</v>
      </c>
      <c r="EK101" s="146">
        <f>IF((RD[[#This Row],[34 kV_F4_Im
Incomer2]]-DT100)*1000&lt;0,0,(RD[[#This Row],[34 kV_F4_Im
Incomer2]]-DT100)*1000)</f>
        <v>299.99999999998295</v>
      </c>
      <c r="EL101" s="146">
        <f>IF((RD[[#This Row],[33 kV_F5_Ex
Incomer3]]-DU100)*1000&lt;0,0,(RD[[#This Row],[33 kV_F5_Ex
Incomer3]]-DU100)*1000)</f>
        <v>117700.00000000437</v>
      </c>
      <c r="EM101" s="146">
        <f>IF((RD[[#This Row],[34 kV_F5_Im
Incomer3]]-DV100)*1000&lt;0,0,(RD[[#This Row],[34 kV_F5_Im
Incomer3]]-DV100)*1000)</f>
        <v>1300.0000000000114</v>
      </c>
      <c r="EN101" s="146">
        <f>IF((RD[[#This Row],[33 kV_F6_Ex
Incomer4]]-DW100)*1000&lt;0,0,(RD[[#This Row],[33 kV_F6_Ex
Incomer4]]-DW100)*1000)</f>
        <v>34700.000000000728</v>
      </c>
      <c r="EO101" s="146">
        <f t="shared" si="166"/>
        <v>299.99999999998295</v>
      </c>
      <c r="EP101" s="146">
        <f>IF((RD[[#This Row],[33 kV_F7_Ex
Incomer5]]-DY100)*1000&lt;0,0,(RD[[#This Row],[33 kV_F7_Ex
Incomer5]]-DY100)*1000)</f>
        <v>109300.00000000017</v>
      </c>
      <c r="EQ101" s="146">
        <f>IF((RD[[#This Row],[33 kV_F7_Im
Incomer5]]-DZ100)*1000&lt;0,0,(RD[[#This Row],[33 kV_F7_Im
Incomer5]]-DZ100)*1000)</f>
        <v>599.99999999999784</v>
      </c>
      <c r="ER101" s="146">
        <f>IF((RD[[#This Row],[33 kV_Aux Trafo]]-EA100)*1000&lt;0,0,(RD[[#This Row],[33 kV_Aux Trafo]]-EA100)*1000)</f>
        <v>230.00000000000398</v>
      </c>
      <c r="ES101" s="158">
        <f>IF((RD[[#This Row],[33kV_OG1_Ex_]]-EB100)*1&lt;0,0,(RD[[#This Row],[33kV_OG1_Ex_]]-EB100)*1)</f>
        <v>456131</v>
      </c>
      <c r="ET101" s="146">
        <f>IF((RD[[#This Row],[33kV_OG1_Im]]-EC100)*1&lt;0,0,(RD[[#This Row],[33kV_OG1_Im]]-EC100)*1)</f>
        <v>3039.4879999998957</v>
      </c>
      <c r="EU101" s="146">
        <f>IF((RD[[#This Row],[132kV_TX1_EX]]-ED100)*720&lt;=0,"",(RD[[#This Row],[132kV_TX1_EX]]-ED100)*720)</f>
        <v>2160</v>
      </c>
      <c r="EV101" s="146">
        <f>IF((RD[[#This Row],[132 kV_Tx1_Im]]-EE100)*720&lt;=0,0,(RD[[#This Row],[132 kV_Tx1_Im]]-EE100)*720)</f>
        <v>326880</v>
      </c>
      <c r="EW101" s="146">
        <f>IF((RD[[#This Row],[132kV_L1_Ex]]-EF100)*720&lt;=0,0,(RD[[#This Row],[132kV_L1_Ex]]-EF100)*720)</f>
        <v>454751.99999998324</v>
      </c>
      <c r="EX101" s="146">
        <f>IF((RD[[#This Row],[132kV_L1_Im]]-EG100)*720&lt;=0,0,(RD[[#This Row],[132kV_L1_Im]]-EG100)*720)</f>
        <v>3455.9999999999673</v>
      </c>
      <c r="EY101" s="242">
        <f>IFERROR(RD[[#This Row],[33kV_OG1_Ex (MWh)]]+RD[[#This Row],[33kV_OG1_Im (MWh)]],"")</f>
        <v>459170.4879999999</v>
      </c>
      <c r="EZ101" s="148">
        <f>RD[[#This Row],[33kV_OG1_Ex (MWh)]]-RD[[#This Row],[33kV_OG1_Im (MWh)]]</f>
        <v>453091.5120000001</v>
      </c>
      <c r="FA101" s="148">
        <f>IFERROR(RD[[#This Row],[132kV_L1_Ex(MWh)]]-RD[[#This Row],[132kV_L1_Im(MWh)]],"")</f>
        <v>451295.99999998329</v>
      </c>
      <c r="FB101" s="297">
        <f>IFERROR(RD[[#This Row],[33kV_Ex(MWh)]]/RD[[#This Row],[Inv Total Gneration (MWh)]]-1,"")</f>
        <v>-2.9234807503223381E-3</v>
      </c>
      <c r="FC101" s="243">
        <f>IFERROR((RD[[#This Row],[Sunset Time (POA&lt;20 W/m2)]]-RD[[#This Row],[Sunrise Time (POA&gt;20 W/m2)]])*24,0)</f>
        <v>12.583333333333334</v>
      </c>
      <c r="FD101" s="244">
        <v>128.08000000000001</v>
      </c>
      <c r="FE101" s="303" t="s">
        <v>297</v>
      </c>
      <c r="FG101" s="144" t="str">
        <f>IFERROR(RD[[#This Row],[E_AC (WPR)]]/RD[[#This Row],[E_DC (WPR)]],"")</f>
        <v/>
      </c>
    </row>
    <row r="102" spans="1:163">
      <c r="A102" s="133">
        <f>A101+1</f>
        <v>45842</v>
      </c>
      <c r="B102" s="138">
        <f>YEAR(RD[[#This Row],[Date]])+IF(MONTH(RD[[#This Row],[Date]])&gt;=4,1,0)</f>
        <v>2026</v>
      </c>
      <c r="C102" s="138">
        <f>YEAR(RD[[#This Row],[Date]])</f>
        <v>2025</v>
      </c>
      <c r="D102" s="139">
        <f>A102-DAY(A102)+1</f>
        <v>45839</v>
      </c>
      <c r="E102" s="138">
        <f>DAY(EOMONTH(RD[[#This Row],[Date]],0))</f>
        <v>31</v>
      </c>
      <c r="F102" s="152">
        <v>0.25763888888888886</v>
      </c>
      <c r="G102" s="162">
        <v>0.7729166666666667</v>
      </c>
      <c r="H102" s="124">
        <v>4533.8</v>
      </c>
      <c r="I102" s="268">
        <v>4495</v>
      </c>
      <c r="J102" s="124">
        <v>4188.7</v>
      </c>
      <c r="K102" s="124">
        <v>4260.2</v>
      </c>
      <c r="L102" s="124">
        <v>4436.3</v>
      </c>
      <c r="M102" s="124">
        <v>4567.2</v>
      </c>
      <c r="N102" s="124">
        <v>4407.2</v>
      </c>
      <c r="O102" s="124">
        <v>4882</v>
      </c>
      <c r="P102" s="124">
        <v>4464.8</v>
      </c>
      <c r="Q102" s="124">
        <v>4382.3</v>
      </c>
      <c r="R102" s="124">
        <v>4469.8</v>
      </c>
      <c r="S102" s="266">
        <v>4523</v>
      </c>
      <c r="T102" s="124">
        <v>4638.6000000000004</v>
      </c>
      <c r="U102" s="124">
        <v>4436.3</v>
      </c>
      <c r="V102" s="124">
        <v>4589.8999999999996</v>
      </c>
      <c r="W102" s="124">
        <v>4378.8999999999996</v>
      </c>
      <c r="X102" s="294">
        <v>6177.9</v>
      </c>
      <c r="Y102" s="203">
        <v>7001.1</v>
      </c>
      <c r="Z102" s="203">
        <v>6008.3</v>
      </c>
      <c r="AA102" s="203">
        <v>6289.2</v>
      </c>
      <c r="AB102" s="294">
        <v>6733.6</v>
      </c>
      <c r="AC102" s="203">
        <v>4080.5</v>
      </c>
      <c r="AD102" s="203">
        <v>6250.6</v>
      </c>
      <c r="AE102" s="203">
        <v>6399.6</v>
      </c>
      <c r="AF102" s="294">
        <v>6193.8</v>
      </c>
      <c r="AG102" s="203">
        <v>6218</v>
      </c>
      <c r="AH102" s="203">
        <v>6189.1</v>
      </c>
      <c r="AI102" s="294">
        <v>6231.5</v>
      </c>
      <c r="AJ102" s="142">
        <v>5234.3</v>
      </c>
      <c r="AK102" s="142">
        <v>5421.8</v>
      </c>
      <c r="AL102" s="142">
        <v>5328.5</v>
      </c>
      <c r="AM102" s="142">
        <v>5373.1</v>
      </c>
      <c r="AN102" s="142">
        <v>5334.4</v>
      </c>
      <c r="AO102" s="142">
        <v>5524.9</v>
      </c>
      <c r="AP102" s="142">
        <v>5443</v>
      </c>
      <c r="AQ102" s="142">
        <v>5363</v>
      </c>
      <c r="AR102" s="142">
        <v>4300.5</v>
      </c>
      <c r="AS102" s="142">
        <v>4326.8</v>
      </c>
      <c r="AT102" s="142">
        <v>4352.8</v>
      </c>
      <c r="AU102" s="142">
        <v>4313.6000000000004</v>
      </c>
      <c r="AV102" s="142">
        <v>4414.1000000000004</v>
      </c>
      <c r="AW102" s="142">
        <v>4335</v>
      </c>
      <c r="AX102" s="142">
        <v>6152.5</v>
      </c>
      <c r="AY102" s="142">
        <v>6977.5</v>
      </c>
      <c r="AZ102" s="142">
        <v>5027.8999999999996</v>
      </c>
      <c r="BA102" s="142">
        <v>6142.8</v>
      </c>
      <c r="BB102" s="142">
        <v>6296.4</v>
      </c>
      <c r="BC102" s="142">
        <v>6022.9</v>
      </c>
      <c r="BD102" s="142">
        <v>5358.8</v>
      </c>
      <c r="BE102" s="142">
        <v>4255.3</v>
      </c>
      <c r="BF102" s="142">
        <v>6495.8</v>
      </c>
      <c r="BG102" s="142">
        <v>6556.8</v>
      </c>
      <c r="BH102" s="142">
        <v>6416</v>
      </c>
      <c r="BI102" s="142">
        <v>6602</v>
      </c>
      <c r="BJ102" s="142">
        <v>4242</v>
      </c>
      <c r="BK102" s="142">
        <v>3373</v>
      </c>
      <c r="BL102" s="142">
        <v>4070.3</v>
      </c>
      <c r="BM102" s="142">
        <v>4032</v>
      </c>
      <c r="BN102" s="142">
        <v>4505.2</v>
      </c>
      <c r="BO102" s="142">
        <v>4255.8999999999996</v>
      </c>
      <c r="BP102" s="142">
        <v>4726.7</v>
      </c>
      <c r="BQ102" s="142">
        <v>4645.7</v>
      </c>
      <c r="BR102" s="142">
        <v>4668.8</v>
      </c>
      <c r="BS102" s="142">
        <v>5024.6000000000004</v>
      </c>
      <c r="BT102" s="142">
        <v>4880.5</v>
      </c>
      <c r="BU102" s="142">
        <v>5236.3</v>
      </c>
      <c r="BV102" s="142">
        <v>3893.8</v>
      </c>
      <c r="BW102" s="142">
        <v>3919.2</v>
      </c>
      <c r="BX102" s="142">
        <v>3654.3</v>
      </c>
      <c r="BY102" s="142">
        <v>4156.3999999999996</v>
      </c>
      <c r="BZ102" s="142">
        <v>1842.9</v>
      </c>
      <c r="CA102" s="142">
        <v>514.9</v>
      </c>
      <c r="CB102" s="142">
        <v>4010</v>
      </c>
      <c r="CC102" s="142">
        <v>4334.1000000000004</v>
      </c>
      <c r="CD102" s="206">
        <v>3.5620863333333368</v>
      </c>
      <c r="CE102" s="59">
        <v>3.2079110500000034</v>
      </c>
      <c r="CF102" s="206">
        <v>2.7946593166666647</v>
      </c>
      <c r="CG102" s="206">
        <v>3.161724549999998</v>
      </c>
      <c r="CH102" s="206">
        <v>0.37876379999999982</v>
      </c>
      <c r="CI102" s="206">
        <v>0.44181958333333371</v>
      </c>
      <c r="CJ102" s="59">
        <v>0.54607859999999986</v>
      </c>
      <c r="CK102" s="59">
        <v>0.46659758333333429</v>
      </c>
      <c r="CL102" s="206">
        <v>27.093769633507879</v>
      </c>
      <c r="CM102" s="206">
        <v>26.950636998254783</v>
      </c>
      <c r="CN102" s="206">
        <v>37.722714659685835</v>
      </c>
      <c r="CO102" s="206">
        <v>34.79325305410125</v>
      </c>
      <c r="CP102" s="206">
        <v>81.876108202443334</v>
      </c>
      <c r="CQ102" s="206">
        <v>82.892146596858652</v>
      </c>
      <c r="CR102" s="206">
        <v>0</v>
      </c>
      <c r="CS102" s="59">
        <v>0</v>
      </c>
      <c r="CT102" s="206">
        <v>1.2828612565445003</v>
      </c>
      <c r="CU102" s="206">
        <v>1.3027984293193706</v>
      </c>
      <c r="CV102" s="206">
        <v>3.2069999999999999</v>
      </c>
      <c r="CW102" s="258">
        <v>3.2549999999999999</v>
      </c>
      <c r="CX102" s="204">
        <f>IFERROR(AVERAGEIF(RD[[#This Row],[IS1POA1 (KWh/m2)]:[IS7POA2 (KWh/m2)]],"&lt;&gt;0",RD[[#This Row],[IS1POA1 (KWh/m2)]:[IS7POA2 (KWh/m2)]]),"")</f>
        <v>3.3849986916666701</v>
      </c>
      <c r="CY102" s="204">
        <f>IFERROR(AVERAGEIF(RD[[#This Row],[IS1GHI1 (KWh/m2)]:[IS7GHI2 (KWh/m2)]],"&lt;&gt;0",RD[[#This Row],[IS1GHI1 (KWh/m2)]:[IS7GHI2 (KWh/m2)]]),"")</f>
        <v>2.9781919333333313</v>
      </c>
      <c r="CZ102" s="204">
        <f>IFERROR(AVERAGEIF(RD[[#This Row],[IS1POA_BS1 (KWh/m2)]:[IS7POA_BS2 (KWh/m2)]],"&lt;&gt;0",RD[[#This Row],[IS1POA_BS1 (KWh/m2)]:[IS7POA_BS2 (KWh/m2)]]),"")</f>
        <v>0.41029169166666679</v>
      </c>
      <c r="DA102" s="204">
        <f>IFERROR(AVERAGEIF(RD[[#This Row],[IS1GHI_BS1 (KWh/m2)]:[IS1GHI_BS1 (KWh/m2)2]],"&lt;&gt;0",RD[[#This Row],[IS1GHI_BS1 (KWh/m2)]:[IS1GHI_BS1 (KWh/m2)2]]),"")</f>
        <v>0.5063380916666671</v>
      </c>
      <c r="DB102" s="204">
        <f>IFERROR(AVERAGEIF(RD[[#This Row],[IS1AT1 (°C)]:[IS7AT2 (°C)]],"&lt;&gt;0",RD[[#This Row],[IS1AT1 (°C)]:[IS7AT2 (°C)]]),"")</f>
        <v>27.022203315881331</v>
      </c>
      <c r="DC102" s="204">
        <f>IFERROR(AVERAGEIF(RD[[#This Row],[IS1MT1 (°C)]:[IS7MT2 (°C)]],"&lt;&gt;0",RD[[#This Row],[IS1MT1 (°C)]:[IS7MT2 (°C)]]),"")</f>
        <v>36.257983856893546</v>
      </c>
      <c r="DD102" s="204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204">
        <f>IFERROR(AVERAGEIF(RD[[#This Row],[WS_Solar1_Avg (m/s)]:[IS7_WS_Solar1_Avg (m/s)]],"&lt;&gt;0",RD[[#This Row],[WS_Solar1_Avg (m/s)]:[IS7_WS_Solar1_Avg (m/s)]]),"")</f>
        <v>1.2928298429319356</v>
      </c>
      <c r="DG102" s="204">
        <f>IFERROR(AVERAGEIF(RD[[#This Row],[WS_Solar1_Max (m/s)]:[IS7_WS_Solar1_Max (m/s)]],"&lt;&gt;0",RD[[#This Row],[WS_Solar1_Max (m/s)]:[IS7_WS_Solar1_Max (m/s)]]),"")</f>
        <v>3.2309999999999999</v>
      </c>
      <c r="DH102" s="204">
        <f>SUM(RD[[#This Row],[IS1Inv1M1]:[IS4Inv4M2]])</f>
        <v>145427.20000000004</v>
      </c>
      <c r="DI102" s="205">
        <f>SUM(RD[[#This Row],[IS7Inv1M1]]+RD[[#This Row],[IS7Inv2M1]])</f>
        <v>8627.2999999999993</v>
      </c>
      <c r="DJ102" s="204">
        <f>SUM(RD[[#This Row],[IS5Inv1M1]:[IS5Inv2M2]])</f>
        <v>21357.7</v>
      </c>
      <c r="DK102" s="204">
        <f>SUM(RD[[#This Row],[IS8Inv1M1]:[IS9Inv2M2]])</f>
        <v>41716.200000000004</v>
      </c>
      <c r="DL102" s="60">
        <f>SUM(RD[[#This Row],[IS6Inv1M1]:[IS6Inv2M2]])</f>
        <v>21665.3</v>
      </c>
      <c r="DM102" s="286">
        <f>SUM(RD[[#This Row],[IS10Inv1M1]:[IS11Inv1M4]],RD[[#This Row],[IS14Inv1M1]:[IS14Inv2M4]])</f>
        <v>90046.9</v>
      </c>
      <c r="DN102" s="286">
        <f>SUM(RD[[#This Row],[IS12Inv1M1]:[IS12Inv1M4]])</f>
        <v>18133.5</v>
      </c>
      <c r="DO102" s="286">
        <f>SUM(RD[[#This Row],[IS13Inv1M1]:[IS13Inv2M2]])</f>
        <v>19810.2</v>
      </c>
      <c r="DP102" s="204">
        <f>SUM(RD[[#This Row],[O2R15]:[O2R26]])</f>
        <v>366784.30000000005</v>
      </c>
      <c r="DQ102" s="164">
        <v>45057</v>
      </c>
      <c r="DR102" s="168">
        <v>227.6</v>
      </c>
      <c r="DS102" s="164">
        <v>39374.400000000001</v>
      </c>
      <c r="DT102" s="164">
        <v>239.4</v>
      </c>
      <c r="DU102" s="168">
        <v>46482.3</v>
      </c>
      <c r="DV102" s="168">
        <v>444.7</v>
      </c>
      <c r="DW102" s="164">
        <v>10687.5</v>
      </c>
      <c r="DX102" s="168">
        <v>56</v>
      </c>
      <c r="DY102" s="168">
        <v>3957.7</v>
      </c>
      <c r="DZ102" s="168">
        <v>20</v>
      </c>
      <c r="EA102" s="140">
        <v>107.28</v>
      </c>
      <c r="EB102" s="241">
        <v>149585362</v>
      </c>
      <c r="EC102" s="240">
        <v>1058098.8799999999</v>
      </c>
      <c r="ED102" s="241">
        <v>1270</v>
      </c>
      <c r="EE102" s="241">
        <v>143788</v>
      </c>
      <c r="EF102" s="164">
        <v>207393.3</v>
      </c>
      <c r="EG102" s="164">
        <v>2036.1</v>
      </c>
      <c r="EH102" s="146">
        <f>IF((RD[[#This Row],[33 kV_F3_Ex
Incomer1]]-DQ101)*1000&lt;0,0,(RD[[#This Row],[33 kV_F3_Ex
Incomer1]]-DQ101)*1000)</f>
        <v>73400.000000001455</v>
      </c>
      <c r="EI102" s="146">
        <f>IF((RD[[#This Row],[34 kV_F3_Im
Incomer1]]-DR101)*1000&lt;0,0,(RD[[#This Row],[34 kV_F3_Im
Incomer1]]-DR101)*1000)</f>
        <v>199.99999999998863</v>
      </c>
      <c r="EJ102" s="146">
        <f>IF((RD[[#This Row],[33 kV_F4_Ex
Incomer2]]-DS101)*1000&lt;0,0,(RD[[#This Row],[33 kV_F4_Ex
Incomer2]]-DS101)*1000)</f>
        <v>68599.999999998545</v>
      </c>
      <c r="EK102" s="146">
        <f>IF((RD[[#This Row],[34 kV_F4_Im
Incomer2]]-DT101)*1000&lt;0,0,(RD[[#This Row],[34 kV_F4_Im
Incomer2]]-DT101)*1000)</f>
        <v>300.00000000001137</v>
      </c>
      <c r="EL102" s="146">
        <f>IF((RD[[#This Row],[33 kV_F5_Ex
Incomer3]]-DU101)*1000&lt;0,0,(RD[[#This Row],[33 kV_F5_Ex
Incomer3]]-DU101)*1000)</f>
        <v>92900.000000001455</v>
      </c>
      <c r="EM102" s="146">
        <f>IF((RD[[#This Row],[34 kV_F5_Im
Incomer3]]-DV101)*1000&lt;0,0,(RD[[#This Row],[34 kV_F5_Im
Incomer3]]-DV101)*1000)</f>
        <v>1199.9999999999886</v>
      </c>
      <c r="EN102" s="146">
        <f>IF((RD[[#This Row],[33 kV_F6_Ex
Incomer4]]-DW101)*1000&lt;0,0,(RD[[#This Row],[33 kV_F6_Ex
Incomer4]]-DW101)*1000)</f>
        <v>26399.999999999636</v>
      </c>
      <c r="EO102" s="146">
        <f t="shared" si="166"/>
        <v>400.00000000000568</v>
      </c>
      <c r="EP102" s="146">
        <f>IF((RD[[#This Row],[33 kV_F7_Ex
Incomer5]]-DY101)*1000&lt;0,0,(RD[[#This Row],[33 kV_F7_Ex
Incomer5]]-DY101)*1000)</f>
        <v>84799.999999999724</v>
      </c>
      <c r="EQ102" s="146">
        <f>IF((RD[[#This Row],[33 kV_F7_Im
Incomer5]]-DZ101)*1000&lt;0,0,(RD[[#This Row],[33 kV_F7_Im
Incomer5]]-DZ101)*1000)</f>
        <v>600.00000000000136</v>
      </c>
      <c r="ER102" s="146">
        <f>IF((RD[[#This Row],[33 kV_Aux Trafo]]-EA101)*1000&lt;0,0,(RD[[#This Row],[33 kV_Aux Trafo]]-EA101)*1000)</f>
        <v>230.00000000000398</v>
      </c>
      <c r="ES102" s="158">
        <f>IF((RD[[#This Row],[33kV_OG1_Ex_]]-EB101)*1&lt;0,0,(RD[[#This Row],[33kV_OG1_Ex_]]-EB101)*1)</f>
        <v>364625</v>
      </c>
      <c r="ET102" s="146">
        <f>IF((RD[[#This Row],[33kV_OG1_Im]]-EC101)*1&lt;0,0,(RD[[#This Row],[33kV_OG1_Im]]-EC101)*1)</f>
        <v>3025.0239999999758</v>
      </c>
      <c r="EU102" s="146">
        <f>IF((RD[[#This Row],[132kV_TX1_EX]]-ED101)*720&lt;=0,"",(RD[[#This Row],[132kV_TX1_EX]]-ED101)*720)</f>
        <v>2880</v>
      </c>
      <c r="EV102" s="146">
        <f>IF((RD[[#This Row],[132 kV_Tx1_Im]]-EE101)*720&lt;=0,0,(RD[[#This Row],[132 kV_Tx1_Im]]-EE101)*720)</f>
        <v>261360</v>
      </c>
      <c r="EW102" s="146">
        <f>IF((RD[[#This Row],[132kV_L1_Ex]]-EF101)*720&lt;=0,0,(RD[[#This Row],[132kV_L1_Ex]]-EF101)*720)</f>
        <v>363600</v>
      </c>
      <c r="EX102" s="146">
        <f>IF((RD[[#This Row],[132kV_L1_Im]]-EG101)*720&lt;=0,0,(RD[[#This Row],[132kV_L1_Im]]-EG101)*720)</f>
        <v>3600</v>
      </c>
      <c r="EY102" s="242">
        <f>IFERROR(RD[[#This Row],[33kV_OG1_Ex (MWh)]]+RD[[#This Row],[33kV_OG1_Im (MWh)]],"")</f>
        <v>367650.02399999998</v>
      </c>
      <c r="EZ102" s="148">
        <f>RD[[#This Row],[33kV_OG1_Ex (MWh)]]-RD[[#This Row],[33kV_OG1_Im (MWh)]]</f>
        <v>361599.97600000002</v>
      </c>
      <c r="FA102" s="148">
        <f>IFERROR(RD[[#This Row],[132kV_L1_Ex(MWh)]]-RD[[#This Row],[132kV_L1_Im(MWh)]],"")</f>
        <v>360000</v>
      </c>
      <c r="FB102" s="297">
        <f>IFERROR(RD[[#This Row],[33kV_Ex(MWh)]]/RD[[#This Row],[Inv Total Gneration (MWh)]]-1,"")</f>
        <v>2.3603082247520835E-3</v>
      </c>
      <c r="FC102" s="243">
        <f>IFERROR((RD[[#This Row],[Sunset Time (POA&lt;20 W/m2)]]-RD[[#This Row],[Sunrise Time (POA&gt;20 W/m2)]])*24,0)</f>
        <v>12.366666666666667</v>
      </c>
      <c r="FD102" s="244">
        <v>128.08000000000001</v>
      </c>
      <c r="FE102" s="303" t="s">
        <v>306</v>
      </c>
      <c r="FG102" s="144" t="str">
        <f>IFERROR(RD[[#This Row],[E_AC (WPR)]]/RD[[#This Row],[E_DC (WPR)]],"")</f>
        <v/>
      </c>
    </row>
    <row r="103" spans="1:163">
      <c r="A103" s="133">
        <f t="shared" ref="A103:A135" si="167">A102+1</f>
        <v>45843</v>
      </c>
      <c r="B103" s="138">
        <f>YEAR(RD[[#This Row],[Date]])+IF(MONTH(RD[[#This Row],[Date]])&gt;=4,1,0)</f>
        <v>2026</v>
      </c>
      <c r="C103" s="138">
        <f>YEAR(RD[[#This Row],[Date]])</f>
        <v>2025</v>
      </c>
      <c r="D103" s="139">
        <f t="shared" ref="D103:D104" si="168">A103-DAY(A103)+1</f>
        <v>45839</v>
      </c>
      <c r="E103" s="138">
        <f>DAY(EOMONTH(RD[[#This Row],[Date]],0))</f>
        <v>31</v>
      </c>
      <c r="F103" s="152">
        <v>0.25486111111111109</v>
      </c>
      <c r="G103" s="162">
        <v>0.77361111111111114</v>
      </c>
      <c r="H103" s="124">
        <v>4028.3</v>
      </c>
      <c r="I103" s="268">
        <v>4039.9</v>
      </c>
      <c r="J103" s="124">
        <v>3756.2</v>
      </c>
      <c r="K103" s="124">
        <v>3699.1</v>
      </c>
      <c r="L103" s="124">
        <v>3824.1</v>
      </c>
      <c r="M103" s="124">
        <v>3968.7</v>
      </c>
      <c r="N103" s="124">
        <v>3874.4</v>
      </c>
      <c r="O103" s="124">
        <v>4242.5</v>
      </c>
      <c r="P103" s="124">
        <v>3974</v>
      </c>
      <c r="Q103" s="124">
        <v>3842.2</v>
      </c>
      <c r="R103" s="124">
        <v>3933.2</v>
      </c>
      <c r="S103" s="266">
        <v>4014.3</v>
      </c>
      <c r="T103" s="124">
        <v>4127.1000000000004</v>
      </c>
      <c r="U103" s="124">
        <v>3928.6</v>
      </c>
      <c r="V103" s="124">
        <v>4081.6</v>
      </c>
      <c r="W103" s="124">
        <v>3940.2</v>
      </c>
      <c r="X103" s="294">
        <v>5103.1000000000004</v>
      </c>
      <c r="Y103" s="203">
        <v>5767</v>
      </c>
      <c r="Z103" s="203">
        <v>4976.2</v>
      </c>
      <c r="AA103" s="203">
        <v>5221.8999999999996</v>
      </c>
      <c r="AB103" s="294">
        <v>6028.1</v>
      </c>
      <c r="AC103" s="203">
        <v>3631.9</v>
      </c>
      <c r="AD103" s="203">
        <v>5563.1</v>
      </c>
      <c r="AE103" s="203">
        <v>5648.3</v>
      </c>
      <c r="AF103" s="294">
        <v>3587</v>
      </c>
      <c r="AG103" s="203">
        <v>3588</v>
      </c>
      <c r="AH103" s="203">
        <v>5509.6</v>
      </c>
      <c r="AI103" s="294">
        <v>5523.9</v>
      </c>
      <c r="AJ103" s="142">
        <v>4559.3</v>
      </c>
      <c r="AK103" s="142">
        <v>4708.8999999999996</v>
      </c>
      <c r="AL103" s="142">
        <v>4645.3</v>
      </c>
      <c r="AM103" s="142">
        <v>4681</v>
      </c>
      <c r="AN103" s="142">
        <v>4682.3999999999996</v>
      </c>
      <c r="AO103" s="142">
        <v>4864.8999999999996</v>
      </c>
      <c r="AP103" s="142">
        <v>4793.8</v>
      </c>
      <c r="AQ103" s="142">
        <v>4744.8</v>
      </c>
      <c r="AR103" s="142">
        <v>3780.8</v>
      </c>
      <c r="AS103" s="142">
        <v>3806.8</v>
      </c>
      <c r="AT103" s="142">
        <v>3807.3</v>
      </c>
      <c r="AU103" s="142">
        <v>3764</v>
      </c>
      <c r="AV103" s="142">
        <v>3859.9</v>
      </c>
      <c r="AW103" s="142">
        <v>3804.7</v>
      </c>
      <c r="AX103" s="142">
        <v>5446.2</v>
      </c>
      <c r="AY103" s="142">
        <v>6226.6</v>
      </c>
      <c r="AZ103" s="142">
        <v>4512.2</v>
      </c>
      <c r="BA103" s="142">
        <v>5498</v>
      </c>
      <c r="BB103" s="142">
        <v>5431.3</v>
      </c>
      <c r="BC103" s="142">
        <v>5230.8999999999996</v>
      </c>
      <c r="BD103" s="142">
        <v>2216.1</v>
      </c>
      <c r="BE103" s="142">
        <v>16</v>
      </c>
      <c r="BF103" s="142">
        <v>5805.2</v>
      </c>
      <c r="BG103" s="142">
        <v>5781.5</v>
      </c>
      <c r="BH103" s="142">
        <v>5793.2</v>
      </c>
      <c r="BI103" s="142">
        <v>5970.3</v>
      </c>
      <c r="BJ103" s="142">
        <v>3878.1</v>
      </c>
      <c r="BK103" s="142">
        <v>3091.9</v>
      </c>
      <c r="BL103" s="142">
        <v>3744.3</v>
      </c>
      <c r="BM103" s="142">
        <v>3715.4</v>
      </c>
      <c r="BN103" s="142">
        <v>4074</v>
      </c>
      <c r="BO103" s="142">
        <v>3922.6</v>
      </c>
      <c r="BP103" s="142">
        <v>4280.3999999999996</v>
      </c>
      <c r="BQ103" s="142">
        <v>4204.1000000000004</v>
      </c>
      <c r="BR103" s="142">
        <v>4313.3</v>
      </c>
      <c r="BS103" s="142">
        <v>4653.3999999999996</v>
      </c>
      <c r="BT103" s="142">
        <v>4530</v>
      </c>
      <c r="BU103" s="142">
        <v>4815</v>
      </c>
      <c r="BV103" s="203">
        <v>3815.9</v>
      </c>
      <c r="BW103" s="203">
        <v>3522.8</v>
      </c>
      <c r="BX103" s="203">
        <v>3248.7</v>
      </c>
      <c r="BY103" s="203">
        <v>3711.1</v>
      </c>
      <c r="BZ103" s="142">
        <v>1651.5</v>
      </c>
      <c r="CA103" s="142">
        <v>473.2</v>
      </c>
      <c r="CB103" s="142">
        <v>3634</v>
      </c>
      <c r="CC103" s="142">
        <v>3936.8</v>
      </c>
      <c r="CD103" s="206">
        <v>3.248289999999999</v>
      </c>
      <c r="CE103" s="59">
        <v>2.9168935666666678</v>
      </c>
      <c r="CF103" s="206">
        <v>2.5364738999999976</v>
      </c>
      <c r="CG103" s="206">
        <v>2.9056410499999989</v>
      </c>
      <c r="CH103" s="206">
        <v>0.35943033333333274</v>
      </c>
      <c r="CI103" s="206">
        <v>0.4003850499999998</v>
      </c>
      <c r="CJ103" s="59">
        <v>0.48949196666666683</v>
      </c>
      <c r="CK103" s="59">
        <v>0.42564515000000014</v>
      </c>
      <c r="CL103" s="206">
        <v>26.795273338940333</v>
      </c>
      <c r="CM103" s="206">
        <v>26.039108494533266</v>
      </c>
      <c r="CN103" s="206">
        <v>36.167381833473499</v>
      </c>
      <c r="CO103" s="206">
        <v>33.540737594617298</v>
      </c>
      <c r="CP103" s="206">
        <v>90.042220353237923</v>
      </c>
      <c r="CQ103" s="206">
        <v>89.661690496215371</v>
      </c>
      <c r="CR103" s="206">
        <v>0.65601345668629418</v>
      </c>
      <c r="CS103" s="59">
        <v>0.68363330529857158</v>
      </c>
      <c r="CT103" s="206">
        <v>0.94824474348191679</v>
      </c>
      <c r="CU103" s="206">
        <v>1.0150193439865434</v>
      </c>
      <c r="CV103" s="206">
        <v>3.99</v>
      </c>
      <c r="CW103" s="258">
        <v>4.6710000000000003</v>
      </c>
      <c r="CX103" s="204">
        <f>IFERROR(AVERAGEIF(RD[[#This Row],[IS1POA1 (KWh/m2)]:[IS7POA2 (KWh/m2)]],"&lt;&gt;0",RD[[#This Row],[IS1POA1 (KWh/m2)]:[IS7POA2 (KWh/m2)]]),"")</f>
        <v>3.0825917833333332</v>
      </c>
      <c r="CY103" s="204">
        <f>IFERROR(AVERAGEIF(RD[[#This Row],[IS1GHI1 (KWh/m2)]:[IS7GHI2 (KWh/m2)]],"&lt;&gt;0",RD[[#This Row],[IS1GHI1 (KWh/m2)]:[IS7GHI2 (KWh/m2)]]),"")</f>
        <v>2.7210574749999985</v>
      </c>
      <c r="CZ103" s="204">
        <f>IFERROR(AVERAGEIF(RD[[#This Row],[IS1POA_BS1 (KWh/m2)]:[IS7POA_BS2 (KWh/m2)]],"&lt;&gt;0",RD[[#This Row],[IS1POA_BS1 (KWh/m2)]:[IS7POA_BS2 (KWh/m2)]]),"")</f>
        <v>0.37990769166666627</v>
      </c>
      <c r="DA103" s="204">
        <f>IFERROR(AVERAGEIF(RD[[#This Row],[IS1GHI_BS1 (KWh/m2)]:[IS1GHI_BS1 (KWh/m2)2]],"&lt;&gt;0",RD[[#This Row],[IS1GHI_BS1 (KWh/m2)]:[IS1GHI_BS1 (KWh/m2)2]]),"")</f>
        <v>0.45756855833333349</v>
      </c>
      <c r="DB103" s="204">
        <f>IFERROR(AVERAGEIF(RD[[#This Row],[IS1AT1 (°C)]:[IS7AT2 (°C)]],"&lt;&gt;0",RD[[#This Row],[IS1AT1 (°C)]:[IS7AT2 (°C)]]),"")</f>
        <v>26.4171909167368</v>
      </c>
      <c r="DC103" s="204">
        <f>IFERROR(AVERAGEIF(RD[[#This Row],[IS1MT1 (°C)]:[IS7MT2 (°C)]],"&lt;&gt;0",RD[[#This Row],[IS1MT1 (°C)]:[IS7MT2 (°C)]]),"")</f>
        <v>34.854059714045398</v>
      </c>
      <c r="DD103" s="204">
        <f>IFERROR(AVERAGEIF(RD[[#This Row],[IS1RH1 (%)]:[IS7RH2 (%)]],"&lt;&gt;0",RD[[#This Row],[IS1RH1 (%)]:[IS7RH2 (%)]]),"")</f>
        <v>89.85195542472664</v>
      </c>
      <c r="DE103" s="204">
        <f>IFERROR(AVERAGEIF(RD[[#This Row],[IS1Rain1 (mm)]:[IS7Rain2 (mm)]],"&lt;&gt;0",RD[[#This Row],[IS1Rain1 (mm)]:[IS7Rain2 (mm)]]),"")</f>
        <v>0.66982338099243288</v>
      </c>
      <c r="DF103" s="204">
        <f>IFERROR(AVERAGEIF(RD[[#This Row],[WS_Solar1_Avg (m/s)]:[IS7_WS_Solar1_Avg (m/s)]],"&lt;&gt;0",RD[[#This Row],[WS_Solar1_Avg (m/s)]:[IS7_WS_Solar1_Avg (m/s)]]),"")</f>
        <v>0.98163204373423008</v>
      </c>
      <c r="DG103" s="204">
        <f>IFERROR(AVERAGEIF(RD[[#This Row],[WS_Solar1_Max (m/s)]:[IS7_WS_Solar1_Max (m/s)]],"&lt;&gt;0",RD[[#This Row],[WS_Solar1_Max (m/s)]:[IS7_WS_Solar1_Max (m/s)]]),"")</f>
        <v>4.3305000000000007</v>
      </c>
      <c r="DH103" s="204">
        <f>SUM(RD[[#This Row],[IS1Inv1M1]:[IS4Inv4M2]])</f>
        <v>123422.5</v>
      </c>
      <c r="DI103" s="205">
        <f>SUM(RD[[#This Row],[IS7Inv1M1]]+RD[[#This Row],[IS7Inv2M1]])</f>
        <v>7587.6</v>
      </c>
      <c r="DJ103" s="204">
        <f>SUM(RD[[#This Row],[IS5Inv1M1]:[IS5Inv2M2]])</f>
        <v>18594.5</v>
      </c>
      <c r="DK103" s="204">
        <f>SUM(RD[[#This Row],[IS8Inv1M1]:[IS9Inv2M2]])</f>
        <v>36918.900000000009</v>
      </c>
      <c r="DL103" s="60">
        <f>SUM(RD[[#This Row],[IS6Inv1M1]:[IS6Inv2M2]])</f>
        <v>19085.899999999998</v>
      </c>
      <c r="DM103" s="286">
        <f>SUM(RD[[#This Row],[IS10Inv1M1]:[IS11Inv1M4]],RD[[#This Row],[IS14Inv1M1]:[IS14Inv2M4]])</f>
        <v>74668.200000000012</v>
      </c>
      <c r="DN103" s="286">
        <f>SUM(RD[[#This Row],[IS12Inv1M1]:[IS12Inv1M4]])</f>
        <v>16481.099999999999</v>
      </c>
      <c r="DO103" s="286">
        <f>SUM(RD[[#This Row],[IS13Inv1M1]:[IS13Inv2M2]])</f>
        <v>18311.7</v>
      </c>
      <c r="DP103" s="204">
        <f>SUM(RD[[#This Row],[O2R15]:[O2R26]])</f>
        <v>315070.39999999997</v>
      </c>
      <c r="DQ103" s="164">
        <v>45117</v>
      </c>
      <c r="DR103" s="168">
        <v>228</v>
      </c>
      <c r="DS103" s="164">
        <v>39435</v>
      </c>
      <c r="DT103" s="164">
        <v>239.8</v>
      </c>
      <c r="DU103" s="168">
        <v>46563.9</v>
      </c>
      <c r="DV103" s="168">
        <v>446.1</v>
      </c>
      <c r="DW103" s="164">
        <v>10711.4</v>
      </c>
      <c r="DX103" s="168">
        <v>56.1</v>
      </c>
      <c r="DY103" s="168">
        <v>4028.7</v>
      </c>
      <c r="DZ103" s="168">
        <v>20.399999999999999</v>
      </c>
      <c r="EA103" s="140">
        <v>107.53</v>
      </c>
      <c r="EB103" s="241">
        <v>149898346</v>
      </c>
      <c r="EC103" s="240">
        <v>1061085.3759999999</v>
      </c>
      <c r="ED103" s="241">
        <v>1274</v>
      </c>
      <c r="EE103" s="241">
        <v>144100</v>
      </c>
      <c r="EF103" s="164">
        <v>207826.6</v>
      </c>
      <c r="EG103" s="164">
        <v>2040.9</v>
      </c>
      <c r="EH103" s="146">
        <f>IF((RD[[#This Row],[33 kV_F3_Ex
Incomer1]]-DQ102)*1000&lt;0,0,(RD[[#This Row],[33 kV_F3_Ex
Incomer1]]-DQ102)*1000)</f>
        <v>60000</v>
      </c>
      <c r="EI103" s="146">
        <f>IF((RD[[#This Row],[34 kV_F3_Im
Incomer1]]-DR102)*1000&lt;0,0,(RD[[#This Row],[34 kV_F3_Im
Incomer1]]-DR102)*1000)</f>
        <v>400.00000000000568</v>
      </c>
      <c r="EJ103" s="146">
        <f>IF((RD[[#This Row],[33 kV_F4_Ex
Incomer2]]-DS102)*1000&lt;0,0,(RD[[#This Row],[33 kV_F4_Ex
Incomer2]]-DS102)*1000)</f>
        <v>60599.999999998545</v>
      </c>
      <c r="EK103" s="146">
        <f>IF((RD[[#This Row],[34 kV_F4_Im
Incomer2]]-DT102)*1000&lt;0,0,(RD[[#This Row],[34 kV_F4_Im
Incomer2]]-DT102)*1000)</f>
        <v>400.00000000000568</v>
      </c>
      <c r="EL103" s="146">
        <f>IF((RD[[#This Row],[33 kV_F5_Ex
Incomer3]]-DU102)*1000&lt;0,0,(RD[[#This Row],[33 kV_F5_Ex
Incomer3]]-DU102)*1000)</f>
        <v>81599.999999998545</v>
      </c>
      <c r="EM103" s="146">
        <f>IF((RD[[#This Row],[34 kV_F5_Im
Incomer3]]-DV102)*1000&lt;0,0,(RD[[#This Row],[34 kV_F5_Im
Incomer3]]-DV102)*1000)</f>
        <v>1400.0000000000341</v>
      </c>
      <c r="EN103" s="146">
        <f>IF((RD[[#This Row],[33 kV_F6_Ex
Incomer4]]-DW102)*1000&lt;0,0,(RD[[#This Row],[33 kV_F6_Ex
Incomer4]]-DW102)*1000)</f>
        <v>23899.999999999636</v>
      </c>
      <c r="EO103" s="146">
        <f t="shared" si="166"/>
        <v>300.00000000001137</v>
      </c>
      <c r="EP103" s="146">
        <f>IF((RD[[#This Row],[33 kV_F7_Ex
Incomer5]]-DY102)*1000&lt;0,0,(RD[[#This Row],[33 kV_F7_Ex
Incomer5]]-DY102)*1000)</f>
        <v>71000</v>
      </c>
      <c r="EQ103" s="146">
        <f>IF((RD[[#This Row],[33 kV_F7_Im
Incomer5]]-DZ102)*1000&lt;0,0,(RD[[#This Row],[33 kV_F7_Im
Incomer5]]-DZ102)*1000)</f>
        <v>399.99999999999858</v>
      </c>
      <c r="ER103" s="146">
        <f>IF((RD[[#This Row],[33 kV_Aux Trafo]]-EA102)*1000&lt;0,0,(RD[[#This Row],[33 kV_Aux Trafo]]-EA102)*1000)</f>
        <v>250</v>
      </c>
      <c r="ES103" s="158">
        <f>IF((RD[[#This Row],[33kV_OG1_Ex_]]-EB102)*1&lt;0,0,(RD[[#This Row],[33kV_OG1_Ex_]]-EB102)*1)</f>
        <v>312984</v>
      </c>
      <c r="ET103" s="146">
        <f>IF((RD[[#This Row],[33kV_OG1_Im]]-EC102)*1&lt;0,0,(RD[[#This Row],[33kV_OG1_Im]]-EC102)*1)</f>
        <v>2986.4960000000428</v>
      </c>
      <c r="EU103" s="146">
        <f>IF((RD[[#This Row],[132kV_TX1_EX]]-ED102)*720&lt;=0,"",(RD[[#This Row],[132kV_TX1_EX]]-ED102)*720)</f>
        <v>2880</v>
      </c>
      <c r="EV103" s="146">
        <f>IF((RD[[#This Row],[132 kV_Tx1_Im]]-EE102)*720&lt;=0,0,(RD[[#This Row],[132 kV_Tx1_Im]]-EE102)*720)</f>
        <v>224640</v>
      </c>
      <c r="EW103" s="146">
        <f>IF((RD[[#This Row],[132kV_L1_Ex]]-EF102)*720&lt;=0,0,(RD[[#This Row],[132kV_L1_Ex]]-EF102)*720)</f>
        <v>311976.00000001257</v>
      </c>
      <c r="EX103" s="146">
        <f>IF((RD[[#This Row],[132kV_L1_Im]]-EG102)*720&lt;=0,0,(RD[[#This Row],[132kV_L1_Im]]-EG102)*720)</f>
        <v>3456.000000000131</v>
      </c>
      <c r="EY103" s="242">
        <f>IFERROR(RD[[#This Row],[33kV_OG1_Ex (MWh)]]+RD[[#This Row],[33kV_OG1_Im (MWh)]],"")</f>
        <v>315970.49600000004</v>
      </c>
      <c r="EZ103" s="148">
        <f>RD[[#This Row],[33kV_OG1_Ex (MWh)]]-RD[[#This Row],[33kV_OG1_Im (MWh)]]</f>
        <v>309997.50399999996</v>
      </c>
      <c r="FA103" s="148">
        <f>IFERROR(RD[[#This Row],[132kV_L1_Ex(MWh)]]-RD[[#This Row],[132kV_L1_Im(MWh)]],"")</f>
        <v>308520.00000001246</v>
      </c>
      <c r="FB103" s="297">
        <f>IFERROR(RD[[#This Row],[33kV_Ex(MWh)]]/RD[[#This Row],[Inv Total Gneration (MWh)]]-1,"")</f>
        <v>2.8568091448770705E-3</v>
      </c>
      <c r="FC103" s="243">
        <f>IFERROR((RD[[#This Row],[Sunset Time (POA&lt;20 W/m2)]]-RD[[#This Row],[Sunrise Time (POA&gt;20 W/m2)]])*24,0)</f>
        <v>12.450000000000001</v>
      </c>
      <c r="FD103" s="244">
        <v>128.08000000000001</v>
      </c>
      <c r="FE103" s="303" t="s">
        <v>307</v>
      </c>
      <c r="FG103" s="144" t="str">
        <f>IFERROR(RD[[#This Row],[E_AC (WPR)]]/RD[[#This Row],[E_DC (WPR)]],"")</f>
        <v/>
      </c>
    </row>
    <row r="104" spans="1:163">
      <c r="A104" s="133">
        <f t="shared" si="167"/>
        <v>45844</v>
      </c>
      <c r="B104" s="138">
        <f>YEAR(RD[[#This Row],[Date]])+IF(MONTH(RD[[#This Row],[Date]])&gt;=4,1,0)</f>
        <v>2026</v>
      </c>
      <c r="C104" s="138">
        <f>YEAR(RD[[#This Row],[Date]])</f>
        <v>2025</v>
      </c>
      <c r="D104" s="139">
        <f t="shared" si="168"/>
        <v>45839</v>
      </c>
      <c r="E104" s="138">
        <f>DAY(EOMONTH(RD[[#This Row],[Date]],0))</f>
        <v>31</v>
      </c>
      <c r="F104" s="152">
        <v>0.25972222222222224</v>
      </c>
      <c r="G104" s="162">
        <v>0.78541666666666665</v>
      </c>
      <c r="H104" s="124">
        <v>3791.9</v>
      </c>
      <c r="I104" s="268">
        <v>3770</v>
      </c>
      <c r="J104" s="124">
        <v>3530.3</v>
      </c>
      <c r="K104" s="124">
        <v>3577.4</v>
      </c>
      <c r="L104" s="124">
        <v>3733</v>
      </c>
      <c r="M104" s="124">
        <v>3844.4</v>
      </c>
      <c r="N104" s="124">
        <v>3692.9</v>
      </c>
      <c r="O104" s="124">
        <v>4065.6</v>
      </c>
      <c r="P104" s="124">
        <v>3719.7</v>
      </c>
      <c r="Q104" s="124">
        <v>3672.8</v>
      </c>
      <c r="R104" s="124">
        <v>3732.6</v>
      </c>
      <c r="S104" s="266">
        <v>3767.8</v>
      </c>
      <c r="T104" s="124">
        <v>3864.7</v>
      </c>
      <c r="U104" s="124">
        <v>3692.6</v>
      </c>
      <c r="V104" s="124">
        <v>3843</v>
      </c>
      <c r="W104" s="124">
        <v>3675.3</v>
      </c>
      <c r="X104" s="294">
        <v>5205.7</v>
      </c>
      <c r="Y104" s="203">
        <v>5851.8</v>
      </c>
      <c r="Z104" s="203">
        <v>5077.5</v>
      </c>
      <c r="AA104" s="203">
        <v>5300.9</v>
      </c>
      <c r="AB104" s="294">
        <v>5606.6</v>
      </c>
      <c r="AC104" s="203">
        <v>3397.7</v>
      </c>
      <c r="AD104" s="203">
        <v>5212.3</v>
      </c>
      <c r="AE104" s="203">
        <v>5352.7</v>
      </c>
      <c r="AF104" s="294">
        <v>5133</v>
      </c>
      <c r="AG104" s="203">
        <v>5164</v>
      </c>
      <c r="AH104" s="203">
        <v>5166</v>
      </c>
      <c r="AI104" s="294">
        <v>5206.3999999999996</v>
      </c>
      <c r="AJ104" s="142">
        <v>4434.2</v>
      </c>
      <c r="AK104" s="142">
        <v>4574.8</v>
      </c>
      <c r="AL104" s="142">
        <v>4497.1000000000004</v>
      </c>
      <c r="AM104" s="142">
        <v>4554.1000000000004</v>
      </c>
      <c r="AN104" s="142">
        <v>4511.8</v>
      </c>
      <c r="AO104" s="142">
        <v>4664.5</v>
      </c>
      <c r="AP104" s="142">
        <v>4585.1000000000004</v>
      </c>
      <c r="AQ104" s="142">
        <v>4541.8</v>
      </c>
      <c r="AR104" s="142">
        <v>3610</v>
      </c>
      <c r="AS104" s="142">
        <v>3637.3</v>
      </c>
      <c r="AT104" s="142">
        <v>3654.3</v>
      </c>
      <c r="AU104" s="142">
        <v>3638.3</v>
      </c>
      <c r="AV104" s="142">
        <v>3720.7</v>
      </c>
      <c r="AW104" s="142">
        <v>3658.6</v>
      </c>
      <c r="AX104" s="142">
        <v>5187.3999999999996</v>
      </c>
      <c r="AY104" s="142">
        <v>5825.4</v>
      </c>
      <c r="AZ104" s="142">
        <v>4200.3</v>
      </c>
      <c r="BA104" s="142">
        <v>5133.7</v>
      </c>
      <c r="BB104" s="142">
        <v>4369.5</v>
      </c>
      <c r="BC104" s="142">
        <v>4215.1000000000004</v>
      </c>
      <c r="BD104" s="142">
        <v>2622.1</v>
      </c>
      <c r="BE104" s="142">
        <v>35.200000000000003</v>
      </c>
      <c r="BF104" s="142">
        <v>5354.1</v>
      </c>
      <c r="BG104" s="142">
        <v>5404.3</v>
      </c>
      <c r="BH104" s="142">
        <v>5281.1</v>
      </c>
      <c r="BI104" s="142">
        <v>5463.9</v>
      </c>
      <c r="BJ104" s="142">
        <v>3510.7</v>
      </c>
      <c r="BK104" s="142">
        <v>2786.7</v>
      </c>
      <c r="BL104" s="142">
        <v>3356.3</v>
      </c>
      <c r="BM104" s="142">
        <v>3336.3</v>
      </c>
      <c r="BN104" s="142">
        <v>3668.1</v>
      </c>
      <c r="BO104" s="142">
        <v>3511.1</v>
      </c>
      <c r="BP104" s="142">
        <v>3863.5</v>
      </c>
      <c r="BQ104" s="142">
        <v>3790.9</v>
      </c>
      <c r="BR104" s="142">
        <v>3929</v>
      </c>
      <c r="BS104" s="142">
        <v>4202</v>
      </c>
      <c r="BT104" s="142">
        <v>3779</v>
      </c>
      <c r="BU104" s="142">
        <v>4348</v>
      </c>
      <c r="BV104" s="203">
        <v>3550.8</v>
      </c>
      <c r="BW104" s="203">
        <v>3253.5</v>
      </c>
      <c r="BX104" s="203">
        <v>3044.4</v>
      </c>
      <c r="BY104" s="203">
        <v>3449</v>
      </c>
      <c r="BZ104" s="142">
        <v>1520.5</v>
      </c>
      <c r="CA104" s="142">
        <v>416.3</v>
      </c>
      <c r="CB104" s="142">
        <v>3337.2</v>
      </c>
      <c r="CC104" s="142">
        <v>3628.7</v>
      </c>
      <c r="CD104" s="206">
        <v>3.0486908833333359</v>
      </c>
      <c r="CE104" s="59">
        <v>2.7096137666666618</v>
      </c>
      <c r="CF104" s="206">
        <v>2.3901515999999994</v>
      </c>
      <c r="CG104" s="206">
        <v>2.7175706999999951</v>
      </c>
      <c r="CH104" s="206">
        <v>0.38685048333333283</v>
      </c>
      <c r="CI104" s="206">
        <v>0.35228378333333327</v>
      </c>
      <c r="CJ104" s="59">
        <v>0.44734640000000037</v>
      </c>
      <c r="CK104" s="59">
        <v>0.37498316666666731</v>
      </c>
      <c r="CL104" s="206">
        <v>26.194365012615545</v>
      </c>
      <c r="CM104" s="206">
        <v>25.654583683767843</v>
      </c>
      <c r="CN104" s="206">
        <v>35.214893187552526</v>
      </c>
      <c r="CO104" s="206">
        <v>32.237786375105124</v>
      </c>
      <c r="CP104" s="206">
        <v>91.322624053826758</v>
      </c>
      <c r="CQ104" s="206">
        <v>90.898141295206074</v>
      </c>
      <c r="CR104" s="206">
        <v>0.40370058873002573</v>
      </c>
      <c r="CS104" s="59">
        <v>0.2926829268292675</v>
      </c>
      <c r="CT104" s="206">
        <v>1.169439865433137</v>
      </c>
      <c r="CU104" s="206">
        <v>1.2872119428090827</v>
      </c>
      <c r="CV104" s="206">
        <v>3.726</v>
      </c>
      <c r="CW104" s="258">
        <v>3.492</v>
      </c>
      <c r="CX104" s="204">
        <f>IFERROR(AVERAGEIF(RD[[#This Row],[IS1POA1 (KWh/m2)]:[IS7POA2 (KWh/m2)]],"&lt;&gt;0",RD[[#This Row],[IS1POA1 (KWh/m2)]:[IS7POA2 (KWh/m2)]]),"")</f>
        <v>2.8791523249999988</v>
      </c>
      <c r="CY104" s="204">
        <f>IFERROR(AVERAGEIF(RD[[#This Row],[IS1GHI1 (KWh/m2)]:[IS7GHI2 (KWh/m2)]],"&lt;&gt;0",RD[[#This Row],[IS1GHI1 (KWh/m2)]:[IS7GHI2 (KWh/m2)]]),"")</f>
        <v>2.5538611499999972</v>
      </c>
      <c r="CZ104" s="204">
        <f>IFERROR(AVERAGEIF(RD[[#This Row],[IS1POA_BS1 (KWh/m2)]:[IS7POA_BS2 (KWh/m2)]],"&lt;&gt;0",RD[[#This Row],[IS1POA_BS1 (KWh/m2)]:[IS7POA_BS2 (KWh/m2)]]),"")</f>
        <v>0.36956713333333302</v>
      </c>
      <c r="DA104" s="204">
        <f>IFERROR(AVERAGEIF(RD[[#This Row],[IS1GHI_BS1 (KWh/m2)]:[IS1GHI_BS1 (KWh/m2)2]],"&lt;&gt;0",RD[[#This Row],[IS1GHI_BS1 (KWh/m2)]:[IS1GHI_BS1 (KWh/m2)2]]),"")</f>
        <v>0.41116478333333384</v>
      </c>
      <c r="DB104" s="204">
        <f>IFERROR(AVERAGEIF(RD[[#This Row],[IS1AT1 (°C)]:[IS7AT2 (°C)]],"&lt;&gt;0",RD[[#This Row],[IS1AT1 (°C)]:[IS7AT2 (°C)]]),"")</f>
        <v>25.924474348191694</v>
      </c>
      <c r="DC104" s="204">
        <f>IFERROR(AVERAGEIF(RD[[#This Row],[IS1MT1 (°C)]:[IS7MT2 (°C)]],"&lt;&gt;0",RD[[#This Row],[IS1MT1 (°C)]:[IS7MT2 (°C)]]),"")</f>
        <v>33.726339781328825</v>
      </c>
      <c r="DD104" s="204">
        <f>IFERROR(AVERAGEIF(RD[[#This Row],[IS1RH1 (%)]:[IS7RH2 (%)]],"&lt;&gt;0",RD[[#This Row],[IS1RH1 (%)]:[IS7RH2 (%)]]),"")</f>
        <v>91.110382674516416</v>
      </c>
      <c r="DE104" s="204">
        <f>IFERROR(AVERAGEIF(RD[[#This Row],[IS1Rain1 (mm)]:[IS7Rain2 (mm)]],"&lt;&gt;0",RD[[#This Row],[IS1Rain1 (mm)]:[IS7Rain2 (mm)]]),"")</f>
        <v>0.34819175777964662</v>
      </c>
      <c r="DF104" s="204">
        <f>IFERROR(AVERAGEIF(RD[[#This Row],[WS_Solar1_Avg (m/s)]:[IS7_WS_Solar1_Avg (m/s)]],"&lt;&gt;0",RD[[#This Row],[WS_Solar1_Avg (m/s)]:[IS7_WS_Solar1_Avg (m/s)]]),"")</f>
        <v>1.2283259041211099</v>
      </c>
      <c r="DG104" s="204">
        <f>IFERROR(AVERAGEIF(RD[[#This Row],[WS_Solar1_Max (m/s)]:[IS7_WS_Solar1_Max (m/s)]],"&lt;&gt;0",RD[[#This Row],[WS_Solar1_Max (m/s)]:[IS7_WS_Solar1_Max (m/s)]]),"")</f>
        <v>3.609</v>
      </c>
      <c r="DH104" s="204">
        <f>SUM(RD[[#This Row],[IS1Inv1M1]:[IS4Inv4M2]])</f>
        <v>121648.59999999999</v>
      </c>
      <c r="DI104" s="205">
        <f>SUM(RD[[#This Row],[IS7Inv1M1]]+RD[[#This Row],[IS7Inv2M1]])</f>
        <v>7247.3</v>
      </c>
      <c r="DJ104" s="204">
        <f>SUM(RD[[#This Row],[IS5Inv1M1]:[IS5Inv2M2]])</f>
        <v>18060.2</v>
      </c>
      <c r="DK104" s="204">
        <f>SUM(RD[[#This Row],[IS8Inv1M1]:[IS9Inv2M2]])</f>
        <v>35018.699999999997</v>
      </c>
      <c r="DL104" s="60">
        <f>SUM(RD[[#This Row],[IS6Inv1M1]:[IS6Inv2M2]])</f>
        <v>18303.2</v>
      </c>
      <c r="DM104" s="286">
        <f>SUM(RD[[#This Row],[IS10Inv1M1]:[IS11Inv1M4]],RD[[#This Row],[IS14Inv1M1]:[IS14Inv2M4]])</f>
        <v>67935.700000000012</v>
      </c>
      <c r="DN104" s="286">
        <f>SUM(RD[[#This Row],[IS12Inv1M1]:[IS12Inv1M4]])</f>
        <v>14833.6</v>
      </c>
      <c r="DO104" s="286">
        <f>SUM(RD[[#This Row],[IS13Inv1M1]:[IS13Inv2M2]])</f>
        <v>16258</v>
      </c>
      <c r="DP104" s="204">
        <f>SUM(RD[[#This Row],[O2R15]:[O2R26]])</f>
        <v>299305.3</v>
      </c>
      <c r="DQ104" s="164">
        <v>45178.3</v>
      </c>
      <c r="DR104" s="168">
        <v>228.1</v>
      </c>
      <c r="DS104" s="164">
        <v>39492.6</v>
      </c>
      <c r="DT104" s="164">
        <v>240.1</v>
      </c>
      <c r="DU104" s="168">
        <v>46642.1</v>
      </c>
      <c r="DV104" s="168">
        <v>447.4</v>
      </c>
      <c r="DW104" s="164">
        <v>10733.7</v>
      </c>
      <c r="DX104" s="168">
        <v>56.4</v>
      </c>
      <c r="DY104" s="168">
        <v>4092.2</v>
      </c>
      <c r="DZ104" s="168">
        <v>21.1</v>
      </c>
      <c r="EA104" s="140">
        <v>107.76</v>
      </c>
      <c r="EB104" s="241">
        <v>150196191</v>
      </c>
      <c r="EC104" s="240">
        <v>1064151.6159999999</v>
      </c>
      <c r="ED104" s="241">
        <v>1277</v>
      </c>
      <c r="EE104" s="241">
        <v>144397</v>
      </c>
      <c r="EF104" s="164">
        <v>208239</v>
      </c>
      <c r="EG104" s="164">
        <v>2045.9</v>
      </c>
      <c r="EH104" s="146">
        <f>IF((RD[[#This Row],[33 kV_F3_Ex
Incomer1]]-DQ103)*1000&lt;0,0,(RD[[#This Row],[33 kV_F3_Ex
Incomer1]]-DQ103)*1000)</f>
        <v>61300.00000000291</v>
      </c>
      <c r="EI104" s="146">
        <f>IF((RD[[#This Row],[34 kV_F3_Im
Incomer1]]-DR103)*1000&lt;0,0,(RD[[#This Row],[34 kV_F3_Im
Incomer1]]-DR103)*1000)</f>
        <v>99.999999999994316</v>
      </c>
      <c r="EJ104" s="146">
        <f>IF((RD[[#This Row],[33 kV_F4_Ex
Incomer2]]-DS103)*1000&lt;0,0,(RD[[#This Row],[33 kV_F4_Ex
Incomer2]]-DS103)*1000)</f>
        <v>57599.999999998545</v>
      </c>
      <c r="EK104" s="146">
        <f>IF((RD[[#This Row],[34 kV_F4_Im
Incomer2]]-DT103)*1000&lt;0,0,(RD[[#This Row],[34 kV_F4_Im
Incomer2]]-DT103)*1000)</f>
        <v>299.99999999998295</v>
      </c>
      <c r="EL104" s="146">
        <f>IF((RD[[#This Row],[33 kV_F5_Ex
Incomer3]]-DU103)*1000&lt;0,0,(RD[[#This Row],[33 kV_F5_Ex
Incomer3]]-DU103)*1000)</f>
        <v>78199.99999999709</v>
      </c>
      <c r="EM104" s="146">
        <f>IF((RD[[#This Row],[34 kV_F5_Im
Incomer3]]-DV103)*1000&lt;0,0,(RD[[#This Row],[34 kV_F5_Im
Incomer3]]-DV103)*1000)</f>
        <v>1299.9999999999545</v>
      </c>
      <c r="EN104" s="146">
        <f>IF((RD[[#This Row],[33 kV_F6_Ex
Incomer4]]-DW103)*1000&lt;0,0,(RD[[#This Row],[33 kV_F6_Ex
Incomer4]]-DW103)*1000)</f>
        <v>22300.000000001091</v>
      </c>
      <c r="EO104" s="146">
        <f t="shared" si="166"/>
        <v>299.99999999998295</v>
      </c>
      <c r="EP104" s="146">
        <f>IF((RD[[#This Row],[33 kV_F7_Ex
Incomer5]]-DY103)*1000&lt;0,0,(RD[[#This Row],[33 kV_F7_Ex
Incomer5]]-DY103)*1000)</f>
        <v>63500</v>
      </c>
      <c r="EQ104" s="146">
        <f>IF((RD[[#This Row],[33 kV_F7_Im
Incomer5]]-DZ103)*1000&lt;0,0,(RD[[#This Row],[33 kV_F7_Im
Incomer5]]-DZ103)*1000)</f>
        <v>700.00000000000284</v>
      </c>
      <c r="ER104" s="146">
        <f>IF((RD[[#This Row],[33 kV_Aux Trafo]]-EA103)*1000&lt;0,0,(RD[[#This Row],[33 kV_Aux Trafo]]-EA103)*1000)</f>
        <v>230.00000000000398</v>
      </c>
      <c r="ES104" s="158">
        <f>IF((RD[[#This Row],[33kV_OG1_Ex_]]-EB103)*1&lt;0,0,(RD[[#This Row],[33kV_OG1_Ex_]]-EB103)*1)</f>
        <v>297845</v>
      </c>
      <c r="ET104" s="146">
        <f>IF((RD[[#This Row],[33kV_OG1_Im]]-EC103)*1&lt;0,0,(RD[[#This Row],[33kV_OG1_Im]]-EC103)*1)</f>
        <v>3066.2399999999907</v>
      </c>
      <c r="EU104" s="146">
        <f>IF((RD[[#This Row],[132kV_TX1_EX]]-ED103)*720&lt;=0,"",(RD[[#This Row],[132kV_TX1_EX]]-ED103)*720)</f>
        <v>2160</v>
      </c>
      <c r="EV104" s="146">
        <f>IF((RD[[#This Row],[132 kV_Tx1_Im]]-EE103)*720&lt;=0,0,(RD[[#This Row],[132 kV_Tx1_Im]]-EE103)*720)</f>
        <v>213840</v>
      </c>
      <c r="EW104" s="146">
        <f>IF((RD[[#This Row],[132kV_L1_Ex]]-EF103)*720&lt;=0,0,(RD[[#This Row],[132kV_L1_Ex]]-EF103)*720)</f>
        <v>296927.99999999581</v>
      </c>
      <c r="EX104" s="146">
        <f>IF((RD[[#This Row],[132kV_L1_Im]]-EG103)*720&lt;=0,0,(RD[[#This Row],[132kV_L1_Im]]-EG103)*720)</f>
        <v>3600</v>
      </c>
      <c r="EY104" s="242">
        <f>IFERROR(RD[[#This Row],[33kV_OG1_Ex (MWh)]]+RD[[#This Row],[33kV_OG1_Im (MWh)]],"")</f>
        <v>300911.24</v>
      </c>
      <c r="EZ104" s="148">
        <f>RD[[#This Row],[33kV_OG1_Ex (MWh)]]-RD[[#This Row],[33kV_OG1_Im (MWh)]]</f>
        <v>294778.76</v>
      </c>
      <c r="FA104" s="148">
        <f>IFERROR(RD[[#This Row],[132kV_L1_Ex(MWh)]]-RD[[#This Row],[132kV_L1_Im(MWh)]],"")</f>
        <v>293327.99999999581</v>
      </c>
      <c r="FB104" s="297">
        <f>IFERROR(RD[[#This Row],[33kV_Ex(MWh)]]/RD[[#This Row],[Inv Total Gneration (MWh)]]-1,"")</f>
        <v>5.3655581775531314E-3</v>
      </c>
      <c r="FC104" s="243">
        <f>IFERROR((RD[[#This Row],[Sunset Time (POA&lt;20 W/m2)]]-RD[[#This Row],[Sunrise Time (POA&gt;20 W/m2)]])*24,0)</f>
        <v>12.616666666666667</v>
      </c>
      <c r="FD104" s="244">
        <v>128.08000000000001</v>
      </c>
      <c r="FE104" s="303" t="s">
        <v>308</v>
      </c>
      <c r="FG104" s="144" t="str">
        <f>IFERROR(RD[[#This Row],[E_AC (WPR)]]/RD[[#This Row],[E_DC (WPR)]],"")</f>
        <v/>
      </c>
    </row>
    <row r="105" spans="1:163">
      <c r="A105" s="133">
        <f t="shared" si="167"/>
        <v>45845</v>
      </c>
      <c r="B105" s="138">
        <f>YEAR(RD[[#This Row],[Date]])+IF(MONTH(RD[[#This Row],[Date]])&gt;=4,1,0)</f>
        <v>2026</v>
      </c>
      <c r="C105" s="138">
        <f>YEAR(RD[[#This Row],[Date]])</f>
        <v>2025</v>
      </c>
      <c r="D105" s="139">
        <f t="shared" ref="D105:D120" si="169">A105-DAY(A105)+1</f>
        <v>45839</v>
      </c>
      <c r="E105" s="138">
        <f>DAY(EOMONTH(RD[[#This Row],[Date]],0))</f>
        <v>31</v>
      </c>
      <c r="F105" s="152">
        <v>0.26180555555555557</v>
      </c>
      <c r="G105" s="162">
        <v>0.76736111111111116</v>
      </c>
      <c r="H105" s="124">
        <v>2482.1999999999998</v>
      </c>
      <c r="I105" s="268">
        <v>2469.8000000000002</v>
      </c>
      <c r="J105" s="124">
        <v>2297.1</v>
      </c>
      <c r="K105" s="124">
        <v>2299.3000000000002</v>
      </c>
      <c r="L105" s="124">
        <v>2391.8000000000002</v>
      </c>
      <c r="M105" s="124">
        <v>2476.3000000000002</v>
      </c>
      <c r="N105" s="124">
        <v>2389.3000000000002</v>
      </c>
      <c r="O105" s="124">
        <v>2663.7</v>
      </c>
      <c r="P105" s="124">
        <v>2444.1</v>
      </c>
      <c r="Q105" s="124">
        <v>2387</v>
      </c>
      <c r="R105" s="124">
        <v>2426.8000000000002</v>
      </c>
      <c r="S105" s="266">
        <v>2467</v>
      </c>
      <c r="T105" s="124">
        <v>2527.5</v>
      </c>
      <c r="U105" s="124">
        <v>2416.6999999999998</v>
      </c>
      <c r="V105" s="124">
        <v>2511.5</v>
      </c>
      <c r="W105" s="124">
        <v>2410.4</v>
      </c>
      <c r="X105" s="294">
        <v>3466.8</v>
      </c>
      <c r="Y105" s="203">
        <v>3946.3</v>
      </c>
      <c r="Z105" s="203">
        <v>3386</v>
      </c>
      <c r="AA105" s="203">
        <v>3547.9</v>
      </c>
      <c r="AB105" s="294">
        <v>3753.5</v>
      </c>
      <c r="AC105" s="203">
        <v>2253</v>
      </c>
      <c r="AD105" s="203">
        <v>3465.2</v>
      </c>
      <c r="AE105" s="203">
        <v>3542</v>
      </c>
      <c r="AF105" s="294">
        <v>3431.8</v>
      </c>
      <c r="AG105" s="203">
        <v>3470</v>
      </c>
      <c r="AH105" s="203">
        <v>3450.5</v>
      </c>
      <c r="AI105" s="294">
        <v>3463.6</v>
      </c>
      <c r="AJ105" s="142">
        <v>2805.2</v>
      </c>
      <c r="AK105" s="142">
        <v>2906.6</v>
      </c>
      <c r="AL105" s="142">
        <v>2862.5</v>
      </c>
      <c r="AM105" s="142">
        <v>2894.6</v>
      </c>
      <c r="AN105" s="142">
        <v>2864</v>
      </c>
      <c r="AO105" s="142">
        <v>2970.1</v>
      </c>
      <c r="AP105" s="142">
        <v>2870</v>
      </c>
      <c r="AQ105" s="142">
        <v>2623.5</v>
      </c>
      <c r="AR105" s="142">
        <v>2249.3000000000002</v>
      </c>
      <c r="AS105" s="142">
        <v>2266.6999999999998</v>
      </c>
      <c r="AT105" s="142">
        <v>2280.3000000000002</v>
      </c>
      <c r="AU105" s="142">
        <v>2267.1999999999998</v>
      </c>
      <c r="AV105" s="142">
        <v>2314.8000000000002</v>
      </c>
      <c r="AW105" s="142">
        <v>2279.6999999999998</v>
      </c>
      <c r="AX105" s="142">
        <v>3284.5</v>
      </c>
      <c r="AY105" s="142">
        <v>3722.3</v>
      </c>
      <c r="AZ105" s="142">
        <v>2689.4</v>
      </c>
      <c r="BA105" s="142">
        <v>3313.1</v>
      </c>
      <c r="BB105" s="142">
        <v>2103.1999999999998</v>
      </c>
      <c r="BC105" s="142">
        <v>2042.7</v>
      </c>
      <c r="BD105" s="142">
        <v>3009.9</v>
      </c>
      <c r="BE105" s="142">
        <v>2649.8</v>
      </c>
      <c r="BF105" s="142">
        <v>3579.8</v>
      </c>
      <c r="BG105" s="142">
        <v>3626.5</v>
      </c>
      <c r="BH105" s="142">
        <v>3564.6</v>
      </c>
      <c r="BI105" s="142">
        <v>3680.2</v>
      </c>
      <c r="BJ105" s="142">
        <v>2303</v>
      </c>
      <c r="BK105" s="142">
        <v>1809.6</v>
      </c>
      <c r="BL105" s="142">
        <v>2211.1999999999998</v>
      </c>
      <c r="BM105" s="142">
        <v>2189</v>
      </c>
      <c r="BN105" s="142">
        <v>2422</v>
      </c>
      <c r="BO105" s="142">
        <v>2314.1999999999998</v>
      </c>
      <c r="BP105" s="142">
        <v>2554.1</v>
      </c>
      <c r="BQ105" s="142">
        <v>2509.6999999999998</v>
      </c>
      <c r="BR105" s="142">
        <v>2666.7</v>
      </c>
      <c r="BS105" s="142">
        <v>2795.3</v>
      </c>
      <c r="BT105" s="142">
        <v>2626.5</v>
      </c>
      <c r="BU105" s="142">
        <v>2891.5</v>
      </c>
      <c r="BV105" s="203">
        <v>2280.3000000000002</v>
      </c>
      <c r="BW105" s="203">
        <v>2097.1</v>
      </c>
      <c r="BX105" s="203">
        <v>1930.9</v>
      </c>
      <c r="BY105" s="203">
        <v>2216.3000000000002</v>
      </c>
      <c r="BZ105" s="142">
        <v>936.1</v>
      </c>
      <c r="CA105" s="142">
        <v>216.4</v>
      </c>
      <c r="CB105" s="142">
        <v>2152.6</v>
      </c>
      <c r="CC105" s="142">
        <v>2361.8000000000002</v>
      </c>
      <c r="CD105" s="206">
        <v>1.9084033333333337</v>
      </c>
      <c r="CE105" s="59">
        <v>1.6489465500000007</v>
      </c>
      <c r="CF105" s="206">
        <v>1.4900097666666678</v>
      </c>
      <c r="CG105" s="206">
        <v>1.6391193166666682</v>
      </c>
      <c r="CH105" s="206">
        <v>0.21210819999999969</v>
      </c>
      <c r="CI105" s="206">
        <v>0.22248483333333341</v>
      </c>
      <c r="CJ105" s="59">
        <v>0.27281226666666675</v>
      </c>
      <c r="CK105" s="59">
        <v>0.22528365000000006</v>
      </c>
      <c r="CL105" s="206">
        <v>25.368085106382903</v>
      </c>
      <c r="CM105" s="206">
        <v>24.821165957446755</v>
      </c>
      <c r="CN105" s="206">
        <v>32.547451063829762</v>
      </c>
      <c r="CO105" s="206">
        <v>29.848922553191532</v>
      </c>
      <c r="CP105" s="206">
        <v>95.533276595744624</v>
      </c>
      <c r="CQ105" s="206">
        <v>93.538093617021318</v>
      </c>
      <c r="CR105" s="206">
        <v>0.44782978723404454</v>
      </c>
      <c r="CS105" s="59">
        <v>0.4289361702127657</v>
      </c>
      <c r="CT105" s="206">
        <v>1.1847804255319161</v>
      </c>
      <c r="CU105" s="206">
        <v>1.3317063829787223</v>
      </c>
      <c r="CV105" s="206">
        <v>2.8860000000000001</v>
      </c>
      <c r="CW105" s="258">
        <v>3.528</v>
      </c>
      <c r="CX105" s="204">
        <f>IFERROR(AVERAGEIF(RD[[#This Row],[IS1POA1 (KWh/m2)]:[IS7POA2 (KWh/m2)]],"&lt;&gt;0",RD[[#This Row],[IS1POA1 (KWh/m2)]:[IS7POA2 (KWh/m2)]]),"")</f>
        <v>1.7786749416666672</v>
      </c>
      <c r="CY105" s="204">
        <f>IFERROR(AVERAGEIF(RD[[#This Row],[IS1GHI1 (KWh/m2)]:[IS7GHI2 (KWh/m2)]],"&lt;&gt;0",RD[[#This Row],[IS1GHI1 (KWh/m2)]:[IS7GHI2 (KWh/m2)]]),"")</f>
        <v>1.564564541666668</v>
      </c>
      <c r="CZ105" s="204">
        <f>IFERROR(AVERAGEIF(RD[[#This Row],[IS1POA_BS1 (KWh/m2)]:[IS7POA_BS2 (KWh/m2)]],"&lt;&gt;0",RD[[#This Row],[IS1POA_BS1 (KWh/m2)]:[IS7POA_BS2 (KWh/m2)]]),"")</f>
        <v>0.21729651666666655</v>
      </c>
      <c r="DA105" s="204">
        <f>IFERROR(AVERAGEIF(RD[[#This Row],[IS1GHI_BS1 (KWh/m2)]:[IS1GHI_BS1 (KWh/m2)2]],"&lt;&gt;0",RD[[#This Row],[IS1GHI_BS1 (KWh/m2)]:[IS1GHI_BS1 (KWh/m2)2]]),"")</f>
        <v>0.2490479583333334</v>
      </c>
      <c r="DB105" s="204">
        <f>IFERROR(AVERAGEIF(RD[[#This Row],[IS1AT1 (°C)]:[IS7AT2 (°C)]],"&lt;&gt;0",RD[[#This Row],[IS1AT1 (°C)]:[IS7AT2 (°C)]]),"")</f>
        <v>25.094625531914829</v>
      </c>
      <c r="DC105" s="204">
        <f>IFERROR(AVERAGEIF(RD[[#This Row],[IS1MT1 (°C)]:[IS7MT2 (°C)]],"&lt;&gt;0",RD[[#This Row],[IS1MT1 (°C)]:[IS7MT2 (°C)]]),"")</f>
        <v>31.198186808510648</v>
      </c>
      <c r="DD105" s="204">
        <f>IFERROR(AVERAGEIF(RD[[#This Row],[IS1RH1 (%)]:[IS7RH2 (%)]],"&lt;&gt;0",RD[[#This Row],[IS1RH1 (%)]:[IS7RH2 (%)]]),"")</f>
        <v>94.535685106382971</v>
      </c>
      <c r="DE105" s="204">
        <f>IFERROR(AVERAGEIF(RD[[#This Row],[IS1Rain1 (mm)]:[IS7Rain2 (mm)]],"&lt;&gt;0",RD[[#This Row],[IS1Rain1 (mm)]:[IS7Rain2 (mm)]]),"")</f>
        <v>0.43838297872340515</v>
      </c>
      <c r="DF105" s="204">
        <f>IFERROR(AVERAGEIF(RD[[#This Row],[WS_Solar1_Avg (m/s)]:[IS7_WS_Solar1_Avg (m/s)]],"&lt;&gt;0",RD[[#This Row],[WS_Solar1_Avg (m/s)]:[IS7_WS_Solar1_Avg (m/s)]]),"")</f>
        <v>1.2582434042553192</v>
      </c>
      <c r="DG105" s="204">
        <f>IFERROR(AVERAGEIF(RD[[#This Row],[WS_Solar1_Max (m/s)]:[IS7_WS_Solar1_Max (m/s)]],"&lt;&gt;0",RD[[#This Row],[WS_Solar1_Max (m/s)]:[IS7_WS_Solar1_Max (m/s)]]),"")</f>
        <v>3.2069999999999999</v>
      </c>
      <c r="DH105" s="204">
        <f>SUM(RD[[#This Row],[IS1Inv1M1]:[IS4Inv4M2]])</f>
        <v>80237.10000000002</v>
      </c>
      <c r="DI105" s="205">
        <f>SUM(RD[[#This Row],[IS7Inv1M1]]+RD[[#This Row],[IS7Inv2M1]])</f>
        <v>4516</v>
      </c>
      <c r="DJ105" s="204">
        <f>SUM(RD[[#This Row],[IS5Inv1M1]:[IS5Inv2M2]])</f>
        <v>11468.9</v>
      </c>
      <c r="DK105" s="204">
        <f>SUM(RD[[#This Row],[IS8Inv1M1]:[IS9Inv2M2]])</f>
        <v>22151.3</v>
      </c>
      <c r="DL105" s="60">
        <f>SUM(RD[[#This Row],[IS6Inv1M1]:[IS6Inv2M2]])</f>
        <v>11327.6</v>
      </c>
      <c r="DM105" s="286">
        <f>SUM(RD[[#This Row],[IS10Inv1M1]:[IS11Inv1M4]],RD[[#This Row],[IS14Inv1M1]:[IS14Inv2M4]])</f>
        <v>46961.000000000007</v>
      </c>
      <c r="DN105" s="286">
        <f>SUM(RD[[#This Row],[IS12Inv1M1]:[IS12Inv1M4]])</f>
        <v>9800</v>
      </c>
      <c r="DO105" s="286">
        <f>SUM(RD[[#This Row],[IS13Inv1M1]:[IS13Inv2M2]])</f>
        <v>10980</v>
      </c>
      <c r="DP105" s="204">
        <f>SUM(RD[[#This Row],[O2R15]:[O2R26]])</f>
        <v>197441.90000000002</v>
      </c>
      <c r="DQ105" s="164">
        <v>45219.199999999997</v>
      </c>
      <c r="DR105" s="168">
        <v>228.5</v>
      </c>
      <c r="DS105" s="164">
        <v>39530.9</v>
      </c>
      <c r="DT105" s="164">
        <v>240.4</v>
      </c>
      <c r="DU105" s="168">
        <v>46691.6</v>
      </c>
      <c r="DV105" s="168">
        <v>448.6</v>
      </c>
      <c r="DW105" s="164">
        <v>10748.3</v>
      </c>
      <c r="DX105" s="168">
        <v>56.6</v>
      </c>
      <c r="DY105" s="168">
        <v>4136.7</v>
      </c>
      <c r="DZ105" s="168">
        <v>21.7</v>
      </c>
      <c r="EA105" s="140">
        <v>107.99</v>
      </c>
      <c r="EB105" s="241">
        <v>150394454</v>
      </c>
      <c r="EC105" s="240">
        <v>1067231.7439999999</v>
      </c>
      <c r="ED105" s="241">
        <v>1281</v>
      </c>
      <c r="EE105" s="241">
        <v>144594</v>
      </c>
      <c r="EF105" s="164">
        <v>208513.4</v>
      </c>
      <c r="EG105" s="164">
        <v>2050.8000000000002</v>
      </c>
      <c r="EH105" s="146">
        <f>IF((RD[[#This Row],[33 kV_F3_Ex
Incomer1]]-DQ104)*1000&lt;0,0,(RD[[#This Row],[33 kV_F3_Ex
Incomer1]]-DQ104)*1000)</f>
        <v>40899.999999994179</v>
      </c>
      <c r="EI105" s="146">
        <f>IF((RD[[#This Row],[34 kV_F3_Im
Incomer1]]-DR104)*1000&lt;0,0,(RD[[#This Row],[34 kV_F3_Im
Incomer1]]-DR104)*1000)</f>
        <v>400.00000000000568</v>
      </c>
      <c r="EJ105" s="146">
        <f>IF((RD[[#This Row],[33 kV_F4_Ex
Incomer2]]-DS104)*1000&lt;0,0,(RD[[#This Row],[33 kV_F4_Ex
Incomer2]]-DS104)*1000)</f>
        <v>38300.00000000291</v>
      </c>
      <c r="EK105" s="146">
        <f>IF((RD[[#This Row],[34 kV_F4_Im
Incomer2]]-DT104)*1000&lt;0,0,(RD[[#This Row],[34 kV_F4_Im
Incomer2]]-DT104)*1000)</f>
        <v>300.00000000001137</v>
      </c>
      <c r="EL105" s="146">
        <f>IF((RD[[#This Row],[33 kV_F5_Ex
Incomer3]]-DU104)*1000&lt;0,0,(RD[[#This Row],[33 kV_F5_Ex
Incomer3]]-DU104)*1000)</f>
        <v>49500</v>
      </c>
      <c r="EM105" s="146">
        <f>IF((RD[[#This Row],[34 kV_F5_Im
Incomer3]]-DV104)*1000&lt;0,0,(RD[[#This Row],[34 kV_F5_Im
Incomer3]]-DV104)*1000)</f>
        <v>1200.0000000000455</v>
      </c>
      <c r="EN105" s="146">
        <f>IF((RD[[#This Row],[33 kV_F6_Ex
Incomer4]]-DW104)*1000&lt;0,0,(RD[[#This Row],[33 kV_F6_Ex
Incomer4]]-DW104)*1000)</f>
        <v>14599.999999998545</v>
      </c>
      <c r="EO105" s="146">
        <f t="shared" si="166"/>
        <v>300.00000000001137</v>
      </c>
      <c r="EP105" s="146">
        <f>IF((RD[[#This Row],[33 kV_F7_Ex
Incomer5]]-DY104)*1000&lt;0,0,(RD[[#This Row],[33 kV_F7_Ex
Incomer5]]-DY104)*1000)</f>
        <v>44500</v>
      </c>
      <c r="EQ105" s="146">
        <f>IF((RD[[#This Row],[33 kV_F7_Im
Incomer5]]-DZ104)*1000&lt;0,0,(RD[[#This Row],[33 kV_F7_Im
Incomer5]]-DZ104)*1000)</f>
        <v>599.99999999999784</v>
      </c>
      <c r="ER105" s="146">
        <f>IF((RD[[#This Row],[33 kV_Aux Trafo]]-EA104)*1000&lt;0,0,(RD[[#This Row],[33 kV_Aux Trafo]]-EA104)*1000)</f>
        <v>229.99999999998977</v>
      </c>
      <c r="ES105" s="158">
        <f>IF((RD[[#This Row],[33kV_OG1_Ex_]]-EB104)*1&lt;0,0,(RD[[#This Row],[33kV_OG1_Ex_]]-EB104)*1)</f>
        <v>198263</v>
      </c>
      <c r="ET105" s="146">
        <f>IF((RD[[#This Row],[33kV_OG1_Im]]-EC104)*1&lt;0,0,(RD[[#This Row],[33kV_OG1_Im]]-EC104)*1)</f>
        <v>3080.1280000000261</v>
      </c>
      <c r="EU105" s="146">
        <f>IF((RD[[#This Row],[132kV_TX1_EX]]-ED104)*720&lt;=0,"",(RD[[#This Row],[132kV_TX1_EX]]-ED104)*720)</f>
        <v>2880</v>
      </c>
      <c r="EV105" s="146">
        <f>IF((RD[[#This Row],[132 kV_Tx1_Im]]-EE104)*720&lt;=0,0,(RD[[#This Row],[132 kV_Tx1_Im]]-EE104)*720)</f>
        <v>141840</v>
      </c>
      <c r="EW105" s="146">
        <f>IF((RD[[#This Row],[132kV_L1_Ex]]-EF104)*720&lt;=0,0,(RD[[#This Row],[132kV_L1_Ex]]-EF104)*720)</f>
        <v>197567.99999999581</v>
      </c>
      <c r="EX105" s="146">
        <f>IF((RD[[#This Row],[132kV_L1_Im]]-EG104)*720&lt;=0,0,(RD[[#This Row],[132kV_L1_Im]]-EG104)*720)</f>
        <v>3528.0000000000655</v>
      </c>
      <c r="EY105" s="242">
        <f>IFERROR(RD[[#This Row],[33kV_OG1_Ex (MWh)]]+RD[[#This Row],[33kV_OG1_Im (MWh)]],"")</f>
        <v>201343.12800000003</v>
      </c>
      <c r="EZ105" s="148">
        <f>RD[[#This Row],[33kV_OG1_Ex (MWh)]]-RD[[#This Row],[33kV_OG1_Im (MWh)]]</f>
        <v>195182.87199999997</v>
      </c>
      <c r="FA105" s="148">
        <f>IFERROR(RD[[#This Row],[132kV_L1_Ex(MWh)]]-RD[[#This Row],[132kV_L1_Im(MWh)]],"")</f>
        <v>194039.99999999575</v>
      </c>
      <c r="FB105" s="297">
        <f>IFERROR(RD[[#This Row],[33kV_Ex(MWh)]]/RD[[#This Row],[Inv Total Gneration (MWh)]]-1,"")</f>
        <v>1.9758865772665279E-2</v>
      </c>
      <c r="FC105" s="243">
        <f>IFERROR((RD[[#This Row],[Sunset Time (POA&lt;20 W/m2)]]-RD[[#This Row],[Sunrise Time (POA&gt;20 W/m2)]])*24,0)</f>
        <v>12.133333333333333</v>
      </c>
      <c r="FD105" s="244">
        <v>128.08000000000001</v>
      </c>
      <c r="FE105" t="s">
        <v>309</v>
      </c>
      <c r="FG105" s="144" t="str">
        <f>IFERROR(RD[[#This Row],[E_AC (WPR)]]/RD[[#This Row],[E_DC (WPR)]],"")</f>
        <v/>
      </c>
    </row>
    <row r="106" spans="1:163">
      <c r="A106" s="133">
        <f t="shared" si="167"/>
        <v>45846</v>
      </c>
      <c r="B106" s="138">
        <f>YEAR(RD[[#This Row],[Date]])+IF(MONTH(RD[[#This Row],[Date]])&gt;=4,1,0)</f>
        <v>2026</v>
      </c>
      <c r="C106" s="138">
        <f>YEAR(RD[[#This Row],[Date]])</f>
        <v>2025</v>
      </c>
      <c r="D106" s="139">
        <f t="shared" si="169"/>
        <v>45839</v>
      </c>
      <c r="E106" s="138">
        <f>DAY(EOMONTH(RD[[#This Row],[Date]],0))</f>
        <v>31</v>
      </c>
      <c r="F106" s="152">
        <v>0.26805555555555555</v>
      </c>
      <c r="G106" s="162">
        <v>0.77013888888888893</v>
      </c>
      <c r="H106" s="124">
        <v>2806.5</v>
      </c>
      <c r="I106" s="268">
        <v>2795.5</v>
      </c>
      <c r="J106" s="124">
        <v>2593.8000000000002</v>
      </c>
      <c r="K106" s="124">
        <v>2584.9</v>
      </c>
      <c r="L106" s="124">
        <v>2690.2</v>
      </c>
      <c r="M106" s="124">
        <v>2791.3</v>
      </c>
      <c r="N106" s="124">
        <v>2696.7</v>
      </c>
      <c r="O106" s="124">
        <v>3013.7</v>
      </c>
      <c r="P106" s="124">
        <v>2755.2</v>
      </c>
      <c r="Q106" s="124">
        <v>2679.8</v>
      </c>
      <c r="R106" s="124">
        <v>2716.1</v>
      </c>
      <c r="S106" s="266">
        <v>2766.4</v>
      </c>
      <c r="T106" s="124">
        <v>2831.8</v>
      </c>
      <c r="U106" s="124">
        <v>2699</v>
      </c>
      <c r="V106" s="124">
        <v>2819.9</v>
      </c>
      <c r="W106" s="124">
        <v>2719.2</v>
      </c>
      <c r="X106" s="294">
        <v>3864.7</v>
      </c>
      <c r="Y106" s="203">
        <v>4389.2</v>
      </c>
      <c r="Z106" s="203">
        <v>3792.9</v>
      </c>
      <c r="AA106" s="203">
        <v>3976</v>
      </c>
      <c r="AB106" s="294">
        <v>4136.5</v>
      </c>
      <c r="AC106" s="203">
        <v>2492.1999999999998</v>
      </c>
      <c r="AD106" s="203">
        <v>3837.3</v>
      </c>
      <c r="AE106" s="203">
        <v>3922.7</v>
      </c>
      <c r="AF106" s="294">
        <v>3798.4</v>
      </c>
      <c r="AG106" s="203">
        <v>3846</v>
      </c>
      <c r="AH106" s="203">
        <v>3824.5</v>
      </c>
      <c r="AI106" s="294">
        <v>3836.9</v>
      </c>
      <c r="AJ106" s="142">
        <v>3076.5</v>
      </c>
      <c r="AK106" s="142">
        <v>3195</v>
      </c>
      <c r="AL106" s="142">
        <v>3162.2</v>
      </c>
      <c r="AM106" s="142">
        <v>3199.2</v>
      </c>
      <c r="AN106" s="142">
        <v>3156.4</v>
      </c>
      <c r="AO106" s="142">
        <v>3279.2</v>
      </c>
      <c r="AP106" s="142">
        <v>3217.5</v>
      </c>
      <c r="AQ106" s="142">
        <v>3028.2</v>
      </c>
      <c r="AR106" s="142">
        <v>2500.6</v>
      </c>
      <c r="AS106" s="142">
        <v>2519.3000000000002</v>
      </c>
      <c r="AT106" s="142">
        <v>2532.8000000000002</v>
      </c>
      <c r="AU106" s="142">
        <v>2515.5</v>
      </c>
      <c r="AV106" s="142">
        <v>2569.8000000000002</v>
      </c>
      <c r="AW106" s="142">
        <v>2532.5</v>
      </c>
      <c r="AX106" s="142">
        <v>3631.4</v>
      </c>
      <c r="AY106" s="142">
        <v>4127.5</v>
      </c>
      <c r="AZ106" s="142">
        <v>2884.7</v>
      </c>
      <c r="BA106" s="142">
        <v>3666.9</v>
      </c>
      <c r="BB106" s="142">
        <v>4041.2</v>
      </c>
      <c r="BC106" s="142">
        <v>3732.6</v>
      </c>
      <c r="BD106" s="142">
        <v>2495.6</v>
      </c>
      <c r="BE106" s="142">
        <v>3537.4</v>
      </c>
      <c r="BF106" s="142">
        <v>4112.6000000000004</v>
      </c>
      <c r="BG106" s="142">
        <v>4211.5</v>
      </c>
      <c r="BH106" s="142">
        <v>4064.4</v>
      </c>
      <c r="BI106" s="142">
        <v>4260.3999999999996</v>
      </c>
      <c r="BJ106" s="142">
        <v>2687.3</v>
      </c>
      <c r="BK106" s="142">
        <v>2127.5</v>
      </c>
      <c r="BL106" s="142">
        <v>2585.8000000000002</v>
      </c>
      <c r="BM106" s="142">
        <v>2558</v>
      </c>
      <c r="BN106" s="142">
        <v>2859</v>
      </c>
      <c r="BO106" s="142">
        <v>2733.2</v>
      </c>
      <c r="BP106" s="142">
        <v>3010.9</v>
      </c>
      <c r="BQ106" s="142">
        <v>2950</v>
      </c>
      <c r="BR106" s="142">
        <v>3134</v>
      </c>
      <c r="BS106" s="142">
        <v>3237</v>
      </c>
      <c r="BT106" s="142">
        <v>3041.7</v>
      </c>
      <c r="BU106" s="142">
        <v>3382</v>
      </c>
      <c r="BV106" s="203">
        <v>2698.3</v>
      </c>
      <c r="BW106" s="203">
        <v>2489.1999999999998</v>
      </c>
      <c r="BX106" s="203">
        <v>2326.4</v>
      </c>
      <c r="BY106" s="203">
        <v>2647.8</v>
      </c>
      <c r="BZ106" s="142">
        <v>1141.7</v>
      </c>
      <c r="CA106" s="142">
        <v>282.60000000000002</v>
      </c>
      <c r="CB106" s="142">
        <v>2536.9</v>
      </c>
      <c r="CC106" s="142">
        <v>2769.5</v>
      </c>
      <c r="CD106" s="206">
        <v>2.088309049999999</v>
      </c>
      <c r="CE106" s="59">
        <v>1.776724983333331</v>
      </c>
      <c r="CF106" s="206">
        <v>1.6185729166666685</v>
      </c>
      <c r="CG106" s="206">
        <v>1.7621407500000013</v>
      </c>
      <c r="CH106" s="206">
        <v>0.22723991666666646</v>
      </c>
      <c r="CI106" s="206">
        <v>0.23895706666666675</v>
      </c>
      <c r="CJ106" s="59">
        <v>0.2874424166666667</v>
      </c>
      <c r="CK106" s="59">
        <v>0.22783775000000006</v>
      </c>
      <c r="CL106" s="206">
        <v>25.321915444348605</v>
      </c>
      <c r="CM106" s="206">
        <v>24.997250213492649</v>
      </c>
      <c r="CN106" s="206">
        <v>32.71122864538394</v>
      </c>
      <c r="CO106" s="206">
        <v>29.738333048676349</v>
      </c>
      <c r="CP106" s="206">
        <v>93.233132010353714</v>
      </c>
      <c r="CQ106" s="206">
        <v>92.954073441503056</v>
      </c>
      <c r="CR106" s="206">
        <v>0.12683347713546156</v>
      </c>
      <c r="CS106" s="59">
        <v>0.13383432963279152</v>
      </c>
      <c r="CT106" s="206">
        <v>0.89791889559965554</v>
      </c>
      <c r="CU106" s="206">
        <v>0.96524679760888055</v>
      </c>
      <c r="CV106" s="206">
        <v>1.77</v>
      </c>
      <c r="CW106" s="258">
        <v>2.19</v>
      </c>
      <c r="CX106" s="204">
        <f>IFERROR(AVERAGEIF(RD[[#This Row],[IS1POA1 (KWh/m2)]:[IS7POA2 (KWh/m2)]],"&lt;&gt;0",RD[[#This Row],[IS1POA1 (KWh/m2)]:[IS7POA2 (KWh/m2)]]),"")</f>
        <v>1.932517016666665</v>
      </c>
      <c r="CY106" s="204">
        <f>IFERROR(AVERAGEIF(RD[[#This Row],[IS1GHI1 (KWh/m2)]:[IS7GHI2 (KWh/m2)]],"&lt;&gt;0",RD[[#This Row],[IS1GHI1 (KWh/m2)]:[IS7GHI2 (KWh/m2)]]),"")</f>
        <v>1.6903568333333348</v>
      </c>
      <c r="CZ106" s="204">
        <f>IFERROR(AVERAGEIF(RD[[#This Row],[IS1POA_BS1 (KWh/m2)]:[IS7POA_BS2 (KWh/m2)]],"&lt;&gt;0",RD[[#This Row],[IS1POA_BS1 (KWh/m2)]:[IS7POA_BS2 (KWh/m2)]]),"")</f>
        <v>0.2330984916666666</v>
      </c>
      <c r="DA106" s="204">
        <f>IFERROR(AVERAGEIF(RD[[#This Row],[IS1GHI_BS1 (KWh/m2)]:[IS1GHI_BS1 (KWh/m2)2]],"&lt;&gt;0",RD[[#This Row],[IS1GHI_BS1 (KWh/m2)]:[IS1GHI_BS1 (KWh/m2)2]]),"")</f>
        <v>0.25764008333333338</v>
      </c>
      <c r="DB106" s="204">
        <f>IFERROR(AVERAGEIF(RD[[#This Row],[IS1AT1 (°C)]:[IS7AT2 (°C)]],"&lt;&gt;0",RD[[#This Row],[IS1AT1 (°C)]:[IS7AT2 (°C)]]),"")</f>
        <v>25.159582828920627</v>
      </c>
      <c r="DC106" s="204">
        <f>IFERROR(AVERAGEIF(RD[[#This Row],[IS1MT1 (°C)]:[IS7MT2 (°C)]],"&lt;&gt;0",RD[[#This Row],[IS1MT1 (°C)]:[IS7MT2 (°C)]]),"")</f>
        <v>31.224780847030146</v>
      </c>
      <c r="DD106" s="204">
        <f>IFERROR(AVERAGEIF(RD[[#This Row],[IS1RH1 (%)]:[IS7RH2 (%)]],"&lt;&gt;0",RD[[#This Row],[IS1RH1 (%)]:[IS7RH2 (%)]]),"")</f>
        <v>93.093602725928378</v>
      </c>
      <c r="DE106" s="204">
        <f>IFERROR(AVERAGEIF(RD[[#This Row],[IS1Rain1 (mm)]:[IS7Rain2 (mm)]],"&lt;&gt;0",RD[[#This Row],[IS1Rain1 (mm)]:[IS7Rain2 (mm)]]),"")</f>
        <v>0.13033390338412654</v>
      </c>
      <c r="DF106" s="204">
        <f>IFERROR(AVERAGEIF(RD[[#This Row],[WS_Solar1_Avg (m/s)]:[IS7_WS_Solar1_Avg (m/s)]],"&lt;&gt;0",RD[[#This Row],[WS_Solar1_Avg (m/s)]:[IS7_WS_Solar1_Avg (m/s)]]),"")</f>
        <v>0.93158284660426804</v>
      </c>
      <c r="DG106" s="204">
        <f>IFERROR(AVERAGEIF(RD[[#This Row],[WS_Solar1_Max (m/s)]:[IS7_WS_Solar1_Max (m/s)]],"&lt;&gt;0",RD[[#This Row],[WS_Solar1_Max (m/s)]:[IS7_WS_Solar1_Max (m/s)]]),"")</f>
        <v>1.98</v>
      </c>
      <c r="DH106" s="204">
        <f>SUM(RD[[#This Row],[IS1Inv1M1]:[IS4Inv4M2]])</f>
        <v>89677.299999999988</v>
      </c>
      <c r="DI106" s="205">
        <f>SUM(RD[[#This Row],[IS7Inv1M1]]+RD[[#This Row],[IS7Inv2M1]])</f>
        <v>5019.8999999999996</v>
      </c>
      <c r="DJ106" s="204">
        <f>SUM(RD[[#This Row],[IS5Inv1M1]:[IS5Inv2M2]])</f>
        <v>12632.900000000001</v>
      </c>
      <c r="DK106" s="204">
        <f>SUM(RD[[#This Row],[IS8Inv1M1]:[IS9Inv2M2]])</f>
        <v>24461.100000000002</v>
      </c>
      <c r="DL106" s="60">
        <f>SUM(RD[[#This Row],[IS6Inv1M1]:[IS6Inv2M2]])</f>
        <v>12681.3</v>
      </c>
      <c r="DM106" s="286">
        <f>SUM(RD[[#This Row],[IS10Inv1M1]:[IS11Inv1M4]],RD[[#This Row],[IS14Inv1M1]:[IS14Inv2M4]])</f>
        <v>57306.700000000012</v>
      </c>
      <c r="DN106" s="286">
        <f>SUM(RD[[#This Row],[IS12Inv1M1]:[IS12Inv1M4]])</f>
        <v>11553.1</v>
      </c>
      <c r="DO106" s="286">
        <f>SUM(RD[[#This Row],[IS13Inv1M1]:[IS13Inv2M2]])</f>
        <v>12794.7</v>
      </c>
      <c r="DP106" s="204">
        <f>SUM(RD[[#This Row],[O2R15]:[O2R26]])</f>
        <v>226127</v>
      </c>
      <c r="DQ106" s="164">
        <v>45264.6</v>
      </c>
      <c r="DR106" s="168">
        <v>228.9</v>
      </c>
      <c r="DS106" s="164">
        <v>39573.599999999999</v>
      </c>
      <c r="DT106" s="164">
        <v>240.7</v>
      </c>
      <c r="DU106" s="168">
        <v>46746.400000000001</v>
      </c>
      <c r="DV106" s="168">
        <v>449.9</v>
      </c>
      <c r="DW106" s="164">
        <v>10765.5</v>
      </c>
      <c r="DX106" s="168">
        <v>56.9</v>
      </c>
      <c r="DY106" s="168">
        <v>4190.3</v>
      </c>
      <c r="DZ106" s="168">
        <v>22.3</v>
      </c>
      <c r="EA106" s="140">
        <v>108.2</v>
      </c>
      <c r="EB106" s="241">
        <v>150620979</v>
      </c>
      <c r="EC106" s="240">
        <v>1070458.112</v>
      </c>
      <c r="ED106" s="241">
        <v>1284</v>
      </c>
      <c r="EE106" s="241">
        <v>144819</v>
      </c>
      <c r="EF106" s="164">
        <v>208827</v>
      </c>
      <c r="EG106" s="164">
        <v>2056</v>
      </c>
      <c r="EH106" s="146">
        <f>IF((RD[[#This Row],[33 kV_F3_Ex
Incomer1]]-DQ105)*1000&lt;0,0,(RD[[#This Row],[33 kV_F3_Ex
Incomer1]]-DQ105)*1000)</f>
        <v>45400.000000001455</v>
      </c>
      <c r="EI106" s="146">
        <f>IF((RD[[#This Row],[34 kV_F3_Im
Incomer1]]-DR105)*1000&lt;0,0,(RD[[#This Row],[34 kV_F3_Im
Incomer1]]-DR105)*1000)</f>
        <v>400.00000000000568</v>
      </c>
      <c r="EJ106" s="146">
        <f>IF((RD[[#This Row],[33 kV_F4_Ex
Incomer2]]-DS105)*1000&lt;0,0,(RD[[#This Row],[33 kV_F4_Ex
Incomer2]]-DS105)*1000)</f>
        <v>42699.99999999709</v>
      </c>
      <c r="EK106" s="146">
        <f>IF((RD[[#This Row],[34 kV_F4_Im
Incomer2]]-DT105)*1000&lt;0,0,(RD[[#This Row],[34 kV_F4_Im
Incomer2]]-DT105)*1000)</f>
        <v>299.99999999998295</v>
      </c>
      <c r="EL106" s="146">
        <f>IF((RD[[#This Row],[33 kV_F5_Ex
Incomer3]]-DU105)*1000&lt;0,0,(RD[[#This Row],[33 kV_F5_Ex
Incomer3]]-DU105)*1000)</f>
        <v>54800.00000000291</v>
      </c>
      <c r="EM106" s="146">
        <f>IF((RD[[#This Row],[34 kV_F5_Im
Incomer3]]-DV105)*1000&lt;0,0,(RD[[#This Row],[34 kV_F5_Im
Incomer3]]-DV105)*1000)</f>
        <v>1299.9999999999545</v>
      </c>
      <c r="EN106" s="146">
        <f>IF((RD[[#This Row],[33 kV_F6_Ex
Incomer4]]-DW105)*1000&lt;0,0,(RD[[#This Row],[33 kV_F6_Ex
Incomer4]]-DW105)*1000)</f>
        <v>17200.000000000728</v>
      </c>
      <c r="EO106" s="146">
        <f t="shared" si="166"/>
        <v>400.00000000000568</v>
      </c>
      <c r="EP106" s="146">
        <f>IF((RD[[#This Row],[33 kV_F7_Ex
Incomer5]]-DY105)*1000&lt;0,0,(RD[[#This Row],[33 kV_F7_Ex
Incomer5]]-DY105)*1000)</f>
        <v>53600.000000000364</v>
      </c>
      <c r="EQ106" s="146">
        <f>IF((RD[[#This Row],[33 kV_F7_Im
Incomer5]]-DZ105)*1000&lt;0,0,(RD[[#This Row],[33 kV_F7_Im
Incomer5]]-DZ105)*1000)</f>
        <v>600.00000000000136</v>
      </c>
      <c r="ER106" s="146">
        <f>IF((RD[[#This Row],[33 kV_Aux Trafo]]-EA105)*1000&lt;0,0,(RD[[#This Row],[33 kV_Aux Trafo]]-EA105)*1000)</f>
        <v>210.00000000000796</v>
      </c>
      <c r="ES106" s="158">
        <f>IF((RD[[#This Row],[33kV_OG1_Ex_]]-EB105)*1&lt;0,0,(RD[[#This Row],[33kV_OG1_Ex_]]-EB105)*1)</f>
        <v>226525</v>
      </c>
      <c r="ET106" s="146">
        <f>IF((RD[[#This Row],[33kV_OG1_Im]]-EC105)*1&lt;0,0,(RD[[#This Row],[33kV_OG1_Im]]-EC105)*1)</f>
        <v>3226.3680000000168</v>
      </c>
      <c r="EU106" s="146">
        <f>IF((RD[[#This Row],[132kV_TX1_EX]]-ED105)*720&lt;=0,"",(RD[[#This Row],[132kV_TX1_EX]]-ED105)*720)</f>
        <v>2160</v>
      </c>
      <c r="EV106" s="146">
        <f>IF((RD[[#This Row],[132 kV_Tx1_Im]]-EE105)*720&lt;=0,0,(RD[[#This Row],[132 kV_Tx1_Im]]-EE105)*720)</f>
        <v>162000</v>
      </c>
      <c r="EW106" s="146">
        <f>IF((RD[[#This Row],[132kV_L1_Ex]]-EF105)*720&lt;=0,0,(RD[[#This Row],[132kV_L1_Ex]]-EF105)*720)</f>
        <v>225792.00000000419</v>
      </c>
      <c r="EX106" s="146">
        <f>IF((RD[[#This Row],[132kV_L1_Im]]-EG105)*720&lt;=0,0,(RD[[#This Row],[132kV_L1_Im]]-EG105)*720)</f>
        <v>3743.999999999869</v>
      </c>
      <c r="EY106" s="242">
        <f>IFERROR(RD[[#This Row],[33kV_OG1_Ex (MWh)]]+RD[[#This Row],[33kV_OG1_Im (MWh)]],"")</f>
        <v>229751.36800000002</v>
      </c>
      <c r="EZ106" s="148">
        <f>RD[[#This Row],[33kV_OG1_Ex (MWh)]]-RD[[#This Row],[33kV_OG1_Im (MWh)]]</f>
        <v>223298.63199999998</v>
      </c>
      <c r="FA106" s="148">
        <f>IFERROR(RD[[#This Row],[132kV_L1_Ex(MWh)]]-RD[[#This Row],[132kV_L1_Im(MWh)]],"")</f>
        <v>222048.00000000431</v>
      </c>
      <c r="FB106" s="297">
        <f>IFERROR(RD[[#This Row],[33kV_Ex(MWh)]]/RD[[#This Row],[Inv Total Gneration (MWh)]]-1,"")</f>
        <v>1.6028019652673198E-2</v>
      </c>
      <c r="FC106" s="243">
        <f>IFERROR((RD[[#This Row],[Sunset Time (POA&lt;20 W/m2)]]-RD[[#This Row],[Sunrise Time (POA&gt;20 W/m2)]])*24,0)</f>
        <v>12.050000000000002</v>
      </c>
      <c r="FD106" s="244">
        <v>128.08000000000001</v>
      </c>
      <c r="FE106" t="s">
        <v>310</v>
      </c>
      <c r="FG106" s="144" t="str">
        <f>IFERROR(RD[[#This Row],[E_AC (WPR)]]/RD[[#This Row],[E_DC (WPR)]],"")</f>
        <v/>
      </c>
    </row>
    <row r="107" spans="1:163">
      <c r="A107" s="133">
        <f t="shared" si="167"/>
        <v>45847</v>
      </c>
      <c r="B107" s="138">
        <f>YEAR(RD[[#This Row],[Date]])+IF(MONTH(RD[[#This Row],[Date]])&gt;=4,1,0)</f>
        <v>2026</v>
      </c>
      <c r="C107" s="138">
        <f>YEAR(RD[[#This Row],[Date]])</f>
        <v>2025</v>
      </c>
      <c r="D107" s="139">
        <f t="shared" si="169"/>
        <v>45839</v>
      </c>
      <c r="E107" s="138">
        <f>DAY(EOMONTH(RD[[#This Row],[Date]],0))</f>
        <v>31</v>
      </c>
      <c r="F107" s="152">
        <v>0.29375000000000001</v>
      </c>
      <c r="G107" s="162">
        <v>0.78333333333333333</v>
      </c>
      <c r="H107" s="124">
        <v>3048.1</v>
      </c>
      <c r="I107" s="268">
        <v>3040.8</v>
      </c>
      <c r="J107" s="124">
        <v>2822.9</v>
      </c>
      <c r="K107" s="124">
        <v>2817.6</v>
      </c>
      <c r="L107" s="124">
        <v>2933.7</v>
      </c>
      <c r="M107" s="124">
        <v>3036.4</v>
      </c>
      <c r="N107" s="124">
        <v>2903.1</v>
      </c>
      <c r="O107" s="124">
        <v>3270.8</v>
      </c>
      <c r="P107" s="124">
        <v>2999.7</v>
      </c>
      <c r="Q107" s="124">
        <v>2932.1</v>
      </c>
      <c r="R107" s="124">
        <v>2975</v>
      </c>
      <c r="S107" s="266">
        <v>3028.9</v>
      </c>
      <c r="T107" s="124">
        <v>3085.1</v>
      </c>
      <c r="U107" s="124">
        <v>2963.2</v>
      </c>
      <c r="V107" s="124">
        <v>3080.7</v>
      </c>
      <c r="W107" s="124">
        <v>2962.6</v>
      </c>
      <c r="X107" s="294">
        <v>4214.8</v>
      </c>
      <c r="Y107" s="203">
        <v>4801.7</v>
      </c>
      <c r="Z107" s="203">
        <v>4121.8</v>
      </c>
      <c r="AA107" s="203">
        <v>4319.5</v>
      </c>
      <c r="AB107" s="294">
        <v>4574</v>
      </c>
      <c r="AC107" s="203">
        <v>2758.1</v>
      </c>
      <c r="AD107" s="203">
        <v>4245.2</v>
      </c>
      <c r="AE107" s="203">
        <v>4347.7</v>
      </c>
      <c r="AF107" s="294">
        <v>4197.7</v>
      </c>
      <c r="AG107" s="203">
        <v>4228</v>
      </c>
      <c r="AH107" s="203">
        <v>4221.8</v>
      </c>
      <c r="AI107" s="294">
        <v>4243</v>
      </c>
      <c r="AJ107" s="142">
        <v>3459.5</v>
      </c>
      <c r="AK107" s="142">
        <v>3589.4</v>
      </c>
      <c r="AL107" s="142">
        <v>3548.5</v>
      </c>
      <c r="AM107" s="142">
        <v>3585.6</v>
      </c>
      <c r="AN107" s="142">
        <v>3549.2</v>
      </c>
      <c r="AO107" s="142">
        <v>3688.8</v>
      </c>
      <c r="AP107" s="142">
        <v>3615</v>
      </c>
      <c r="AQ107" s="142">
        <v>3473.2</v>
      </c>
      <c r="AR107" s="142">
        <v>2828.9</v>
      </c>
      <c r="AS107" s="142">
        <v>2850.7</v>
      </c>
      <c r="AT107" s="142">
        <v>2863.8</v>
      </c>
      <c r="AU107" s="142">
        <v>2840.5</v>
      </c>
      <c r="AV107" s="142">
        <v>2904.3</v>
      </c>
      <c r="AW107" s="142">
        <v>2864.4</v>
      </c>
      <c r="AX107" s="142">
        <v>4085.6</v>
      </c>
      <c r="AY107" s="142">
        <v>4649.5</v>
      </c>
      <c r="AZ107" s="142">
        <v>3367.7</v>
      </c>
      <c r="BA107" s="142">
        <v>4140.8</v>
      </c>
      <c r="BB107" s="142">
        <v>4274.2</v>
      </c>
      <c r="BC107" s="142">
        <v>3857.4</v>
      </c>
      <c r="BD107" s="142">
        <v>3618.3</v>
      </c>
      <c r="BE107" s="142">
        <v>4002.6</v>
      </c>
      <c r="BF107" s="142">
        <v>4326</v>
      </c>
      <c r="BG107" s="142">
        <v>4425.8999999999996</v>
      </c>
      <c r="BH107" s="142">
        <v>4356.2</v>
      </c>
      <c r="BI107" s="142">
        <v>4486.1000000000004</v>
      </c>
      <c r="BJ107" s="142">
        <v>2843.9</v>
      </c>
      <c r="BK107" s="142">
        <v>2248.5</v>
      </c>
      <c r="BL107" s="142">
        <v>2741.7</v>
      </c>
      <c r="BM107" s="142">
        <v>2711</v>
      </c>
      <c r="BN107" s="142">
        <v>3005.4</v>
      </c>
      <c r="BO107" s="142">
        <v>2871.5</v>
      </c>
      <c r="BP107" s="142">
        <v>3167.4</v>
      </c>
      <c r="BQ107" s="142">
        <v>3107.6</v>
      </c>
      <c r="BR107" s="142">
        <v>3291</v>
      </c>
      <c r="BS107" s="142">
        <v>3416.7</v>
      </c>
      <c r="BT107" s="142">
        <v>3195</v>
      </c>
      <c r="BU107" s="142">
        <v>3546</v>
      </c>
      <c r="BV107" s="203">
        <v>2833.1</v>
      </c>
      <c r="BW107" s="203">
        <v>2615.1</v>
      </c>
      <c r="BX107" s="203">
        <v>2421.9</v>
      </c>
      <c r="BY107" s="203">
        <v>2777.5</v>
      </c>
      <c r="BZ107" s="142">
        <v>1195.8</v>
      </c>
      <c r="CA107" s="142">
        <v>302.2</v>
      </c>
      <c r="CB107" s="142">
        <v>2671.7</v>
      </c>
      <c r="CC107" s="142">
        <v>2918.4</v>
      </c>
      <c r="CD107" s="206">
        <v>2.2716685500000002</v>
      </c>
      <c r="CE107" s="59">
        <v>2.0019952166666664</v>
      </c>
      <c r="CF107" s="206">
        <v>1.7669882666666668</v>
      </c>
      <c r="CG107" s="206">
        <v>2.0094085833333346</v>
      </c>
      <c r="CH107" s="206">
        <v>0.27288571666666661</v>
      </c>
      <c r="CI107" s="206">
        <v>0.26281523333333345</v>
      </c>
      <c r="CJ107" s="59">
        <v>0.30950693333333301</v>
      </c>
      <c r="CK107" s="59">
        <v>0.26148331666666652</v>
      </c>
      <c r="CL107" s="206">
        <v>25.535888501742203</v>
      </c>
      <c r="CM107" s="206">
        <v>24.804799651567869</v>
      </c>
      <c r="CN107" s="206">
        <v>32.858900696864048</v>
      </c>
      <c r="CO107" s="206">
        <v>29.988362369338031</v>
      </c>
      <c r="CP107" s="206">
        <v>96.140975609756268</v>
      </c>
      <c r="CQ107" s="206">
        <v>95.677979094076534</v>
      </c>
      <c r="CR107" s="206">
        <v>0.21951219512194989</v>
      </c>
      <c r="CS107" s="59">
        <v>0.16717770034842988</v>
      </c>
      <c r="CT107" s="206">
        <v>0.86263066202090521</v>
      </c>
      <c r="CU107" s="206">
        <v>0.96898432055749106</v>
      </c>
      <c r="CV107" s="206">
        <v>2.04</v>
      </c>
      <c r="CW107" s="258">
        <v>2.6339999999999999</v>
      </c>
      <c r="CX107" s="204">
        <f>IFERROR(AVERAGEIF(RD[[#This Row],[IS1POA1 (KWh/m2)]:[IS7POA2 (KWh/m2)]],"&lt;&gt;0",RD[[#This Row],[IS1POA1 (KWh/m2)]:[IS7POA2 (KWh/m2)]]),"")</f>
        <v>2.1368318833333335</v>
      </c>
      <c r="CY107" s="204">
        <f>IFERROR(AVERAGEIF(RD[[#This Row],[IS1GHI1 (KWh/m2)]:[IS7GHI2 (KWh/m2)]],"&lt;&gt;0",RD[[#This Row],[IS1GHI1 (KWh/m2)]:[IS7GHI2 (KWh/m2)]]),"")</f>
        <v>1.8881984250000006</v>
      </c>
      <c r="CZ107" s="204">
        <f>IFERROR(AVERAGEIF(RD[[#This Row],[IS1POA_BS1 (KWh/m2)]:[IS7POA_BS2 (KWh/m2)]],"&lt;&gt;0",RD[[#This Row],[IS1POA_BS1 (KWh/m2)]:[IS7POA_BS2 (KWh/m2)]]),"")</f>
        <v>0.26785047500000003</v>
      </c>
      <c r="DA107" s="204">
        <f>IFERROR(AVERAGEIF(RD[[#This Row],[IS1GHI_BS1 (KWh/m2)]:[IS1GHI_BS1 (KWh/m2)2]],"&lt;&gt;0",RD[[#This Row],[IS1GHI_BS1 (KWh/m2)]:[IS1GHI_BS1 (KWh/m2)2]]),"")</f>
        <v>0.28549512499999974</v>
      </c>
      <c r="DB107" s="204">
        <f>IFERROR(AVERAGEIF(RD[[#This Row],[IS1AT1 (°C)]:[IS7AT2 (°C)]],"&lt;&gt;0",RD[[#This Row],[IS1AT1 (°C)]:[IS7AT2 (°C)]]),"")</f>
        <v>25.170344076655034</v>
      </c>
      <c r="DC107" s="204">
        <f>IFERROR(AVERAGEIF(RD[[#This Row],[IS1MT1 (°C)]:[IS7MT2 (°C)]],"&lt;&gt;0",RD[[#This Row],[IS1MT1 (°C)]:[IS7MT2 (°C)]]),"")</f>
        <v>31.423631533101037</v>
      </c>
      <c r="DD107" s="204">
        <f>IFERROR(AVERAGEIF(RD[[#This Row],[IS1RH1 (%)]:[IS7RH2 (%)]],"&lt;&gt;0",RD[[#This Row],[IS1RH1 (%)]:[IS7RH2 (%)]]),"")</f>
        <v>95.909477351916394</v>
      </c>
      <c r="DE107" s="204">
        <f>IFERROR(AVERAGEIF(RD[[#This Row],[IS1Rain1 (mm)]:[IS7Rain2 (mm)]],"&lt;&gt;0",RD[[#This Row],[IS1Rain1 (mm)]:[IS7Rain2 (mm)]]),"")</f>
        <v>0.1933449477351899</v>
      </c>
      <c r="DF107" s="204">
        <f>IFERROR(AVERAGEIF(RD[[#This Row],[WS_Solar1_Avg (m/s)]:[IS7_WS_Solar1_Avg (m/s)]],"&lt;&gt;0",RD[[#This Row],[WS_Solar1_Avg (m/s)]:[IS7_WS_Solar1_Avg (m/s)]]),"")</f>
        <v>0.91580749128919814</v>
      </c>
      <c r="DG107" s="204">
        <f>IFERROR(AVERAGEIF(RD[[#This Row],[WS_Solar1_Max (m/s)]:[IS7_WS_Solar1_Max (m/s)]],"&lt;&gt;0",RD[[#This Row],[WS_Solar1_Max (m/s)]:[IS7_WS_Solar1_Max (m/s)]]),"")</f>
        <v>2.3369999999999997</v>
      </c>
      <c r="DH107" s="204">
        <f>SUM(RD[[#This Row],[IS1Inv1M1]:[IS4Inv4M2]])</f>
        <v>98174</v>
      </c>
      <c r="DI107" s="205">
        <f>SUM(RD[[#This Row],[IS7Inv1M1]]+RD[[#This Row],[IS7Inv2M1]])</f>
        <v>5679.6</v>
      </c>
      <c r="DJ107" s="204">
        <f>SUM(RD[[#This Row],[IS5Inv1M1]:[IS5Inv2M2]])</f>
        <v>14183</v>
      </c>
      <c r="DK107" s="204">
        <f>SUM(RD[[#This Row],[IS8Inv1M1]:[IS9Inv2M2]])</f>
        <v>27716.6</v>
      </c>
      <c r="DL107" s="60">
        <f>SUM(RD[[#This Row],[IS6Inv1M1]:[IS6Inv2M2]])</f>
        <v>14326.2</v>
      </c>
      <c r="DM107" s="286">
        <f>SUM(RD[[#This Row],[IS10Inv1M1]:[IS11Inv1M4]],RD[[#This Row],[IS14Inv1M1]:[IS14Inv2M4]])</f>
        <v>61627.5</v>
      </c>
      <c r="DN107" s="286">
        <f>SUM(RD[[#This Row],[IS12Inv1M1]:[IS12Inv1M4]])</f>
        <v>12151.9</v>
      </c>
      <c r="DO107" s="286">
        <f>SUM(RD[[#This Row],[IS13Inv1M1]:[IS13Inv2M2]])</f>
        <v>13448.7</v>
      </c>
      <c r="DP107" s="204">
        <f>SUM(RD[[#This Row],[O2R15]:[O2R26]])</f>
        <v>247307.50000000003</v>
      </c>
      <c r="DQ107" s="164">
        <v>45314.6</v>
      </c>
      <c r="DR107" s="168">
        <v>229.3</v>
      </c>
      <c r="DS107" s="164">
        <v>39620.199999999997</v>
      </c>
      <c r="DT107" s="164">
        <v>241.1</v>
      </c>
      <c r="DU107" s="168">
        <v>46808.3</v>
      </c>
      <c r="DV107" s="168">
        <v>451.2</v>
      </c>
      <c r="DW107" s="164">
        <v>10783.6</v>
      </c>
      <c r="DX107" s="168">
        <v>57.1</v>
      </c>
      <c r="DY107" s="168">
        <v>4247.2</v>
      </c>
      <c r="DZ107" s="168">
        <v>23</v>
      </c>
      <c r="EA107" s="140">
        <v>108.42</v>
      </c>
      <c r="EB107" s="241">
        <v>150868393</v>
      </c>
      <c r="EC107" s="240">
        <v>1073537.6000000001</v>
      </c>
      <c r="ED107" s="241">
        <v>1288</v>
      </c>
      <c r="EE107" s="241">
        <v>145066</v>
      </c>
      <c r="EF107" s="164">
        <v>209169.5</v>
      </c>
      <c r="EG107" s="164">
        <v>2061</v>
      </c>
      <c r="EH107" s="146">
        <f>IF((RD[[#This Row],[33 kV_F3_Ex
Incomer1]]-DQ106)*1000&lt;0,0,(RD[[#This Row],[33 kV_F3_Ex
Incomer1]]-DQ106)*1000)</f>
        <v>50000</v>
      </c>
      <c r="EI107" s="146">
        <f>IF((RD[[#This Row],[34 kV_F3_Im
Incomer1]]-DR106)*1000&lt;0,0,(RD[[#This Row],[34 kV_F3_Im
Incomer1]]-DR106)*1000)</f>
        <v>400.00000000000568</v>
      </c>
      <c r="EJ107" s="146">
        <f>IF((RD[[#This Row],[33 kV_F4_Ex
Incomer2]]-DS106)*1000&lt;0,0,(RD[[#This Row],[33 kV_F4_Ex
Incomer2]]-DS106)*1000)</f>
        <v>46599.999999998545</v>
      </c>
      <c r="EK107" s="146">
        <f>IF((RD[[#This Row],[34 kV_F4_Im
Incomer2]]-DT106)*1000&lt;0,0,(RD[[#This Row],[34 kV_F4_Im
Incomer2]]-DT106)*1000)</f>
        <v>400.00000000000568</v>
      </c>
      <c r="EL107" s="146">
        <f>IF((RD[[#This Row],[33 kV_F5_Ex
Incomer3]]-DU106)*1000&lt;0,0,(RD[[#This Row],[33 kV_F5_Ex
Incomer3]]-DU106)*1000)</f>
        <v>61900.000000001455</v>
      </c>
      <c r="EM107" s="146">
        <f>IF((RD[[#This Row],[34 kV_F5_Im
Incomer3]]-DV106)*1000&lt;0,0,(RD[[#This Row],[34 kV_F5_Im
Incomer3]]-DV106)*1000)</f>
        <v>1300.0000000000114</v>
      </c>
      <c r="EN107" s="146">
        <f>IF((RD[[#This Row],[33 kV_F6_Ex
Incomer4]]-DW106)*1000&lt;0,0,(RD[[#This Row],[33 kV_F6_Ex
Incomer4]]-DW106)*1000)</f>
        <v>18100.000000000364</v>
      </c>
      <c r="EO107" s="146">
        <f t="shared" si="166"/>
        <v>299.99999999998295</v>
      </c>
      <c r="EP107" s="146">
        <f>IF((RD[[#This Row],[33 kV_F7_Ex
Incomer5]]-DY106)*1000&lt;0,0,(RD[[#This Row],[33 kV_F7_Ex
Incomer5]]-DY106)*1000)</f>
        <v>56899.999999999636</v>
      </c>
      <c r="EQ107" s="146">
        <f>IF((RD[[#This Row],[33 kV_F7_Im
Incomer5]]-DZ106)*1000&lt;0,0,(RD[[#This Row],[33 kV_F7_Im
Incomer5]]-DZ106)*1000)</f>
        <v>699.99999999999932</v>
      </c>
      <c r="ER107" s="146">
        <f>IF((RD[[#This Row],[33 kV_Aux Trafo]]-EA106)*1000&lt;0,0,(RD[[#This Row],[33 kV_Aux Trafo]]-EA106)*1000)</f>
        <v>219.99999999999886</v>
      </c>
      <c r="ES107" s="158">
        <f>IF((RD[[#This Row],[33kV_OG1_Ex_]]-EB106)*1&lt;0,0,(RD[[#This Row],[33kV_OG1_Ex_]]-EB106)*1)</f>
        <v>247414</v>
      </c>
      <c r="ET107" s="146">
        <f>IF((RD[[#This Row],[33kV_OG1_Im]]-EC106)*1&lt;0,0,(RD[[#This Row],[33kV_OG1_Im]]-EC106)*1)</f>
        <v>3079.4880000001285</v>
      </c>
      <c r="EU107" s="146">
        <f>IF((RD[[#This Row],[132kV_TX1_EX]]-ED106)*720&lt;=0,"",(RD[[#This Row],[132kV_TX1_EX]]-ED106)*720)</f>
        <v>2880</v>
      </c>
      <c r="EV107" s="146">
        <f>IF((RD[[#This Row],[132 kV_Tx1_Im]]-EE106)*720&lt;=0,0,(RD[[#This Row],[132 kV_Tx1_Im]]-EE106)*720)</f>
        <v>177840</v>
      </c>
      <c r="EW107" s="146">
        <f>IF((RD[[#This Row],[132kV_L1_Ex]]-EF106)*720&lt;=0,0,(RD[[#This Row],[132kV_L1_Ex]]-EF106)*720)</f>
        <v>246600</v>
      </c>
      <c r="EX107" s="146">
        <f>IF((RD[[#This Row],[132kV_L1_Im]]-EG106)*720&lt;=0,0,(RD[[#This Row],[132kV_L1_Im]]-EG106)*720)</f>
        <v>3600</v>
      </c>
      <c r="EY107" s="242">
        <f>IFERROR(RD[[#This Row],[33kV_OG1_Ex (MWh)]]+RD[[#This Row],[33kV_OG1_Im (MWh)]],"")</f>
        <v>250493.48800000013</v>
      </c>
      <c r="EZ107" s="148">
        <f>RD[[#This Row],[33kV_OG1_Ex (MWh)]]-RD[[#This Row],[33kV_OG1_Im (MWh)]]</f>
        <v>244334.51199999987</v>
      </c>
      <c r="FA107" s="148">
        <f>IFERROR(RD[[#This Row],[132kV_L1_Ex(MWh)]]-RD[[#This Row],[132kV_L1_Im(MWh)]],"")</f>
        <v>243000</v>
      </c>
      <c r="FB107" s="297">
        <f>IFERROR(RD[[#This Row],[33kV_Ex(MWh)]]/RD[[#This Row],[Inv Total Gneration (MWh)]]-1,"")</f>
        <v>1.2882698664618442E-2</v>
      </c>
      <c r="FC107" s="243">
        <f>IFERROR((RD[[#This Row],[Sunset Time (POA&lt;20 W/m2)]]-RD[[#This Row],[Sunrise Time (POA&gt;20 W/m2)]])*24,0)</f>
        <v>11.75</v>
      </c>
      <c r="FD107" s="244">
        <v>128.08000000000001</v>
      </c>
      <c r="FE107" s="303" t="s">
        <v>311</v>
      </c>
      <c r="FG107" s="144" t="str">
        <f>IFERROR(RD[[#This Row],[E_AC (WPR)]]/RD[[#This Row],[E_DC (WPR)]],"")</f>
        <v/>
      </c>
    </row>
    <row r="108" spans="1:163">
      <c r="A108" s="133">
        <f t="shared" si="167"/>
        <v>45848</v>
      </c>
      <c r="B108" s="138">
        <f>YEAR(RD[[#This Row],[Date]])+IF(MONTH(RD[[#This Row],[Date]])&gt;=4,1,0)</f>
        <v>2026</v>
      </c>
      <c r="C108" s="138">
        <f>YEAR(RD[[#This Row],[Date]])</f>
        <v>2025</v>
      </c>
      <c r="D108" s="139">
        <f t="shared" si="169"/>
        <v>45839</v>
      </c>
      <c r="E108" s="138">
        <f>DAY(EOMONTH(RD[[#This Row],[Date]],0))</f>
        <v>31</v>
      </c>
      <c r="F108" s="152">
        <v>0.28333333333333333</v>
      </c>
      <c r="G108" s="162">
        <v>0.77638888888888891</v>
      </c>
      <c r="H108" s="124">
        <v>3502.9</v>
      </c>
      <c r="I108" s="268">
        <v>3493.5</v>
      </c>
      <c r="J108" s="124">
        <v>3252.8</v>
      </c>
      <c r="K108" s="124">
        <v>3236.5</v>
      </c>
      <c r="L108" s="124">
        <v>3376.3</v>
      </c>
      <c r="M108" s="124">
        <v>3499.1</v>
      </c>
      <c r="N108" s="124">
        <v>3380.9</v>
      </c>
      <c r="O108" s="124">
        <v>3771.5</v>
      </c>
      <c r="P108" s="124">
        <v>3365.1</v>
      </c>
      <c r="Q108" s="124">
        <v>3363.1</v>
      </c>
      <c r="R108" s="124">
        <v>3405.1</v>
      </c>
      <c r="S108" s="266">
        <v>3471.7</v>
      </c>
      <c r="T108" s="124">
        <v>3534.7</v>
      </c>
      <c r="U108" s="124">
        <v>3394.4</v>
      </c>
      <c r="V108" s="124">
        <v>3528.8</v>
      </c>
      <c r="W108" s="124">
        <v>3392.2</v>
      </c>
      <c r="X108" s="294">
        <v>4805</v>
      </c>
      <c r="Y108" s="203">
        <v>5468.7</v>
      </c>
      <c r="Z108" s="203">
        <v>4690.1000000000004</v>
      </c>
      <c r="AA108" s="203">
        <v>4917.6000000000004</v>
      </c>
      <c r="AB108" s="294">
        <v>5137.7</v>
      </c>
      <c r="AC108" s="203">
        <v>3125.1</v>
      </c>
      <c r="AD108" s="203">
        <v>4815.8</v>
      </c>
      <c r="AE108" s="203">
        <v>4931.1000000000004</v>
      </c>
      <c r="AF108" s="294">
        <v>4806.6000000000004</v>
      </c>
      <c r="AG108" s="203">
        <v>4804</v>
      </c>
      <c r="AH108" s="203">
        <v>4790.8</v>
      </c>
      <c r="AI108" s="294">
        <v>4815.2</v>
      </c>
      <c r="AJ108" s="142">
        <v>3856.9</v>
      </c>
      <c r="AK108" s="142">
        <v>4013.6</v>
      </c>
      <c r="AL108" s="142">
        <v>3977.4</v>
      </c>
      <c r="AM108" s="142">
        <v>4018.2</v>
      </c>
      <c r="AN108" s="142">
        <v>3968.9</v>
      </c>
      <c r="AO108" s="142">
        <v>4128.3999999999996</v>
      </c>
      <c r="AP108" s="142">
        <v>4038.4</v>
      </c>
      <c r="AQ108" s="142">
        <v>3694.1</v>
      </c>
      <c r="AR108" s="142">
        <v>3186.3</v>
      </c>
      <c r="AS108" s="142">
        <v>3213.1</v>
      </c>
      <c r="AT108" s="142">
        <v>3224.3</v>
      </c>
      <c r="AU108" s="142">
        <v>3196.2</v>
      </c>
      <c r="AV108" s="142">
        <v>3270.4</v>
      </c>
      <c r="AW108" s="142">
        <v>3226.2</v>
      </c>
      <c r="AX108" s="142">
        <v>4568.3</v>
      </c>
      <c r="AY108" s="142">
        <v>5186.2</v>
      </c>
      <c r="AZ108" s="142">
        <v>3749.3</v>
      </c>
      <c r="BA108" s="142">
        <v>4624.6000000000004</v>
      </c>
      <c r="BB108" s="142">
        <v>4991</v>
      </c>
      <c r="BC108" s="142">
        <v>4748.6000000000004</v>
      </c>
      <c r="BD108" s="142">
        <v>4258.1000000000004</v>
      </c>
      <c r="BE108" s="142">
        <v>4683.3999999999996</v>
      </c>
      <c r="BF108" s="142">
        <v>5077.6000000000004</v>
      </c>
      <c r="BG108" s="142">
        <v>5203</v>
      </c>
      <c r="BH108" s="142">
        <v>5108.8999999999996</v>
      </c>
      <c r="BI108" s="142">
        <v>5187.3999999999996</v>
      </c>
      <c r="BJ108" s="142">
        <v>3349.5</v>
      </c>
      <c r="BK108" s="142">
        <v>2666.3</v>
      </c>
      <c r="BL108" s="142">
        <v>3230.4</v>
      </c>
      <c r="BM108" s="142">
        <v>3140</v>
      </c>
      <c r="BN108" s="142">
        <v>3577.2</v>
      </c>
      <c r="BO108" s="142">
        <v>3420.9</v>
      </c>
      <c r="BP108" s="142">
        <v>3765.3</v>
      </c>
      <c r="BQ108" s="142">
        <v>3685.2</v>
      </c>
      <c r="BR108" s="142">
        <v>3887</v>
      </c>
      <c r="BS108" s="142">
        <v>4025</v>
      </c>
      <c r="BT108" s="142">
        <v>3838</v>
      </c>
      <c r="BU108" s="142">
        <v>4197</v>
      </c>
      <c r="BV108" s="203">
        <v>3373.5</v>
      </c>
      <c r="BW108" s="203">
        <v>3113.2</v>
      </c>
      <c r="BX108" s="203">
        <v>2911.7</v>
      </c>
      <c r="BY108" s="203">
        <v>3317.2</v>
      </c>
      <c r="BZ108" s="142">
        <v>1455.7</v>
      </c>
      <c r="CA108" s="142">
        <v>390.8</v>
      </c>
      <c r="CB108" s="142">
        <v>3185.4</v>
      </c>
      <c r="CC108" s="142">
        <v>3474.8</v>
      </c>
      <c r="CD108" s="206">
        <v>2.2967634666666701</v>
      </c>
      <c r="CE108" s="59">
        <v>2.3522299499999986</v>
      </c>
      <c r="CF108" s="206">
        <v>2.1263149166666659</v>
      </c>
      <c r="CG108" s="206">
        <v>2.3378052333333308</v>
      </c>
      <c r="CH108" s="206">
        <v>0.27639426666666689</v>
      </c>
      <c r="CI108" s="206">
        <v>0.31532828333333307</v>
      </c>
      <c r="CJ108" s="59">
        <v>0.39723686666666691</v>
      </c>
      <c r="CK108" s="59">
        <v>0.31341363333333394</v>
      </c>
      <c r="CL108" s="206">
        <v>26.238896447467859</v>
      </c>
      <c r="CM108" s="206">
        <v>26.118941798941776</v>
      </c>
      <c r="CN108" s="206">
        <v>35.809195767195781</v>
      </c>
      <c r="CO108" s="206">
        <v>32.725187452758888</v>
      </c>
      <c r="CP108" s="206">
        <v>88.50474678760385</v>
      </c>
      <c r="CQ108" s="206">
        <v>88.339606953892599</v>
      </c>
      <c r="CR108" s="206">
        <v>0</v>
      </c>
      <c r="CS108" s="59">
        <v>0</v>
      </c>
      <c r="CT108" s="206">
        <v>0.70855782312925097</v>
      </c>
      <c r="CU108" s="206">
        <v>0.81297505668934211</v>
      </c>
      <c r="CV108" s="206">
        <v>1.8180000000000001</v>
      </c>
      <c r="CW108" s="258">
        <v>1.6919999999999999</v>
      </c>
      <c r="CX108" s="204">
        <f>IFERROR(AVERAGEIF(RD[[#This Row],[IS1POA1 (KWh/m2)]:[IS7POA2 (KWh/m2)]],"&lt;&gt;0",RD[[#This Row],[IS1POA1 (KWh/m2)]:[IS7POA2 (KWh/m2)]]),"")</f>
        <v>2.3244967083333341</v>
      </c>
      <c r="CY108" s="204">
        <f>IFERROR(AVERAGEIF(RD[[#This Row],[IS1GHI1 (KWh/m2)]:[IS7GHI2 (KWh/m2)]],"&lt;&gt;0",RD[[#This Row],[IS1GHI1 (KWh/m2)]:[IS7GHI2 (KWh/m2)]]),"")</f>
        <v>2.2320600749999984</v>
      </c>
      <c r="CZ108" s="204">
        <f>IFERROR(AVERAGEIF(RD[[#This Row],[IS1POA_BS1 (KWh/m2)]:[IS7POA_BS2 (KWh/m2)]],"&lt;&gt;0",RD[[#This Row],[IS1POA_BS1 (KWh/m2)]:[IS7POA_BS2 (KWh/m2)]]),"")</f>
        <v>0.29586127499999998</v>
      </c>
      <c r="DA108" s="204">
        <f>IFERROR(AVERAGEIF(RD[[#This Row],[IS1GHI_BS1 (KWh/m2)]:[IS1GHI_BS1 (KWh/m2)2]],"&lt;&gt;0",RD[[#This Row],[IS1GHI_BS1 (KWh/m2)]:[IS1GHI_BS1 (KWh/m2)2]]),"")</f>
        <v>0.35532525000000043</v>
      </c>
      <c r="DB108" s="204">
        <f>IFERROR(AVERAGEIF(RD[[#This Row],[IS1AT1 (°C)]:[IS7AT2 (°C)]],"&lt;&gt;0",RD[[#This Row],[IS1AT1 (°C)]:[IS7AT2 (°C)]]),"")</f>
        <v>26.178919123204818</v>
      </c>
      <c r="DC108" s="204">
        <f>IFERROR(AVERAGEIF(RD[[#This Row],[IS1MT1 (°C)]:[IS7MT2 (°C)]],"&lt;&gt;0",RD[[#This Row],[IS1MT1 (°C)]:[IS7MT2 (°C)]]),"")</f>
        <v>34.267191609977331</v>
      </c>
      <c r="DD108" s="204">
        <f>IFERROR(AVERAGEIF(RD[[#This Row],[IS1RH1 (%)]:[IS7RH2 (%)]],"&lt;&gt;0",RD[[#This Row],[IS1RH1 (%)]:[IS7RH2 (%)]]),"")</f>
        <v>88.422176870748217</v>
      </c>
      <c r="DE108" s="204" t="str">
        <f>IFERROR(AVERAGEIF(RD[[#This Row],[IS1Rain1 (mm)]:[IS7Rain2 (mm)]],"&lt;&gt;0",RD[[#This Row],[IS1Rain1 (mm)]:[IS7Rain2 (mm)]]),"")</f>
        <v/>
      </c>
      <c r="DF108" s="204">
        <f>IFERROR(AVERAGEIF(RD[[#This Row],[WS_Solar1_Avg (m/s)]:[IS7_WS_Solar1_Avg (m/s)]],"&lt;&gt;0",RD[[#This Row],[WS_Solar1_Avg (m/s)]:[IS7_WS_Solar1_Avg (m/s)]]),"")</f>
        <v>0.7607664399092966</v>
      </c>
      <c r="DG108" s="204">
        <f>IFERROR(AVERAGEIF(RD[[#This Row],[WS_Solar1_Max (m/s)]:[IS7_WS_Solar1_Max (m/s)]],"&lt;&gt;0",RD[[#This Row],[WS_Solar1_Max (m/s)]:[IS7_WS_Solar1_Max (m/s)]]),"")</f>
        <v>1.7549999999999999</v>
      </c>
      <c r="DH108" s="204">
        <f>SUM(RD[[#This Row],[IS1Inv1M1]:[IS4Inv4M2]])</f>
        <v>112076.30000000002</v>
      </c>
      <c r="DI108" s="205">
        <f>SUM(RD[[#This Row],[IS7Inv1M1]]+RD[[#This Row],[IS7Inv2M1]])</f>
        <v>6399.4</v>
      </c>
      <c r="DJ108" s="204">
        <f>SUM(RD[[#This Row],[IS5Inv1M1]:[IS5Inv2M2]])</f>
        <v>15866.099999999999</v>
      </c>
      <c r="DK108" s="204">
        <f>SUM(RD[[#This Row],[IS8Inv1M1]:[IS9Inv2M2]])</f>
        <v>31045.5</v>
      </c>
      <c r="DL108" s="60">
        <f>SUM(RD[[#This Row],[IS6Inv1M1]:[IS6Inv2M2]])</f>
        <v>15829.8</v>
      </c>
      <c r="DM108" s="286">
        <f>SUM(RD[[#This Row],[IS10Inv1M1]:[IS11Inv1M4]],RD[[#This Row],[IS14Inv1M1]:[IS14Inv2M4]])</f>
        <v>72866.5</v>
      </c>
      <c r="DN108" s="286">
        <f>SUM(RD[[#This Row],[IS12Inv1M1]:[IS12Inv1M4]])</f>
        <v>14448.600000000002</v>
      </c>
      <c r="DO108" s="286">
        <f>SUM(RD[[#This Row],[IS13Inv1M1]:[IS13Inv2M2]])</f>
        <v>15947</v>
      </c>
      <c r="DP108" s="204">
        <f>SUM(RD[[#This Row],[O2R15]:[O2R26]])</f>
        <v>284479.2</v>
      </c>
      <c r="DQ108" s="164">
        <v>45371.5</v>
      </c>
      <c r="DR108" s="168">
        <v>229.7</v>
      </c>
      <c r="DS108" s="164">
        <v>39673.5</v>
      </c>
      <c r="DT108" s="164">
        <v>241.4</v>
      </c>
      <c r="DU108" s="168">
        <v>46877.4</v>
      </c>
      <c r="DV108" s="168">
        <v>452.6</v>
      </c>
      <c r="DW108" s="164">
        <v>10805</v>
      </c>
      <c r="DX108" s="168">
        <v>57.4</v>
      </c>
      <c r="DY108" s="168">
        <v>4313.3</v>
      </c>
      <c r="DZ108" s="168">
        <v>23.7</v>
      </c>
      <c r="EA108" s="140">
        <v>108.72</v>
      </c>
      <c r="EB108" s="241">
        <v>151152410</v>
      </c>
      <c r="EC108" s="240">
        <v>1077154.6880000001</v>
      </c>
      <c r="ED108" s="241">
        <v>1292</v>
      </c>
      <c r="EE108" s="241">
        <v>145349</v>
      </c>
      <c r="EF108" s="164">
        <v>209562.8</v>
      </c>
      <c r="EG108" s="164">
        <v>2066.8000000000002</v>
      </c>
      <c r="EH108" s="146">
        <f>IF((RD[[#This Row],[33 kV_F3_Ex
Incomer1]]-DQ107)*1000&lt;0,0,(RD[[#This Row],[33 kV_F3_Ex
Incomer1]]-DQ107)*1000)</f>
        <v>56900.000000001455</v>
      </c>
      <c r="EI108" s="146">
        <f>IF((RD[[#This Row],[34 kV_F3_Im
Incomer1]]-DR107)*1000&lt;0,0,(RD[[#This Row],[34 kV_F3_Im
Incomer1]]-DR107)*1000)</f>
        <v>399.99999999997726</v>
      </c>
      <c r="EJ108" s="146">
        <f>IF((RD[[#This Row],[33 kV_F4_Ex
Incomer2]]-DS107)*1000&lt;0,0,(RD[[#This Row],[33 kV_F4_Ex
Incomer2]]-DS107)*1000)</f>
        <v>53300.00000000291</v>
      </c>
      <c r="EK108" s="146">
        <f>IF((RD[[#This Row],[34 kV_F4_Im
Incomer2]]-DT107)*1000&lt;0,0,(RD[[#This Row],[34 kV_F4_Im
Incomer2]]-DT107)*1000)</f>
        <v>300.00000000001137</v>
      </c>
      <c r="EL108" s="146">
        <f>IF((RD[[#This Row],[33 kV_F5_Ex
Incomer3]]-DU107)*1000&lt;0,0,(RD[[#This Row],[33 kV_F5_Ex
Incomer3]]-DU107)*1000)</f>
        <v>69099.999999998545</v>
      </c>
      <c r="EM108" s="146">
        <f>IF((RD[[#This Row],[34 kV_F5_Im
Incomer3]]-DV107)*1000&lt;0,0,(RD[[#This Row],[34 kV_F5_Im
Incomer3]]-DV107)*1000)</f>
        <v>1400.0000000000341</v>
      </c>
      <c r="EN108" s="146">
        <f>IF((RD[[#This Row],[33 kV_F6_Ex
Incomer4]]-DW107)*1000&lt;0,0,(RD[[#This Row],[33 kV_F6_Ex
Incomer4]]-DW107)*1000)</f>
        <v>21399.999999999636</v>
      </c>
      <c r="EO108" s="146">
        <f t="shared" si="166"/>
        <v>300.00000000001137</v>
      </c>
      <c r="EP108" s="146">
        <f>IF((RD[[#This Row],[33 kV_F7_Ex
Incomer5]]-DY107)*1000&lt;0,0,(RD[[#This Row],[33 kV_F7_Ex
Incomer5]]-DY107)*1000)</f>
        <v>66100.000000000364</v>
      </c>
      <c r="EQ108" s="146">
        <f>IF((RD[[#This Row],[33 kV_F7_Im
Incomer5]]-DZ107)*1000&lt;0,0,(RD[[#This Row],[33 kV_F7_Im
Incomer5]]-DZ107)*1000)</f>
        <v>699.99999999999932</v>
      </c>
      <c r="ER108" s="146">
        <f>IF((RD[[#This Row],[33 kV_Aux Trafo]]-EA107)*1000&lt;0,0,(RD[[#This Row],[33 kV_Aux Trafo]]-EA107)*1000)</f>
        <v>299.99999999999716</v>
      </c>
      <c r="ES108" s="158">
        <f>IF((RD[[#This Row],[33kV_OG1_Ex_]]-EB107)*1&lt;0,0,(RD[[#This Row],[33kV_OG1_Ex_]]-EB107)*1)</f>
        <v>284017</v>
      </c>
      <c r="ET108" s="146">
        <f>IF((RD[[#This Row],[33kV_OG1_Im]]-EC107)*1&lt;0,0,(RD[[#This Row],[33kV_OG1_Im]]-EC107)*1)</f>
        <v>3617.0879999999888</v>
      </c>
      <c r="EU108" s="146">
        <f>IF((RD[[#This Row],[132kV_TX1_EX]]-ED107)*720&lt;=0,"",(RD[[#This Row],[132kV_TX1_EX]]-ED107)*720)</f>
        <v>2880</v>
      </c>
      <c r="EV108" s="146">
        <f>IF((RD[[#This Row],[132 kV_Tx1_Im]]-EE107)*720&lt;=0,0,(RD[[#This Row],[132 kV_Tx1_Im]]-EE107)*720)</f>
        <v>203760</v>
      </c>
      <c r="EW108" s="146">
        <f>IF((RD[[#This Row],[132kV_L1_Ex]]-EF107)*720&lt;=0,0,(RD[[#This Row],[132kV_L1_Ex]]-EF107)*720)</f>
        <v>283175.99999999162</v>
      </c>
      <c r="EX108" s="146">
        <f>IF((RD[[#This Row],[132kV_L1_Im]]-EG107)*720&lt;=0,0,(RD[[#This Row],[132kV_L1_Im]]-EG107)*720)</f>
        <v>4176.000000000131</v>
      </c>
      <c r="EY108" s="242">
        <f>IFERROR(RD[[#This Row],[33kV_OG1_Ex (MWh)]]+RD[[#This Row],[33kV_OG1_Im (MWh)]],"")</f>
        <v>287634.08799999999</v>
      </c>
      <c r="EZ108" s="148">
        <f>RD[[#This Row],[33kV_OG1_Ex (MWh)]]-RD[[#This Row],[33kV_OG1_Im (MWh)]]</f>
        <v>280399.91200000001</v>
      </c>
      <c r="FA108" s="148">
        <f>IFERROR(RD[[#This Row],[132kV_L1_Ex(MWh)]]-RD[[#This Row],[132kV_L1_Im(MWh)]],"")</f>
        <v>278999.9999999915</v>
      </c>
      <c r="FB108" s="297">
        <f>IFERROR(RD[[#This Row],[33kV_Ex(MWh)]]/RD[[#This Row],[Inv Total Gneration (MWh)]]-1,"")</f>
        <v>1.1090048059752666E-2</v>
      </c>
      <c r="FC108" s="243">
        <f>IFERROR((RD[[#This Row],[Sunset Time (POA&lt;20 W/m2)]]-RD[[#This Row],[Sunrise Time (POA&gt;20 W/m2)]])*24,0)</f>
        <v>11.833333333333334</v>
      </c>
      <c r="FD108" s="244">
        <v>128.08000000000001</v>
      </c>
      <c r="FE108" s="303" t="s">
        <v>297</v>
      </c>
      <c r="FG108" s="144" t="str">
        <f>IFERROR(RD[[#This Row],[E_AC (WPR)]]/RD[[#This Row],[E_DC (WPR)]],"")</f>
        <v/>
      </c>
    </row>
    <row r="109" spans="1:163">
      <c r="A109" s="133">
        <f t="shared" si="167"/>
        <v>45849</v>
      </c>
      <c r="B109" s="138">
        <f>YEAR(RD[[#This Row],[Date]])+IF(MONTH(RD[[#This Row],[Date]])&gt;=4,1,0)</f>
        <v>2026</v>
      </c>
      <c r="C109" s="138">
        <f>YEAR(RD[[#This Row],[Date]])</f>
        <v>2025</v>
      </c>
      <c r="D109" s="139">
        <f t="shared" si="169"/>
        <v>45839</v>
      </c>
      <c r="E109" s="138">
        <f>DAY(EOMONTH(RD[[#This Row],[Date]],0))</f>
        <v>31</v>
      </c>
      <c r="F109" s="152">
        <v>0.25486111111111109</v>
      </c>
      <c r="G109" s="162">
        <v>0.78541666666666665</v>
      </c>
      <c r="H109" s="124">
        <v>7864.5</v>
      </c>
      <c r="I109" s="268">
        <v>7796.7</v>
      </c>
      <c r="J109" s="124">
        <v>7404.6</v>
      </c>
      <c r="K109" s="124">
        <v>7398.4</v>
      </c>
      <c r="L109" s="124">
        <v>7328.4</v>
      </c>
      <c r="M109" s="124">
        <v>7526.3</v>
      </c>
      <c r="N109" s="124">
        <v>7476.3</v>
      </c>
      <c r="O109" s="124">
        <v>8003.1</v>
      </c>
      <c r="P109" s="124">
        <v>7735.9</v>
      </c>
      <c r="Q109" s="124">
        <v>7588.1</v>
      </c>
      <c r="R109" s="124">
        <v>7698.9</v>
      </c>
      <c r="S109" s="266">
        <v>7843.7</v>
      </c>
      <c r="T109" s="124">
        <v>8080.9</v>
      </c>
      <c r="U109" s="124">
        <v>7732.6</v>
      </c>
      <c r="V109" s="124">
        <v>8008.1</v>
      </c>
      <c r="W109" s="124">
        <v>7782.8</v>
      </c>
      <c r="X109" s="294">
        <v>10837.1</v>
      </c>
      <c r="Y109" s="203">
        <v>11768.4</v>
      </c>
      <c r="Z109" s="203">
        <v>10554.7</v>
      </c>
      <c r="AA109" s="203">
        <v>10928.1</v>
      </c>
      <c r="AB109" s="294">
        <v>11371.4</v>
      </c>
      <c r="AC109" s="203">
        <v>7059.5</v>
      </c>
      <c r="AD109" s="203">
        <v>10597.4</v>
      </c>
      <c r="AE109" s="203">
        <v>10816.2</v>
      </c>
      <c r="AF109" s="294">
        <v>10707</v>
      </c>
      <c r="AG109" s="203">
        <v>10755</v>
      </c>
      <c r="AH109" s="203">
        <v>10577.2</v>
      </c>
      <c r="AI109" s="294">
        <v>10608.5</v>
      </c>
      <c r="AJ109" s="142">
        <v>8838.2999999999993</v>
      </c>
      <c r="AK109" s="142">
        <v>9104.2000000000007</v>
      </c>
      <c r="AL109" s="142">
        <v>9032</v>
      </c>
      <c r="AM109" s="142">
        <v>9067.2000000000007</v>
      </c>
      <c r="AN109" s="142">
        <v>9089.1</v>
      </c>
      <c r="AO109" s="142">
        <v>9420.2999999999993</v>
      </c>
      <c r="AP109" s="142">
        <v>9163.5</v>
      </c>
      <c r="AQ109" s="142">
        <v>8841.2999999999993</v>
      </c>
      <c r="AR109" s="142">
        <v>7332.7</v>
      </c>
      <c r="AS109" s="142">
        <v>7358.5</v>
      </c>
      <c r="AT109" s="142">
        <v>7406</v>
      </c>
      <c r="AU109" s="142">
        <v>7069</v>
      </c>
      <c r="AV109" s="142">
        <v>7462.3</v>
      </c>
      <c r="AW109" s="142">
        <v>7366.5</v>
      </c>
      <c r="AX109" s="142">
        <v>10529.9</v>
      </c>
      <c r="AY109" s="142">
        <v>11629.7</v>
      </c>
      <c r="AZ109" s="142">
        <v>8734</v>
      </c>
      <c r="BA109" s="142">
        <v>10474.1</v>
      </c>
      <c r="BB109" s="142">
        <v>8987.5</v>
      </c>
      <c r="BC109" s="142">
        <v>8690.5</v>
      </c>
      <c r="BD109" s="142">
        <v>8996.5</v>
      </c>
      <c r="BE109" s="142">
        <v>9823.4</v>
      </c>
      <c r="BF109" s="142">
        <v>10396.1</v>
      </c>
      <c r="BG109" s="142">
        <v>10467.5</v>
      </c>
      <c r="BH109" s="142">
        <v>10404.4</v>
      </c>
      <c r="BI109" s="142">
        <v>10585.9</v>
      </c>
      <c r="BJ109" s="142">
        <v>6952</v>
      </c>
      <c r="BK109" s="142">
        <v>5567</v>
      </c>
      <c r="BL109" s="142">
        <v>6602</v>
      </c>
      <c r="BM109" s="142">
        <v>6566</v>
      </c>
      <c r="BN109" s="142">
        <v>7252.3</v>
      </c>
      <c r="BO109" s="142">
        <v>6977.9</v>
      </c>
      <c r="BP109" s="142">
        <v>7499.8</v>
      </c>
      <c r="BQ109" s="142">
        <v>7459.2</v>
      </c>
      <c r="BR109" s="142">
        <v>7745</v>
      </c>
      <c r="BS109" s="142">
        <v>8020</v>
      </c>
      <c r="BT109" s="142">
        <v>7658</v>
      </c>
      <c r="BU109" s="142">
        <v>8387</v>
      </c>
      <c r="BV109" s="203">
        <v>7079.9</v>
      </c>
      <c r="BW109" s="203">
        <v>6527.1</v>
      </c>
      <c r="BX109" s="203">
        <v>6179.8</v>
      </c>
      <c r="BY109" s="203">
        <v>6993.9</v>
      </c>
      <c r="BZ109" s="142">
        <v>3179.6</v>
      </c>
      <c r="CA109" s="142">
        <v>962.5</v>
      </c>
      <c r="CB109" s="142">
        <v>6645.9</v>
      </c>
      <c r="CC109" s="142">
        <v>6998.5</v>
      </c>
      <c r="CD109" s="206">
        <v>5.5250780999999902</v>
      </c>
      <c r="CE109" s="59">
        <v>5.9108580166666593</v>
      </c>
      <c r="CF109" s="206">
        <v>5.4084949333333414</v>
      </c>
      <c r="CG109" s="206">
        <v>5.9889954333333337</v>
      </c>
      <c r="CH109" s="206">
        <v>0.7045649166666671</v>
      </c>
      <c r="CI109" s="206">
        <v>0.8212636333333343</v>
      </c>
      <c r="CJ109" s="59">
        <v>1.0422866500000012</v>
      </c>
      <c r="CK109" s="59">
        <v>0.85114939999999861</v>
      </c>
      <c r="CL109" s="206">
        <v>27.888654970760236</v>
      </c>
      <c r="CM109" s="206">
        <v>27.806683375104452</v>
      </c>
      <c r="CN109" s="206">
        <v>42.324035087719373</v>
      </c>
      <c r="CO109" s="206">
        <v>38.666757727652431</v>
      </c>
      <c r="CP109" s="206">
        <v>81.687502088554567</v>
      </c>
      <c r="CQ109" s="206">
        <v>81.816457811194709</v>
      </c>
      <c r="CR109" s="206">
        <v>0</v>
      </c>
      <c r="CS109" s="59">
        <v>0</v>
      </c>
      <c r="CT109" s="206">
        <v>1.0691428571428563</v>
      </c>
      <c r="CU109" s="206">
        <v>1.1503834586466166</v>
      </c>
      <c r="CV109" s="206">
        <v>3.573</v>
      </c>
      <c r="CW109" s="258">
        <v>2.484</v>
      </c>
      <c r="CX109" s="204">
        <f>IFERROR(AVERAGEIF(RD[[#This Row],[IS1POA1 (KWh/m2)]:[IS7POA2 (KWh/m2)]],"&lt;&gt;0",RD[[#This Row],[IS1POA1 (KWh/m2)]:[IS7POA2 (KWh/m2)]]),"")</f>
        <v>5.7179680583333248</v>
      </c>
      <c r="CY109" s="204">
        <f>IFERROR(AVERAGEIF(RD[[#This Row],[IS1GHI1 (KWh/m2)]:[IS7GHI2 (KWh/m2)]],"&lt;&gt;0",RD[[#This Row],[IS1GHI1 (KWh/m2)]:[IS7GHI2 (KWh/m2)]]),"")</f>
        <v>5.6987451833333376</v>
      </c>
      <c r="CZ109" s="204">
        <f>IFERROR(AVERAGEIF(RD[[#This Row],[IS1POA_BS1 (KWh/m2)]:[IS7POA_BS2 (KWh/m2)]],"&lt;&gt;0",RD[[#This Row],[IS1POA_BS1 (KWh/m2)]:[IS7POA_BS2 (KWh/m2)]]),"")</f>
        <v>0.76291427500000064</v>
      </c>
      <c r="DA109" s="204">
        <f>IFERROR(AVERAGEIF(RD[[#This Row],[IS1GHI_BS1 (KWh/m2)]:[IS1GHI_BS1 (KWh/m2)2]],"&lt;&gt;0",RD[[#This Row],[IS1GHI_BS1 (KWh/m2)]:[IS1GHI_BS1 (KWh/m2)2]]),"")</f>
        <v>0.94671802499999991</v>
      </c>
      <c r="DB109" s="204">
        <f>IFERROR(AVERAGEIF(RD[[#This Row],[IS1AT1 (°C)]:[IS7AT2 (°C)]],"&lt;&gt;0",RD[[#This Row],[IS1AT1 (°C)]:[IS7AT2 (°C)]]),"")</f>
        <v>27.847669172932342</v>
      </c>
      <c r="DC109" s="204">
        <f>IFERROR(AVERAGEIF(RD[[#This Row],[IS1MT1 (°C)]:[IS7MT2 (°C)]],"&lt;&gt;0",RD[[#This Row],[IS1MT1 (°C)]:[IS7MT2 (°C)]]),"")</f>
        <v>40.495396407685902</v>
      </c>
      <c r="DD109" s="204">
        <f>IFERROR(AVERAGEIF(RD[[#This Row],[IS1RH1 (%)]:[IS7RH2 (%)]],"&lt;&gt;0",RD[[#This Row],[IS1RH1 (%)]:[IS7RH2 (%)]]),"")</f>
        <v>81.751979949874638</v>
      </c>
      <c r="DE109" s="204" t="str">
        <f>IFERROR(AVERAGEIF(RD[[#This Row],[IS1Rain1 (mm)]:[IS7Rain2 (mm)]],"&lt;&gt;0",RD[[#This Row],[IS1Rain1 (mm)]:[IS7Rain2 (mm)]]),"")</f>
        <v/>
      </c>
      <c r="DF109" s="204">
        <f>IFERROR(AVERAGEIF(RD[[#This Row],[WS_Solar1_Avg (m/s)]:[IS7_WS_Solar1_Avg (m/s)]],"&lt;&gt;0",RD[[#This Row],[WS_Solar1_Avg (m/s)]:[IS7_WS_Solar1_Avg (m/s)]]),"")</f>
        <v>1.1097631578947365</v>
      </c>
      <c r="DG109" s="204">
        <f>IFERROR(AVERAGEIF(RD[[#This Row],[WS_Solar1_Max (m/s)]:[IS7_WS_Solar1_Max (m/s)]],"&lt;&gt;0",RD[[#This Row],[WS_Solar1_Max (m/s)]:[IS7_WS_Solar1_Max (m/s)]]),"")</f>
        <v>3.0285000000000002</v>
      </c>
      <c r="DH109" s="204">
        <f>SUM(RD[[#This Row],[IS1Inv1M1]:[IS4Inv4M2]])</f>
        <v>249849.80000000005</v>
      </c>
      <c r="DI109" s="205">
        <f>SUM(RD[[#This Row],[IS7Inv1M1]]+RD[[#This Row],[IS7Inv2M1]])</f>
        <v>14691.2</v>
      </c>
      <c r="DJ109" s="204">
        <f>SUM(RD[[#This Row],[IS5Inv1M1]:[IS5Inv2M2]])</f>
        <v>36041.699999999997</v>
      </c>
      <c r="DK109" s="204">
        <f>SUM(RD[[#This Row],[IS8Inv1M1]:[IS9Inv2M2]])</f>
        <v>70671.5</v>
      </c>
      <c r="DL109" s="60">
        <f>SUM(RD[[#This Row],[IS6Inv1M1]:[IS6Inv2M2]])</f>
        <v>36514.199999999997</v>
      </c>
      <c r="DM109" s="286">
        <f>SUM(RD[[#This Row],[IS10Inv1M1]:[IS11Inv1M4]],RD[[#This Row],[IS14Inv1M1]:[IS14Inv2M4]])</f>
        <v>148605.99999999997</v>
      </c>
      <c r="DN109" s="286">
        <f>SUM(RD[[#This Row],[IS12Inv1M1]:[IS12Inv1M4]])</f>
        <v>29189.200000000001</v>
      </c>
      <c r="DO109" s="286">
        <f>SUM(RD[[#This Row],[IS13Inv1M1]:[IS13Inv2M2]])</f>
        <v>31810</v>
      </c>
      <c r="DP109" s="204">
        <f>SUM(RD[[#This Row],[O2R15]:[O2R26]])</f>
        <v>617373.6</v>
      </c>
      <c r="DQ109" s="164">
        <v>45497.2</v>
      </c>
      <c r="DR109" s="168">
        <v>229.8</v>
      </c>
      <c r="DS109" s="164">
        <v>39788.1</v>
      </c>
      <c r="DT109" s="164">
        <v>241.7</v>
      </c>
      <c r="DU109" s="168">
        <v>47033.4</v>
      </c>
      <c r="DV109" s="168">
        <v>453.7</v>
      </c>
      <c r="DW109" s="164">
        <v>10848.8</v>
      </c>
      <c r="DX109" s="168">
        <v>57.6</v>
      </c>
      <c r="DY109" s="168">
        <v>4444.6000000000004</v>
      </c>
      <c r="DZ109" s="168">
        <v>24.2</v>
      </c>
      <c r="EA109" s="140">
        <v>109.01</v>
      </c>
      <c r="EB109" s="241">
        <v>151760994</v>
      </c>
      <c r="EC109" s="240">
        <v>1079802.24</v>
      </c>
      <c r="ED109" s="241">
        <v>1295</v>
      </c>
      <c r="EE109" s="241">
        <v>145955</v>
      </c>
      <c r="EF109" s="164">
        <v>210405.3</v>
      </c>
      <c r="EG109" s="164">
        <v>2071</v>
      </c>
      <c r="EH109" s="146">
        <f>IF((RD[[#This Row],[33 kV_F3_Ex
Incomer1]]-DQ108)*1000&lt;0,0,(RD[[#This Row],[33 kV_F3_Ex
Incomer1]]-DQ108)*1000)</f>
        <v>125699.99999999709</v>
      </c>
      <c r="EI109" s="146">
        <f>IF((RD[[#This Row],[34 kV_F3_Im
Incomer1]]-DR108)*1000&lt;0,0,(RD[[#This Row],[34 kV_F3_Im
Incomer1]]-DR108)*1000)</f>
        <v>100.00000000002274</v>
      </c>
      <c r="EJ109" s="146">
        <f>IF((RD[[#This Row],[33 kV_F4_Ex
Incomer2]]-DS108)*1000&lt;0,0,(RD[[#This Row],[33 kV_F4_Ex
Incomer2]]-DS108)*1000)</f>
        <v>114599.99999999854</v>
      </c>
      <c r="EK109" s="146">
        <f>IF((RD[[#This Row],[34 kV_F4_Im
Incomer2]]-DT108)*1000&lt;0,0,(RD[[#This Row],[34 kV_F4_Im
Incomer2]]-DT108)*1000)</f>
        <v>299.99999999998295</v>
      </c>
      <c r="EL109" s="146">
        <f>IF((RD[[#This Row],[33 kV_F5_Ex
Incomer3]]-DU108)*1000&lt;0,0,(RD[[#This Row],[33 kV_F5_Ex
Incomer3]]-DU108)*1000)</f>
        <v>156000</v>
      </c>
      <c r="EM109" s="146">
        <f>IF((RD[[#This Row],[34 kV_F5_Im
Incomer3]]-DV108)*1000&lt;0,0,(RD[[#This Row],[34 kV_F5_Im
Incomer3]]-DV108)*1000)</f>
        <v>1099.9999999999659</v>
      </c>
      <c r="EN109" s="146">
        <f>IF((RD[[#This Row],[33 kV_F6_Ex
Incomer4]]-DW108)*1000&lt;0,0,(RD[[#This Row],[33 kV_F6_Ex
Incomer4]]-DW108)*1000)</f>
        <v>43799.999999999272</v>
      </c>
      <c r="EO109" s="146">
        <f t="shared" si="166"/>
        <v>299.99999999998295</v>
      </c>
      <c r="EP109" s="146">
        <f>IF((RD[[#This Row],[33 kV_F7_Ex
Incomer5]]-DY108)*1000&lt;0,0,(RD[[#This Row],[33 kV_F7_Ex
Incomer5]]-DY108)*1000)</f>
        <v>131300.00000000017</v>
      </c>
      <c r="EQ109" s="146">
        <f>IF((RD[[#This Row],[33 kV_F7_Im
Incomer5]]-DZ108)*1000&lt;0,0,(RD[[#This Row],[33 kV_F7_Im
Incomer5]]-DZ108)*1000)</f>
        <v>500</v>
      </c>
      <c r="ER109" s="146">
        <f>IF((RD[[#This Row],[33 kV_Aux Trafo]]-EA108)*1000&lt;0,0,(RD[[#This Row],[33 kV_Aux Trafo]]-EA108)*1000)</f>
        <v>290.00000000000625</v>
      </c>
      <c r="ES109" s="158">
        <f>IF((RD[[#This Row],[33kV_OG1_Ex_]]-EB108)*1&lt;0,0,(RD[[#This Row],[33kV_OG1_Ex_]]-EB108)*1)</f>
        <v>608584</v>
      </c>
      <c r="ET109" s="146">
        <f>IF((RD[[#This Row],[33kV_OG1_Im]]-EC108)*1&lt;0,0,(RD[[#This Row],[33kV_OG1_Im]]-EC108)*1)</f>
        <v>2647.5519999999087</v>
      </c>
      <c r="EU109" s="146">
        <f>IF((RD[[#This Row],[132kV_TX1_EX]]-ED108)*720&lt;=0,"",(RD[[#This Row],[132kV_TX1_EX]]-ED108)*720)</f>
        <v>2160</v>
      </c>
      <c r="EV109" s="146">
        <f>IF((RD[[#This Row],[132 kV_Tx1_Im]]-EE108)*720&lt;=0,0,(RD[[#This Row],[132 kV_Tx1_Im]]-EE108)*720)</f>
        <v>436320</v>
      </c>
      <c r="EW109" s="146">
        <f>IF((RD[[#This Row],[132kV_L1_Ex]]-EF108)*720&lt;=0,0,(RD[[#This Row],[132kV_L1_Ex]]-EF108)*720)</f>
        <v>606600</v>
      </c>
      <c r="EX109" s="146">
        <f>IF((RD[[#This Row],[132kV_L1_Im]]-EG108)*720&lt;=0,0,(RD[[#This Row],[132kV_L1_Im]]-EG108)*720)</f>
        <v>3023.999999999869</v>
      </c>
      <c r="EY109" s="242">
        <f>IFERROR(RD[[#This Row],[33kV_OG1_Ex (MWh)]]+RD[[#This Row],[33kV_OG1_Im (MWh)]],"")</f>
        <v>611231.55199999991</v>
      </c>
      <c r="EZ109" s="148">
        <f>RD[[#This Row],[33kV_OG1_Ex (MWh)]]-RD[[#This Row],[33kV_OG1_Im (MWh)]]</f>
        <v>605936.44800000009</v>
      </c>
      <c r="FA109" s="148">
        <f>IFERROR(RD[[#This Row],[132kV_L1_Ex(MWh)]]-RD[[#This Row],[132kV_L1_Im(MWh)]],"")</f>
        <v>603576.00000000012</v>
      </c>
      <c r="FB109" s="297">
        <f>IFERROR(RD[[#This Row],[33kV_Ex(MWh)]]/RD[[#This Row],[Inv Total Gneration (MWh)]]-1,"")</f>
        <v>-9.9486728943383174E-3</v>
      </c>
      <c r="FC109" s="243">
        <f>IFERROR((RD[[#This Row],[Sunset Time (POA&lt;20 W/m2)]]-RD[[#This Row],[Sunrise Time (POA&gt;20 W/m2)]])*24,0)</f>
        <v>12.733333333333334</v>
      </c>
      <c r="FD109" s="244">
        <v>128.08000000000001</v>
      </c>
      <c r="FE109" t="s">
        <v>312</v>
      </c>
      <c r="FG109" s="144" t="str">
        <f>IFERROR(RD[[#This Row],[E_AC (WPR)]]/RD[[#This Row],[E_DC (WPR)]],"")</f>
        <v/>
      </c>
    </row>
    <row r="110" spans="1:163">
      <c r="A110" s="133">
        <f t="shared" si="167"/>
        <v>45850</v>
      </c>
      <c r="B110" s="138">
        <f>YEAR(RD[[#This Row],[Date]])+IF(MONTH(RD[[#This Row],[Date]])&gt;=4,1,0)</f>
        <v>2026</v>
      </c>
      <c r="C110" s="138">
        <f>YEAR(RD[[#This Row],[Date]])</f>
        <v>2025</v>
      </c>
      <c r="D110" s="139">
        <f t="shared" si="169"/>
        <v>45839</v>
      </c>
      <c r="E110" s="138">
        <f>DAY(EOMONTH(RD[[#This Row],[Date]],0))</f>
        <v>31</v>
      </c>
      <c r="F110" s="152">
        <v>0.25486111111111109</v>
      </c>
      <c r="G110" s="162">
        <v>0.78333333333333333</v>
      </c>
      <c r="H110" s="124">
        <v>5889</v>
      </c>
      <c r="I110" s="268">
        <v>5891.1</v>
      </c>
      <c r="J110" s="124">
        <v>5524.9</v>
      </c>
      <c r="K110" s="124">
        <v>5560.6</v>
      </c>
      <c r="L110" s="124">
        <v>5718.8</v>
      </c>
      <c r="M110" s="124">
        <v>5871.1</v>
      </c>
      <c r="N110" s="124">
        <v>5708.7</v>
      </c>
      <c r="O110" s="124">
        <v>6287.5</v>
      </c>
      <c r="P110" s="124">
        <v>5718.9</v>
      </c>
      <c r="Q110" s="124">
        <v>5719.2</v>
      </c>
      <c r="R110" s="124">
        <v>5797.1</v>
      </c>
      <c r="S110" s="266">
        <v>5891.1</v>
      </c>
      <c r="T110" s="124">
        <v>5989.1</v>
      </c>
      <c r="U110" s="124">
        <v>5804.9</v>
      </c>
      <c r="V110" s="124">
        <v>6005.1</v>
      </c>
      <c r="W110" s="124">
        <v>5783.8</v>
      </c>
      <c r="X110" s="294">
        <v>8071.2</v>
      </c>
      <c r="Y110" s="203">
        <v>9103.9</v>
      </c>
      <c r="Z110" s="203">
        <v>7869.8</v>
      </c>
      <c r="AA110" s="203">
        <v>8224.9</v>
      </c>
      <c r="AB110" s="294">
        <v>8751.2999999999993</v>
      </c>
      <c r="AC110" s="203">
        <v>5529.9</v>
      </c>
      <c r="AD110" s="203">
        <v>8313.5</v>
      </c>
      <c r="AE110" s="203">
        <v>8521</v>
      </c>
      <c r="AF110" s="294">
        <v>8242.5</v>
      </c>
      <c r="AG110" s="203">
        <v>8144</v>
      </c>
      <c r="AH110" s="203">
        <v>8263.1</v>
      </c>
      <c r="AI110" s="294">
        <v>8319.4</v>
      </c>
      <c r="AJ110" s="142">
        <v>6992.3</v>
      </c>
      <c r="AK110" s="142">
        <v>7206</v>
      </c>
      <c r="AL110" s="142">
        <v>7178.6</v>
      </c>
      <c r="AM110" s="142">
        <v>7237.3</v>
      </c>
      <c r="AN110" s="142">
        <v>7157.8</v>
      </c>
      <c r="AO110" s="142">
        <v>7417.7</v>
      </c>
      <c r="AP110" s="142">
        <v>7257.3</v>
      </c>
      <c r="AQ110" s="142">
        <v>7164.4</v>
      </c>
      <c r="AR110" s="142">
        <v>5773.7</v>
      </c>
      <c r="AS110" s="142">
        <v>5811.6</v>
      </c>
      <c r="AT110" s="142">
        <v>5862.8</v>
      </c>
      <c r="AU110" s="142">
        <v>5571.8</v>
      </c>
      <c r="AV110" s="142">
        <v>5926.5</v>
      </c>
      <c r="AW110" s="142">
        <v>5839.6</v>
      </c>
      <c r="AX110" s="142">
        <v>8141.9</v>
      </c>
      <c r="AY110" s="142">
        <v>9119.6</v>
      </c>
      <c r="AZ110" s="142">
        <v>6746</v>
      </c>
      <c r="BA110" s="142">
        <v>8216.2999999999993</v>
      </c>
      <c r="BB110" s="142">
        <v>8062</v>
      </c>
      <c r="BC110" s="142">
        <v>7760</v>
      </c>
      <c r="BD110" s="142">
        <v>7324</v>
      </c>
      <c r="BE110" s="142">
        <v>8076</v>
      </c>
      <c r="BF110" s="142">
        <v>8586</v>
      </c>
      <c r="BG110" s="142">
        <v>8786</v>
      </c>
      <c r="BH110" s="142">
        <v>8927</v>
      </c>
      <c r="BI110" s="142">
        <v>9033</v>
      </c>
      <c r="BJ110" s="142">
        <v>5972</v>
      </c>
      <c r="BK110" s="142">
        <v>4765</v>
      </c>
      <c r="BL110" s="142">
        <v>5796</v>
      </c>
      <c r="BM110" s="142">
        <v>5747</v>
      </c>
      <c r="BN110" s="142">
        <v>6365</v>
      </c>
      <c r="BO110" s="142">
        <v>6123</v>
      </c>
      <c r="BP110" s="142">
        <v>6672</v>
      </c>
      <c r="BQ110" s="142">
        <v>6532</v>
      </c>
      <c r="BR110" s="142">
        <v>6909</v>
      </c>
      <c r="BS110" s="142">
        <v>7163</v>
      </c>
      <c r="BT110" s="142">
        <v>6623</v>
      </c>
      <c r="BU110" s="142">
        <v>7453</v>
      </c>
      <c r="BV110" s="203">
        <v>6160</v>
      </c>
      <c r="BW110" s="203">
        <v>5653</v>
      </c>
      <c r="BX110" s="203">
        <v>5254</v>
      </c>
      <c r="BY110" s="203">
        <v>5848</v>
      </c>
      <c r="BZ110" s="142">
        <v>2727</v>
      </c>
      <c r="CA110" s="142">
        <v>808</v>
      </c>
      <c r="CB110" s="142">
        <v>5831</v>
      </c>
      <c r="CC110" s="142">
        <v>6279</v>
      </c>
      <c r="CD110" s="206">
        <v>3.9810886666666701</v>
      </c>
      <c r="CE110" s="59">
        <v>4.5068170166666777</v>
      </c>
      <c r="CF110" s="206">
        <v>3.8029342833333368</v>
      </c>
      <c r="CG110" s="206">
        <v>4.5644449500000004</v>
      </c>
      <c r="CH110" s="206">
        <v>0.51341783333333246</v>
      </c>
      <c r="CI110" s="206">
        <v>0.65675396666666686</v>
      </c>
      <c r="CJ110" s="59">
        <v>0.76454719999999987</v>
      </c>
      <c r="CK110" s="59">
        <v>0.66159460000000037</v>
      </c>
      <c r="CL110" s="206">
        <v>27.742296730930473</v>
      </c>
      <c r="CM110" s="206">
        <v>27.82573344509645</v>
      </c>
      <c r="CN110" s="206">
        <v>39.67335456831524</v>
      </c>
      <c r="CO110" s="206">
        <v>36.948031014249814</v>
      </c>
      <c r="CP110" s="206">
        <v>77.944073763621304</v>
      </c>
      <c r="CQ110" s="206">
        <v>78.004610226320196</v>
      </c>
      <c r="CR110" s="206">
        <v>0</v>
      </c>
      <c r="CS110" s="59">
        <v>0</v>
      </c>
      <c r="CT110" s="206">
        <v>1.4120997485331073</v>
      </c>
      <c r="CU110" s="206">
        <v>1.5403000838222969</v>
      </c>
      <c r="CV110" s="206">
        <v>2.9910000000000001</v>
      </c>
      <c r="CW110" s="258">
        <v>2.9609999999999999</v>
      </c>
      <c r="CX110" s="204">
        <f>IFERROR(AVERAGEIF(RD[[#This Row],[IS1POA1 (KWh/m2)]:[IS7POA2 (KWh/m2)]],"&lt;&gt;0",RD[[#This Row],[IS1POA1 (KWh/m2)]:[IS7POA2 (KWh/m2)]]),"")</f>
        <v>4.2439528416666743</v>
      </c>
      <c r="CY110" s="204">
        <f>IFERROR(AVERAGEIF(RD[[#This Row],[IS1GHI1 (KWh/m2)]:[IS7GHI2 (KWh/m2)]],"&lt;&gt;0",RD[[#This Row],[IS1GHI1 (KWh/m2)]:[IS7GHI2 (KWh/m2)]]),"")</f>
        <v>4.1836896166666691</v>
      </c>
      <c r="CZ110" s="204">
        <f>IFERROR(AVERAGEIF(RD[[#This Row],[IS1POA_BS1 (KWh/m2)]:[IS7POA_BS2 (KWh/m2)]],"&lt;&gt;0",RD[[#This Row],[IS1POA_BS1 (KWh/m2)]:[IS7POA_BS2 (KWh/m2)]]),"")</f>
        <v>0.58508589999999971</v>
      </c>
      <c r="DA110" s="204">
        <f>IFERROR(AVERAGEIF(RD[[#This Row],[IS1GHI_BS1 (KWh/m2)]:[IS1GHI_BS1 (KWh/m2)2]],"&lt;&gt;0",RD[[#This Row],[IS1GHI_BS1 (KWh/m2)]:[IS1GHI_BS1 (KWh/m2)2]]),"")</f>
        <v>0.71307090000000017</v>
      </c>
      <c r="DB110" s="204">
        <f>IFERROR(AVERAGEIF(RD[[#This Row],[IS1AT1 (°C)]:[IS7AT2 (°C)]],"&lt;&gt;0",RD[[#This Row],[IS1AT1 (°C)]:[IS7AT2 (°C)]]),"")</f>
        <v>27.784015088013462</v>
      </c>
      <c r="DC110" s="204">
        <f>IFERROR(AVERAGEIF(RD[[#This Row],[IS1MT1 (°C)]:[IS7MT2 (°C)]],"&lt;&gt;0",RD[[#This Row],[IS1MT1 (°C)]:[IS7MT2 (°C)]]),"")</f>
        <v>38.310692791282527</v>
      </c>
      <c r="DD110" s="204">
        <f>IFERROR(AVERAGEIF(RD[[#This Row],[IS1RH1 (%)]:[IS7RH2 (%)]],"&lt;&gt;0",RD[[#This Row],[IS1RH1 (%)]:[IS7RH2 (%)]]),"")</f>
        <v>77.974341994970757</v>
      </c>
      <c r="DE110" s="204" t="str">
        <f>IFERROR(AVERAGEIF(RD[[#This Row],[IS1Rain1 (mm)]:[IS7Rain2 (mm)]],"&lt;&gt;0",RD[[#This Row],[IS1Rain1 (mm)]:[IS7Rain2 (mm)]]),"")</f>
        <v/>
      </c>
      <c r="DF110" s="204">
        <f>IFERROR(AVERAGEIF(RD[[#This Row],[WS_Solar1_Avg (m/s)]:[IS7_WS_Solar1_Avg (m/s)]],"&lt;&gt;0",RD[[#This Row],[WS_Solar1_Avg (m/s)]:[IS7_WS_Solar1_Avg (m/s)]]),"")</f>
        <v>1.476199916177702</v>
      </c>
      <c r="DG110" s="204">
        <f>IFERROR(AVERAGEIF(RD[[#This Row],[WS_Solar1_Max (m/s)]:[IS7_WS_Solar1_Max (m/s)]],"&lt;&gt;0",RD[[#This Row],[WS_Solar1_Max (m/s)]:[IS7_WS_Solar1_Max (m/s)]]),"")</f>
        <v>2.976</v>
      </c>
      <c r="DH110" s="204">
        <f>SUM(RD[[#This Row],[IS1Inv1M1]:[IS4Inv4M2]])</f>
        <v>190515.4</v>
      </c>
      <c r="DI110" s="205">
        <f>SUM(RD[[#This Row],[IS7Inv1M1]]+RD[[#This Row],[IS7Inv2M1]])</f>
        <v>11585.3</v>
      </c>
      <c r="DJ110" s="204">
        <f>SUM(RD[[#This Row],[IS5Inv1M1]:[IS5Inv2M2]])</f>
        <v>28614.2</v>
      </c>
      <c r="DK110" s="204">
        <f>SUM(RD[[#This Row],[IS8Inv1M1]:[IS9Inv2M2]])</f>
        <v>55424.5</v>
      </c>
      <c r="DL110" s="60">
        <f>SUM(RD[[#This Row],[IS6Inv1M1]:[IS6Inv2M2]])</f>
        <v>28997.199999999997</v>
      </c>
      <c r="DM110" s="286">
        <f>SUM(RD[[#This Row],[IS10Inv1M1]:[IS11Inv1M4]],RD[[#This Row],[IS14Inv1M1]:[IS14Inv2M4]])</f>
        <v>127394</v>
      </c>
      <c r="DN110" s="286">
        <f>SUM(RD[[#This Row],[IS12Inv1M1]:[IS12Inv1M4]])</f>
        <v>25692</v>
      </c>
      <c r="DO110" s="286">
        <f>SUM(RD[[#This Row],[IS13Inv1M1]:[IS13Inv2M2]])</f>
        <v>28148</v>
      </c>
      <c r="DP110" s="204">
        <f>SUM(RD[[#This Row],[O2R15]:[O2R26]])</f>
        <v>496370.60000000003</v>
      </c>
      <c r="DQ110" s="164">
        <v>45594.1</v>
      </c>
      <c r="DR110" s="168">
        <v>230.1</v>
      </c>
      <c r="DS110" s="164">
        <v>39876</v>
      </c>
      <c r="DT110" s="164">
        <v>242</v>
      </c>
      <c r="DU110" s="168">
        <v>47156.9</v>
      </c>
      <c r="DV110" s="168">
        <v>454.9</v>
      </c>
      <c r="DW110" s="164">
        <v>10886.9</v>
      </c>
      <c r="DX110" s="168">
        <v>57.7</v>
      </c>
      <c r="DY110" s="168">
        <v>4557.7</v>
      </c>
      <c r="DZ110" s="168">
        <v>24.5</v>
      </c>
      <c r="EA110" s="140">
        <v>109.29</v>
      </c>
      <c r="EB110" s="241">
        <v>152251875</v>
      </c>
      <c r="EC110" s="240">
        <v>1082370.5600000001</v>
      </c>
      <c r="ED110" s="241">
        <v>1298</v>
      </c>
      <c r="EE110" s="241">
        <v>146444</v>
      </c>
      <c r="EF110" s="164">
        <v>211085</v>
      </c>
      <c r="EG110" s="164">
        <v>2075.1</v>
      </c>
      <c r="EH110" s="146">
        <f>IF((RD[[#This Row],[33 kV_F3_Ex
Incomer1]]-DQ109)*1000&lt;0,0,(RD[[#This Row],[33 kV_F3_Ex
Incomer1]]-DQ109)*1000)</f>
        <v>96900.000000001455</v>
      </c>
      <c r="EI110" s="146">
        <f>IF((RD[[#This Row],[34 kV_F3_Im
Incomer1]]-DR109)*1000&lt;0,0,(RD[[#This Row],[34 kV_F3_Im
Incomer1]]-DR109)*1000)</f>
        <v>299.99999999998295</v>
      </c>
      <c r="EJ110" s="146">
        <f>IF((RD[[#This Row],[33 kV_F4_Ex
Incomer2]]-DS109)*1000&lt;0,0,(RD[[#This Row],[33 kV_F4_Ex
Incomer2]]-DS109)*1000)</f>
        <v>87900.000000001455</v>
      </c>
      <c r="EK110" s="146">
        <f>IF((RD[[#This Row],[34 kV_F4_Im
Incomer2]]-DT109)*1000&lt;0,0,(RD[[#This Row],[34 kV_F4_Im
Incomer2]]-DT109)*1000)</f>
        <v>300.00000000001137</v>
      </c>
      <c r="EL110" s="146">
        <f>IF((RD[[#This Row],[33 kV_F5_Ex
Incomer3]]-DU109)*1000&lt;0,0,(RD[[#This Row],[33 kV_F5_Ex
Incomer3]]-DU109)*1000)</f>
        <v>123500</v>
      </c>
      <c r="EM110" s="146">
        <f>IF((RD[[#This Row],[34 kV_F5_Im
Incomer3]]-DV109)*1000&lt;0,0,(RD[[#This Row],[34 kV_F5_Im
Incomer3]]-DV109)*1000)</f>
        <v>1199.9999999999886</v>
      </c>
      <c r="EN110" s="146">
        <f>IF((RD[[#This Row],[33 kV_F6_Ex
Incomer4]]-DW109)*1000&lt;0,0,(RD[[#This Row],[33 kV_F6_Ex
Incomer4]]-DW109)*1000)</f>
        <v>38100.000000000364</v>
      </c>
      <c r="EO110" s="146">
        <f t="shared" si="166"/>
        <v>400.00000000000568</v>
      </c>
      <c r="EP110" s="146">
        <f>IF((RD[[#This Row],[33 kV_F7_Ex
Incomer5]]-DY109)*1000&lt;0,0,(RD[[#This Row],[33 kV_F7_Ex
Incomer5]]-DY109)*1000)</f>
        <v>113099.99999999945</v>
      </c>
      <c r="EQ110" s="146">
        <f>IF((RD[[#This Row],[33 kV_F7_Im
Incomer5]]-DZ109)*1000&lt;0,0,(RD[[#This Row],[33 kV_F7_Im
Incomer5]]-DZ109)*1000)</f>
        <v>300.00000000000068</v>
      </c>
      <c r="ER110" s="146">
        <f>IF((RD[[#This Row],[33 kV_Aux Trafo]]-EA109)*1000&lt;0,0,(RD[[#This Row],[33 kV_Aux Trafo]]-EA109)*1000)</f>
        <v>280.00000000000114</v>
      </c>
      <c r="ES110" s="158">
        <f>IF((RD[[#This Row],[33kV_OG1_Ex_]]-EB109)*1&lt;0,0,(RD[[#This Row],[33kV_OG1_Ex_]]-EB109)*1)</f>
        <v>490881</v>
      </c>
      <c r="ET110" s="146">
        <f>IF((RD[[#This Row],[33kV_OG1_Im]]-EC109)*1&lt;0,0,(RD[[#This Row],[33kV_OG1_Im]]-EC109)*1)</f>
        <v>2568.3200000000652</v>
      </c>
      <c r="EU110" s="146">
        <f>IF((RD[[#This Row],[132kV_TX1_EX]]-ED109)*720&lt;=0,"",(RD[[#This Row],[132kV_TX1_EX]]-ED109)*720)</f>
        <v>2160</v>
      </c>
      <c r="EV110" s="146">
        <f>IF((RD[[#This Row],[132 kV_Tx1_Im]]-EE109)*720&lt;=0,0,(RD[[#This Row],[132 kV_Tx1_Im]]-EE109)*720)</f>
        <v>352080</v>
      </c>
      <c r="EW110" s="146">
        <f>IF((RD[[#This Row],[132kV_L1_Ex]]-EF109)*720&lt;=0,0,(RD[[#This Row],[132kV_L1_Ex]]-EF109)*720)</f>
        <v>489384.00000000838</v>
      </c>
      <c r="EX110" s="146">
        <f>IF((RD[[#This Row],[132kV_L1_Im]]-EG109)*720&lt;=0,0,(RD[[#This Row],[132kV_L1_Im]]-EG109)*720)</f>
        <v>2951.9999999999345</v>
      </c>
      <c r="EY110" s="242">
        <f>IFERROR(RD[[#This Row],[33kV_OG1_Ex (MWh)]]+RD[[#This Row],[33kV_OG1_Im (MWh)]],"")</f>
        <v>493449.32000000007</v>
      </c>
      <c r="EZ110" s="148">
        <f>RD[[#This Row],[33kV_OG1_Ex (MWh)]]-RD[[#This Row],[33kV_OG1_Im (MWh)]]</f>
        <v>488312.67999999993</v>
      </c>
      <c r="FA110" s="148">
        <f>IFERROR(RD[[#This Row],[132kV_L1_Ex(MWh)]]-RD[[#This Row],[132kV_L1_Im(MWh)]],"")</f>
        <v>486432.00000000844</v>
      </c>
      <c r="FB110" s="297">
        <f>IFERROR(RD[[#This Row],[33kV_Ex(MWh)]]/RD[[#This Row],[Inv Total Gneration (MWh)]]-1,"")</f>
        <v>-5.8852800709792152E-3</v>
      </c>
      <c r="FC110" s="243">
        <f>IFERROR((RD[[#This Row],[Sunset Time (POA&lt;20 W/m2)]]-RD[[#This Row],[Sunrise Time (POA&gt;20 W/m2)]])*24,0)</f>
        <v>12.683333333333334</v>
      </c>
      <c r="FD110" s="244">
        <v>128.08000000000001</v>
      </c>
      <c r="FE110" s="303" t="s">
        <v>297</v>
      </c>
      <c r="FG110" s="144" t="str">
        <f>IFERROR(RD[[#This Row],[E_AC (WPR)]]/RD[[#This Row],[E_DC (WPR)]],"")</f>
        <v/>
      </c>
    </row>
    <row r="111" spans="1:163">
      <c r="A111" s="133">
        <f t="shared" si="167"/>
        <v>45851</v>
      </c>
      <c r="B111" s="138">
        <f>YEAR(RD[[#This Row],[Date]])+IF(MONTH(RD[[#This Row],[Date]])&gt;=4,1,0)</f>
        <v>2026</v>
      </c>
      <c r="C111" s="138">
        <f>YEAR(RD[[#This Row],[Date]])</f>
        <v>2025</v>
      </c>
      <c r="D111" s="139">
        <f t="shared" si="169"/>
        <v>45839</v>
      </c>
      <c r="E111" s="138">
        <f>DAY(EOMONTH(RD[[#This Row],[Date]],0))</f>
        <v>31</v>
      </c>
      <c r="F111" s="152">
        <v>0.26041666666666669</v>
      </c>
      <c r="G111" s="162">
        <v>0.78194444444444444</v>
      </c>
      <c r="H111" s="124">
        <v>5373.2</v>
      </c>
      <c r="I111" s="268">
        <v>5364.3</v>
      </c>
      <c r="J111" s="124">
        <v>4967.1000000000004</v>
      </c>
      <c r="K111" s="124">
        <v>4951.5</v>
      </c>
      <c r="L111" s="124">
        <v>5085.6000000000004</v>
      </c>
      <c r="M111" s="124">
        <v>5282.9</v>
      </c>
      <c r="N111" s="124">
        <v>5136.8</v>
      </c>
      <c r="O111" s="124">
        <v>5762.4</v>
      </c>
      <c r="P111" s="124">
        <v>5158.8999999999996</v>
      </c>
      <c r="Q111" s="124">
        <v>5098.1000000000004</v>
      </c>
      <c r="R111" s="124">
        <v>5155.3999999999996</v>
      </c>
      <c r="S111" s="266">
        <v>5273.3</v>
      </c>
      <c r="T111" s="124">
        <v>5366.3</v>
      </c>
      <c r="U111" s="124">
        <v>5123.2</v>
      </c>
      <c r="V111" s="124">
        <v>5395.8</v>
      </c>
      <c r="W111" s="124">
        <v>5246.8</v>
      </c>
      <c r="X111" s="294">
        <v>7276</v>
      </c>
      <c r="Y111" s="203">
        <v>8206.7999999999993</v>
      </c>
      <c r="Z111" s="203">
        <v>7143.3</v>
      </c>
      <c r="AA111" s="203">
        <v>7485.9</v>
      </c>
      <c r="AB111" s="294">
        <v>7623.7</v>
      </c>
      <c r="AC111" s="203">
        <v>4727.8999999999996</v>
      </c>
      <c r="AD111" s="203">
        <v>7276.6</v>
      </c>
      <c r="AE111" s="203">
        <v>7436.7</v>
      </c>
      <c r="AF111" s="294">
        <v>7240</v>
      </c>
      <c r="AG111" s="203">
        <v>7210</v>
      </c>
      <c r="AH111" s="203">
        <v>7210.6</v>
      </c>
      <c r="AI111" s="294">
        <v>7270.3</v>
      </c>
      <c r="AJ111" s="142">
        <v>5695.7</v>
      </c>
      <c r="AK111" s="142">
        <v>5858.5</v>
      </c>
      <c r="AL111" s="142">
        <v>5799.9</v>
      </c>
      <c r="AM111" s="142">
        <v>5847.8</v>
      </c>
      <c r="AN111" s="142">
        <v>5801.1</v>
      </c>
      <c r="AO111" s="142">
        <v>6005.4</v>
      </c>
      <c r="AP111" s="142">
        <v>5860.7</v>
      </c>
      <c r="AQ111" s="142">
        <v>5431.4</v>
      </c>
      <c r="AR111" s="142">
        <v>4671.3</v>
      </c>
      <c r="AS111" s="142">
        <v>4698.5</v>
      </c>
      <c r="AT111" s="142">
        <v>4742.3999999999996</v>
      </c>
      <c r="AU111" s="142">
        <v>4461.3999999999996</v>
      </c>
      <c r="AV111" s="142">
        <v>4794.3999999999996</v>
      </c>
      <c r="AW111" s="142">
        <v>4712.8</v>
      </c>
      <c r="AX111" s="142">
        <v>6656.9</v>
      </c>
      <c r="AY111" s="142">
        <v>7511.7</v>
      </c>
      <c r="AZ111" s="142">
        <v>5418.1</v>
      </c>
      <c r="BA111" s="142">
        <v>6610.8</v>
      </c>
      <c r="BB111" s="142">
        <v>7167</v>
      </c>
      <c r="BC111" s="142">
        <v>6879</v>
      </c>
      <c r="BD111" s="142">
        <v>6425</v>
      </c>
      <c r="BE111" s="142">
        <v>7044</v>
      </c>
      <c r="BF111" s="142">
        <v>7545</v>
      </c>
      <c r="BG111" s="142">
        <v>7697</v>
      </c>
      <c r="BH111" s="142">
        <v>7693</v>
      </c>
      <c r="BI111" s="142">
        <v>7740</v>
      </c>
      <c r="BJ111" s="142">
        <v>5094</v>
      </c>
      <c r="BK111" s="142">
        <v>4066</v>
      </c>
      <c r="BL111" s="142">
        <v>4917</v>
      </c>
      <c r="BM111" s="142">
        <v>4872</v>
      </c>
      <c r="BN111" s="142">
        <v>5437</v>
      </c>
      <c r="BO111" s="142">
        <v>5194</v>
      </c>
      <c r="BP111" s="142">
        <v>5704</v>
      </c>
      <c r="BQ111" s="142">
        <v>5600</v>
      </c>
      <c r="BR111" s="142">
        <v>5796</v>
      </c>
      <c r="BS111" s="142">
        <v>5951</v>
      </c>
      <c r="BT111" s="142">
        <v>5807</v>
      </c>
      <c r="BU111" s="142">
        <v>6270</v>
      </c>
      <c r="BV111" s="203">
        <v>5137</v>
      </c>
      <c r="BW111" s="203">
        <v>4748</v>
      </c>
      <c r="BX111" s="203">
        <v>4432</v>
      </c>
      <c r="BY111" s="203">
        <v>4952</v>
      </c>
      <c r="BZ111" s="142">
        <v>2268</v>
      </c>
      <c r="CA111" s="142">
        <v>649</v>
      </c>
      <c r="CB111" s="142">
        <v>4823</v>
      </c>
      <c r="CC111" s="142">
        <v>5240</v>
      </c>
      <c r="CD111" s="206">
        <v>3.4197166666699998</v>
      </c>
      <c r="CE111" s="59">
        <v>3.5521605666666694</v>
      </c>
      <c r="CF111" s="206">
        <v>3.377718349999995</v>
      </c>
      <c r="CG111" s="206">
        <v>3.5442604833333338</v>
      </c>
      <c r="CH111" s="206">
        <v>0.48200513333333345</v>
      </c>
      <c r="CI111" s="206">
        <v>0.5158090333333335</v>
      </c>
      <c r="CJ111" s="59">
        <v>0.68885341666666677</v>
      </c>
      <c r="CK111" s="59">
        <v>0.52540253333333353</v>
      </c>
      <c r="CL111" s="206">
        <v>27.453504273504205</v>
      </c>
      <c r="CM111" s="206">
        <v>27.480598290598294</v>
      </c>
      <c r="CN111" s="206">
        <v>38.634545299145266</v>
      </c>
      <c r="CO111" s="206">
        <v>35.572501709401713</v>
      </c>
      <c r="CP111" s="206">
        <v>77.713675213675359</v>
      </c>
      <c r="CQ111" s="206">
        <v>78.16153846153837</v>
      </c>
      <c r="CR111" s="206">
        <v>0</v>
      </c>
      <c r="CS111" s="59">
        <v>0</v>
      </c>
      <c r="CT111" s="206">
        <v>1.5335641025641009</v>
      </c>
      <c r="CU111" s="206">
        <v>1.6541999999999999</v>
      </c>
      <c r="CV111" s="206">
        <v>2.9249999999999998</v>
      </c>
      <c r="CW111" s="258">
        <v>3.6779999999999999</v>
      </c>
      <c r="CX111" s="204">
        <f>IFERROR(AVERAGEIF(RD[[#This Row],[IS1POA1 (KWh/m2)]:[IS7POA2 (KWh/m2)]],"&lt;&gt;0",RD[[#This Row],[IS1POA1 (KWh/m2)]:[IS7POA2 (KWh/m2)]]),"")</f>
        <v>3.4859386166683346</v>
      </c>
      <c r="CY111" s="204">
        <f>IFERROR(AVERAGEIF(RD[[#This Row],[IS1GHI1 (KWh/m2)]:[IS7GHI2 (KWh/m2)]],"&lt;&gt;0",RD[[#This Row],[IS1GHI1 (KWh/m2)]:[IS7GHI2 (KWh/m2)]]),"")</f>
        <v>3.4609894166666644</v>
      </c>
      <c r="CZ111" s="204">
        <f>IFERROR(AVERAGEIF(RD[[#This Row],[IS1POA_BS1 (KWh/m2)]:[IS7POA_BS2 (KWh/m2)]],"&lt;&gt;0",RD[[#This Row],[IS1POA_BS1 (KWh/m2)]:[IS7POA_BS2 (KWh/m2)]]),"")</f>
        <v>0.49890708333333345</v>
      </c>
      <c r="DA111" s="204">
        <f>IFERROR(AVERAGEIF(RD[[#This Row],[IS1GHI_BS1 (KWh/m2)]:[IS1GHI_BS1 (KWh/m2)2]],"&lt;&gt;0",RD[[#This Row],[IS1GHI_BS1 (KWh/m2)]:[IS1GHI_BS1 (KWh/m2)2]]),"")</f>
        <v>0.60712797500000015</v>
      </c>
      <c r="DB111" s="204">
        <f>IFERROR(AVERAGEIF(RD[[#This Row],[IS1AT1 (°C)]:[IS7AT2 (°C)]],"&lt;&gt;0",RD[[#This Row],[IS1AT1 (°C)]:[IS7AT2 (°C)]]),"")</f>
        <v>27.467051282051251</v>
      </c>
      <c r="DC111" s="204">
        <f>IFERROR(AVERAGEIF(RD[[#This Row],[IS1MT1 (°C)]:[IS7MT2 (°C)]],"&lt;&gt;0",RD[[#This Row],[IS1MT1 (°C)]:[IS7MT2 (°C)]]),"")</f>
        <v>37.10352350427349</v>
      </c>
      <c r="DD111" s="204">
        <f>IFERROR(AVERAGEIF(RD[[#This Row],[IS1RH1 (%)]:[IS7RH2 (%)]],"&lt;&gt;0",RD[[#This Row],[IS1RH1 (%)]:[IS7RH2 (%)]]),"")</f>
        <v>77.937606837606864</v>
      </c>
      <c r="DE111" s="204" t="str">
        <f>IFERROR(AVERAGEIF(RD[[#This Row],[IS1Rain1 (mm)]:[IS7Rain2 (mm)]],"&lt;&gt;0",RD[[#This Row],[IS1Rain1 (mm)]:[IS7Rain2 (mm)]]),"")</f>
        <v/>
      </c>
      <c r="DF111" s="204">
        <f>IFERROR(AVERAGEIF(RD[[#This Row],[WS_Solar1_Avg (m/s)]:[IS7_WS_Solar1_Avg (m/s)]],"&lt;&gt;0",RD[[#This Row],[WS_Solar1_Avg (m/s)]:[IS7_WS_Solar1_Avg (m/s)]]),"")</f>
        <v>1.5938820512820504</v>
      </c>
      <c r="DG111" s="204">
        <f>IFERROR(AVERAGEIF(RD[[#This Row],[WS_Solar1_Max (m/s)]:[IS7_WS_Solar1_Max (m/s)]],"&lt;&gt;0",RD[[#This Row],[WS_Solar1_Max (m/s)]:[IS7_WS_Solar1_Max (m/s)]]),"")</f>
        <v>3.3014999999999999</v>
      </c>
      <c r="DH111" s="204">
        <f>SUM(RD[[#This Row],[IS1Inv1M1]:[IS4Inv4M2]])</f>
        <v>169849.4</v>
      </c>
      <c r="DI111" s="205">
        <f>SUM(RD[[#This Row],[IS7Inv1M1]]+RD[[#This Row],[IS7Inv2M1]])</f>
        <v>9369.7999999999993</v>
      </c>
      <c r="DJ111" s="204">
        <f>SUM(RD[[#This Row],[IS5Inv1M1]:[IS5Inv2M2]])</f>
        <v>23201.899999999998</v>
      </c>
      <c r="DK111" s="204">
        <f>SUM(RD[[#This Row],[IS8Inv1M1]:[IS9Inv2M2]])</f>
        <v>44908.5</v>
      </c>
      <c r="DL111" s="60">
        <f>SUM(RD[[#This Row],[IS6Inv1M1]:[IS6Inv2M2]])</f>
        <v>23098.6</v>
      </c>
      <c r="DM111" s="286">
        <f>SUM(RD[[#This Row],[IS10Inv1M1]:[IS11Inv1M4]],RD[[#This Row],[IS14Inv1M1]:[IS14Inv2M4]])</f>
        <v>109388</v>
      </c>
      <c r="DN111" s="286">
        <f>SUM(RD[[#This Row],[IS12Inv1M1]:[IS12Inv1M4]])</f>
        <v>21935</v>
      </c>
      <c r="DO111" s="286">
        <f>SUM(RD[[#This Row],[IS13Inv1M1]:[IS13Inv2M2]])</f>
        <v>23824</v>
      </c>
      <c r="DP111" s="204">
        <f>SUM(RD[[#This Row],[O2R15]:[O2R26]])</f>
        <v>425575.19999999995</v>
      </c>
      <c r="DQ111" s="164">
        <v>45679.8</v>
      </c>
      <c r="DR111" s="168">
        <v>230.5</v>
      </c>
      <c r="DS111" s="164">
        <v>39955.699999999997</v>
      </c>
      <c r="DT111" s="164">
        <v>242.3</v>
      </c>
      <c r="DU111" s="168">
        <v>47257.1</v>
      </c>
      <c r="DV111" s="168">
        <v>455.5</v>
      </c>
      <c r="DW111" s="164">
        <v>10918.9</v>
      </c>
      <c r="DX111" s="168">
        <v>57.8</v>
      </c>
      <c r="DY111" s="168">
        <v>4655.3999999999996</v>
      </c>
      <c r="DZ111" s="168">
        <v>24.9</v>
      </c>
      <c r="EA111" s="140">
        <v>109.59</v>
      </c>
      <c r="EB111" s="241">
        <v>152674156</v>
      </c>
      <c r="EC111" s="240">
        <v>1084392.064</v>
      </c>
      <c r="ED111" s="241">
        <v>1301</v>
      </c>
      <c r="EE111" s="241">
        <v>146865</v>
      </c>
      <c r="EF111" s="164">
        <v>211669.7</v>
      </c>
      <c r="EG111" s="164">
        <v>2078.8000000000002</v>
      </c>
      <c r="EH111" s="146">
        <f>IF((RD[[#This Row],[33 kV_F3_Ex
Incomer1]]-DQ110)*1000&lt;0,0,(RD[[#This Row],[33 kV_F3_Ex
Incomer1]]-DQ110)*1000)</f>
        <v>85700.000000004366</v>
      </c>
      <c r="EI111" s="146">
        <f>IF((RD[[#This Row],[34 kV_F3_Im
Incomer1]]-DR110)*1000&lt;0,0,(RD[[#This Row],[34 kV_F3_Im
Incomer1]]-DR110)*1000)</f>
        <v>400.00000000000568</v>
      </c>
      <c r="EJ111" s="146">
        <f>IF((RD[[#This Row],[33 kV_F4_Ex
Incomer2]]-DS110)*1000&lt;0,0,(RD[[#This Row],[33 kV_F4_Ex
Incomer2]]-DS110)*1000)</f>
        <v>79699.99999999709</v>
      </c>
      <c r="EK111" s="146">
        <f>IF((RD[[#This Row],[34 kV_F4_Im
Incomer2]]-DT110)*1000&lt;0,0,(RD[[#This Row],[34 kV_F4_Im
Incomer2]]-DT110)*1000)</f>
        <v>300.00000000001137</v>
      </c>
      <c r="EL111" s="146">
        <f>IF((RD[[#This Row],[33 kV_F5_Ex
Incomer3]]-DU110)*1000&lt;0,0,(RD[[#This Row],[33 kV_F5_Ex
Incomer3]]-DU110)*1000)</f>
        <v>100199.99999999709</v>
      </c>
      <c r="EM111" s="146">
        <f>IF((RD[[#This Row],[34 kV_F5_Im
Incomer3]]-DV110)*1000&lt;0,0,(RD[[#This Row],[34 kV_F5_Im
Incomer3]]-DV110)*1000)</f>
        <v>600.00000000002274</v>
      </c>
      <c r="EN111" s="146">
        <f>IF((RD[[#This Row],[33 kV_F6_Ex
Incomer4]]-DW110)*1000&lt;0,0,(RD[[#This Row],[33 kV_F6_Ex
Incomer4]]-DW110)*1000)</f>
        <v>32000</v>
      </c>
      <c r="EO111" s="146">
        <f t="shared" si="166"/>
        <v>300.00000000001137</v>
      </c>
      <c r="EP111" s="146">
        <f>IF((RD[[#This Row],[33 kV_F7_Ex
Incomer5]]-DY110)*1000&lt;0,0,(RD[[#This Row],[33 kV_F7_Ex
Incomer5]]-DY110)*1000)</f>
        <v>97699.999999999825</v>
      </c>
      <c r="EQ111" s="146">
        <f>IF((RD[[#This Row],[33 kV_F7_Im
Incomer5]]-DZ110)*1000&lt;0,0,(RD[[#This Row],[33 kV_F7_Im
Incomer5]]-DZ110)*1000)</f>
        <v>399.99999999999858</v>
      </c>
      <c r="ER111" s="146">
        <f>IF((RD[[#This Row],[33 kV_Aux Trafo]]-EA110)*1000&lt;0,0,(RD[[#This Row],[33 kV_Aux Trafo]]-EA110)*1000)</f>
        <v>299.99999999999716</v>
      </c>
      <c r="ES111" s="158">
        <f>IF((RD[[#This Row],[33kV_OG1_Ex_]]-EB110)*1&lt;0,0,(RD[[#This Row],[33kV_OG1_Ex_]]-EB110)*1)</f>
        <v>422281</v>
      </c>
      <c r="ET111" s="146">
        <f>IF((RD[[#This Row],[33kV_OG1_Im]]-EC110)*1&lt;0,0,(RD[[#This Row],[33kV_OG1_Im]]-EC110)*1)</f>
        <v>2021.5039999999572</v>
      </c>
      <c r="EU111" s="146">
        <f>IF((RD[[#This Row],[132kV_TX1_EX]]-ED110)*720&lt;=0,"",(RD[[#This Row],[132kV_TX1_EX]]-ED110)*720)</f>
        <v>2160</v>
      </c>
      <c r="EV111" s="146">
        <f>IF((RD[[#This Row],[132 kV_Tx1_Im]]-EE110)*720&lt;=0,0,(RD[[#This Row],[132 kV_Tx1_Im]]-EE110)*720)</f>
        <v>303120</v>
      </c>
      <c r="EW111" s="146">
        <f>IF((RD[[#This Row],[132kV_L1_Ex]]-EF110)*720&lt;=0,0,(RD[[#This Row],[132kV_L1_Ex]]-EF110)*720)</f>
        <v>420984.00000000838</v>
      </c>
      <c r="EX111" s="146">
        <f>IF((RD[[#This Row],[132kV_L1_Im]]-EG110)*720&lt;=0,0,(RD[[#This Row],[132kV_L1_Im]]-EG110)*720)</f>
        <v>2664.0000000001965</v>
      </c>
      <c r="EY111" s="242">
        <f>IFERROR(RD[[#This Row],[33kV_OG1_Ex (MWh)]]+RD[[#This Row],[33kV_OG1_Im (MWh)]],"")</f>
        <v>424302.50399999996</v>
      </c>
      <c r="EZ111" s="148">
        <f>RD[[#This Row],[33kV_OG1_Ex (MWh)]]-RD[[#This Row],[33kV_OG1_Im (MWh)]]</f>
        <v>420259.49600000004</v>
      </c>
      <c r="FA111" s="148">
        <f>IFERROR(RD[[#This Row],[132kV_L1_Ex(MWh)]]-RD[[#This Row],[132kV_L1_Im(MWh)]],"")</f>
        <v>418320.00000000821</v>
      </c>
      <c r="FB111" s="297">
        <f>IFERROR(RD[[#This Row],[33kV_Ex(MWh)]]/RD[[#This Row],[Inv Total Gneration (MWh)]]-1,"")</f>
        <v>-2.9905314031456465E-3</v>
      </c>
      <c r="FC111" s="243">
        <f>IFERROR((RD[[#This Row],[Sunset Time (POA&lt;20 W/m2)]]-RD[[#This Row],[Sunrise Time (POA&gt;20 W/m2)]])*24,0)</f>
        <v>12.516666666666667</v>
      </c>
      <c r="FD111" s="244">
        <v>128.08000000000001</v>
      </c>
      <c r="FE111" s="303" t="s">
        <v>297</v>
      </c>
      <c r="FG111" s="144" t="str">
        <f>IFERROR(RD[[#This Row],[E_AC (WPR)]]/RD[[#This Row],[E_DC (WPR)]],"")</f>
        <v/>
      </c>
    </row>
    <row r="112" spans="1:163">
      <c r="A112" s="133">
        <f t="shared" si="167"/>
        <v>45852</v>
      </c>
      <c r="B112" s="138">
        <f>YEAR(RD[[#This Row],[Date]])+IF(MONTH(RD[[#This Row],[Date]])&gt;=4,1,0)</f>
        <v>2026</v>
      </c>
      <c r="C112" s="138">
        <f>YEAR(RD[[#This Row],[Date]])</f>
        <v>2025</v>
      </c>
      <c r="D112" s="139">
        <f t="shared" si="169"/>
        <v>45839</v>
      </c>
      <c r="E112" s="138">
        <f>DAY(EOMONTH(RD[[#This Row],[Date]],0))</f>
        <v>31</v>
      </c>
      <c r="F112" s="152">
        <v>0.25972222222222224</v>
      </c>
      <c r="G112" s="162">
        <v>0.77847222222222223</v>
      </c>
      <c r="H112" s="124">
        <v>7088.4</v>
      </c>
      <c r="I112" s="268">
        <v>7132.2</v>
      </c>
      <c r="J112" s="124">
        <v>6641.2</v>
      </c>
      <c r="K112" s="124">
        <v>6570.5</v>
      </c>
      <c r="L112" s="124">
        <v>6713.2</v>
      </c>
      <c r="M112" s="124">
        <v>6963</v>
      </c>
      <c r="N112" s="124">
        <v>6809.2</v>
      </c>
      <c r="O112" s="124">
        <v>7468.2</v>
      </c>
      <c r="P112" s="124">
        <v>6888.5</v>
      </c>
      <c r="Q112" s="124">
        <v>6785.2</v>
      </c>
      <c r="R112" s="124">
        <v>6890.7</v>
      </c>
      <c r="S112" s="266">
        <v>6994.4</v>
      </c>
      <c r="T112" s="124">
        <v>7198.4</v>
      </c>
      <c r="U112" s="124">
        <v>6935.6</v>
      </c>
      <c r="V112" s="124">
        <v>7211.5</v>
      </c>
      <c r="W112" s="124">
        <v>7032.9</v>
      </c>
      <c r="X112" s="294">
        <v>9786.6</v>
      </c>
      <c r="Y112" s="203">
        <v>10821.8</v>
      </c>
      <c r="Z112" s="203">
        <v>9555.9</v>
      </c>
      <c r="AA112" s="203">
        <v>9910.9</v>
      </c>
      <c r="AB112" s="294">
        <v>10494.7</v>
      </c>
      <c r="AC112" s="203">
        <v>6673.2</v>
      </c>
      <c r="AD112" s="203">
        <v>9799.2999999999993</v>
      </c>
      <c r="AE112" s="203">
        <v>9968.7999999999993</v>
      </c>
      <c r="AF112" s="294">
        <v>9841.9</v>
      </c>
      <c r="AG112" s="203">
        <v>9822</v>
      </c>
      <c r="AH112" s="203">
        <v>9719.2000000000007</v>
      </c>
      <c r="AI112" s="294">
        <v>9767.7000000000007</v>
      </c>
      <c r="AJ112" s="142">
        <v>8185.8</v>
      </c>
      <c r="AK112" s="142">
        <v>8390.7999999999993</v>
      </c>
      <c r="AL112" s="142">
        <v>8332.1</v>
      </c>
      <c r="AM112" s="142">
        <v>8387.2000000000007</v>
      </c>
      <c r="AN112" s="142">
        <v>8412.4</v>
      </c>
      <c r="AO112" s="142">
        <v>8714.1</v>
      </c>
      <c r="AP112" s="142">
        <v>8555.9</v>
      </c>
      <c r="AQ112" s="142">
        <v>8490</v>
      </c>
      <c r="AR112" s="142">
        <v>6791.2</v>
      </c>
      <c r="AS112" s="142">
        <v>6855.7</v>
      </c>
      <c r="AT112" s="142">
        <v>6868</v>
      </c>
      <c r="AU112" s="142">
        <v>6506.5</v>
      </c>
      <c r="AV112" s="142">
        <v>6946.4</v>
      </c>
      <c r="AW112" s="142">
        <v>6883.6</v>
      </c>
      <c r="AX112" s="142">
        <v>9592.7999999999993</v>
      </c>
      <c r="AY112" s="142">
        <v>10698.5</v>
      </c>
      <c r="AZ112" s="142">
        <v>8017.6</v>
      </c>
      <c r="BA112" s="142">
        <v>9674.4</v>
      </c>
      <c r="BB112" s="142">
        <v>8399</v>
      </c>
      <c r="BC112" s="142">
        <v>8183.5</v>
      </c>
      <c r="BD112" s="142">
        <v>8191</v>
      </c>
      <c r="BE112" s="142">
        <v>8832</v>
      </c>
      <c r="BF112" s="142">
        <v>9499.2000000000007</v>
      </c>
      <c r="BG112" s="142">
        <v>9484.6</v>
      </c>
      <c r="BH112" s="142">
        <v>9295.5</v>
      </c>
      <c r="BI112" s="142">
        <v>9434.7999999999993</v>
      </c>
      <c r="BJ112" s="142">
        <v>6260</v>
      </c>
      <c r="BK112" s="142">
        <v>5041</v>
      </c>
      <c r="BL112" s="142">
        <v>6000</v>
      </c>
      <c r="BM112" s="142">
        <v>5953</v>
      </c>
      <c r="BN112" s="142">
        <v>6578.6</v>
      </c>
      <c r="BO112" s="142">
        <v>6310</v>
      </c>
      <c r="BP112" s="142">
        <v>6844</v>
      </c>
      <c r="BQ112" s="142">
        <v>6781.4</v>
      </c>
      <c r="BR112" s="142">
        <v>7001</v>
      </c>
      <c r="BS112" s="142">
        <v>7267</v>
      </c>
      <c r="BT112" s="142">
        <v>7398.8</v>
      </c>
      <c r="BU112" s="142">
        <v>7562</v>
      </c>
      <c r="BV112" s="203">
        <v>6229.6</v>
      </c>
      <c r="BW112" s="203">
        <v>5873.7</v>
      </c>
      <c r="BX112" s="203">
        <v>5339.6</v>
      </c>
      <c r="BY112" s="203">
        <v>5932.7</v>
      </c>
      <c r="BZ112" s="142">
        <v>3144.5</v>
      </c>
      <c r="CA112" s="142">
        <v>813.1</v>
      </c>
      <c r="CB112" s="142">
        <v>5875.5</v>
      </c>
      <c r="CC112" s="142">
        <v>6324.9</v>
      </c>
      <c r="CD112" s="206">
        <v>4.9065755499999897</v>
      </c>
      <c r="CE112" s="59">
        <v>5.450907299999999</v>
      </c>
      <c r="CF112" s="206">
        <v>4.7599937499999951</v>
      </c>
      <c r="CG112" s="206">
        <v>5.530998699999996</v>
      </c>
      <c r="CH112" s="206">
        <v>0.69389178333333312</v>
      </c>
      <c r="CI112" s="206">
        <v>0.77015751666666676</v>
      </c>
      <c r="CJ112" s="59">
        <v>0.96094978333333358</v>
      </c>
      <c r="CK112" s="59">
        <v>0.8092767166666659</v>
      </c>
      <c r="CL112" s="206">
        <v>27.819110738255006</v>
      </c>
      <c r="CM112" s="206">
        <v>27.97283557046979</v>
      </c>
      <c r="CN112" s="206">
        <v>41.324637583892702</v>
      </c>
      <c r="CO112" s="206">
        <v>38.692040268456402</v>
      </c>
      <c r="CP112" s="206">
        <v>77.134790268456356</v>
      </c>
      <c r="CQ112" s="206">
        <v>76.86634228187927</v>
      </c>
      <c r="CR112" s="206">
        <v>6.0906040268456415E-3</v>
      </c>
      <c r="CS112" s="59">
        <v>0</v>
      </c>
      <c r="CT112" s="206">
        <v>1.3724068791946296</v>
      </c>
      <c r="CU112" s="206">
        <v>1.4579622483221482</v>
      </c>
      <c r="CV112" s="206">
        <v>2.9159999999999999</v>
      </c>
      <c r="CW112" s="258">
        <v>3.3090000000000002</v>
      </c>
      <c r="CX112" s="204">
        <f>IFERROR(AVERAGEIF(RD[[#This Row],[IS1POA1 (KWh/m2)]:[IS7POA2 (KWh/m2)]],"&lt;&gt;0",RD[[#This Row],[IS1POA1 (KWh/m2)]:[IS7POA2 (KWh/m2)]]),"")</f>
        <v>5.1787414249999948</v>
      </c>
      <c r="CY112" s="204">
        <f>IFERROR(AVERAGEIF(RD[[#This Row],[IS1GHI1 (KWh/m2)]:[IS7GHI2 (KWh/m2)]],"&lt;&gt;0",RD[[#This Row],[IS1GHI1 (KWh/m2)]:[IS7GHI2 (KWh/m2)]]),"")</f>
        <v>5.1454962249999951</v>
      </c>
      <c r="CZ112" s="204">
        <f>IFERROR(AVERAGEIF(RD[[#This Row],[IS1POA_BS1 (KWh/m2)]:[IS7POA_BS2 (KWh/m2)]],"&lt;&gt;0",RD[[#This Row],[IS1POA_BS1 (KWh/m2)]:[IS7POA_BS2 (KWh/m2)]]),"")</f>
        <v>0.73202464999999994</v>
      </c>
      <c r="DA112" s="204">
        <f>IFERROR(AVERAGEIF(RD[[#This Row],[IS1GHI_BS1 (KWh/m2)]:[IS1GHI_BS1 (KWh/m2)2]],"&lt;&gt;0",RD[[#This Row],[IS1GHI_BS1 (KWh/m2)]:[IS1GHI_BS1 (KWh/m2)2]]),"")</f>
        <v>0.88511324999999974</v>
      </c>
      <c r="DB112" s="204">
        <f>IFERROR(AVERAGEIF(RD[[#This Row],[IS1AT1 (°C)]:[IS7AT2 (°C)]],"&lt;&gt;0",RD[[#This Row],[IS1AT1 (°C)]:[IS7AT2 (°C)]]),"")</f>
        <v>27.895973154362398</v>
      </c>
      <c r="DC112" s="204">
        <f>IFERROR(AVERAGEIF(RD[[#This Row],[IS1MT1 (°C)]:[IS7MT2 (°C)]],"&lt;&gt;0",RD[[#This Row],[IS1MT1 (°C)]:[IS7MT2 (°C)]]),"")</f>
        <v>40.008338926174552</v>
      </c>
      <c r="DD112" s="204">
        <f>IFERROR(AVERAGEIF(RD[[#This Row],[IS1RH1 (%)]:[IS7RH2 (%)]],"&lt;&gt;0",RD[[#This Row],[IS1RH1 (%)]:[IS7RH2 (%)]]),"")</f>
        <v>77.000566275167813</v>
      </c>
      <c r="DE112" s="204">
        <f>IFERROR(AVERAGEIF(RD[[#This Row],[IS1Rain1 (mm)]:[IS7Rain2 (mm)]],"&lt;&gt;0",RD[[#This Row],[IS1Rain1 (mm)]:[IS7Rain2 (mm)]]),"")</f>
        <v>6.0906040268456415E-3</v>
      </c>
      <c r="DF112" s="204">
        <f>IFERROR(AVERAGEIF(RD[[#This Row],[WS_Solar1_Avg (m/s)]:[IS7_WS_Solar1_Avg (m/s)]],"&lt;&gt;0",RD[[#This Row],[WS_Solar1_Avg (m/s)]:[IS7_WS_Solar1_Avg (m/s)]]),"")</f>
        <v>1.4151845637583889</v>
      </c>
      <c r="DG112" s="204">
        <f>IFERROR(AVERAGEIF(RD[[#This Row],[WS_Solar1_Max (m/s)]:[IS7_WS_Solar1_Max (m/s)]],"&lt;&gt;0",RD[[#This Row],[WS_Solar1_Max (m/s)]:[IS7_WS_Solar1_Max (m/s)]]),"")</f>
        <v>3.1124999999999998</v>
      </c>
      <c r="DH112" s="204">
        <f>SUM(RD[[#This Row],[IS1Inv1M1]:[IS4Inv4M2]])</f>
        <v>227485.09999999998</v>
      </c>
      <c r="DI112" s="205">
        <f>SUM(RD[[#This Row],[IS7Inv1M1]]+RD[[#This Row],[IS7Inv2M1]])</f>
        <v>13646.9</v>
      </c>
      <c r="DJ112" s="204">
        <f>SUM(RD[[#This Row],[IS5Inv1M1]:[IS5Inv2M2]])</f>
        <v>33295.899999999994</v>
      </c>
      <c r="DK112" s="204">
        <f>SUM(RD[[#This Row],[IS8Inv1M1]:[IS9Inv2M2]])</f>
        <v>65187.8</v>
      </c>
      <c r="DL112" s="60">
        <f>SUM(RD[[#This Row],[IS6Inv1M1]:[IS6Inv2M2]])</f>
        <v>34172.400000000001</v>
      </c>
      <c r="DM112" s="286">
        <f>SUM(RD[[#This Row],[IS10Inv1M1]:[IS11Inv1M4]],RD[[#This Row],[IS14Inv1M1]:[IS14Inv2M4]])</f>
        <v>134107.20000000001</v>
      </c>
      <c r="DN112" s="286">
        <f>SUM(RD[[#This Row],[IS12Inv1M1]:[IS12Inv1M4]])</f>
        <v>26514</v>
      </c>
      <c r="DO112" s="286">
        <f>SUM(RD[[#This Row],[IS13Inv1M1]:[IS13Inv2M2]])</f>
        <v>29228.799999999999</v>
      </c>
      <c r="DP112" s="204">
        <f>SUM(RD[[#This Row],[O2R15]:[O2R26]])</f>
        <v>563638.10000000009</v>
      </c>
      <c r="DQ112" s="164">
        <v>45795.3</v>
      </c>
      <c r="DR112" s="168">
        <v>230.8</v>
      </c>
      <c r="DS112" s="164">
        <v>40061.1</v>
      </c>
      <c r="DT112" s="164">
        <v>242.7</v>
      </c>
      <c r="DU112" s="168">
        <v>47401.8</v>
      </c>
      <c r="DV112" s="168">
        <v>456.2</v>
      </c>
      <c r="DW112" s="164">
        <v>10958</v>
      </c>
      <c r="DX112" s="168">
        <v>58.1</v>
      </c>
      <c r="DY112" s="168">
        <v>4774.5</v>
      </c>
      <c r="DZ112" s="168">
        <v>25.6</v>
      </c>
      <c r="EA112" s="140">
        <v>109.89</v>
      </c>
      <c r="EB112" s="241">
        <v>153230753</v>
      </c>
      <c r="EC112" s="240">
        <v>1087010.8160000001</v>
      </c>
      <c r="ED112" s="241">
        <v>1304</v>
      </c>
      <c r="EE112" s="241">
        <v>147419</v>
      </c>
      <c r="EF112" s="164">
        <v>212440.4</v>
      </c>
      <c r="EG112" s="164">
        <v>2083.1</v>
      </c>
      <c r="EH112" s="146">
        <f>IF((RD[[#This Row],[33 kV_F3_Ex
Incomer1]]-DQ111)*1000&lt;0,0,(RD[[#This Row],[33 kV_F3_Ex
Incomer1]]-DQ111)*1000)</f>
        <v>115500</v>
      </c>
      <c r="EI112" s="146">
        <f>IF((RD[[#This Row],[34 kV_F3_Im
Incomer1]]-DR111)*1000&lt;0,0,(RD[[#This Row],[34 kV_F3_Im
Incomer1]]-DR111)*1000)</f>
        <v>300.00000000001137</v>
      </c>
      <c r="EJ112" s="146">
        <f>IF((RD[[#This Row],[33 kV_F4_Ex
Incomer2]]-DS111)*1000&lt;0,0,(RD[[#This Row],[33 kV_F4_Ex
Incomer2]]-DS111)*1000)</f>
        <v>105400.00000000146</v>
      </c>
      <c r="EK112" s="146">
        <f>IF((RD[[#This Row],[34 kV_F4_Im
Incomer2]]-DT111)*1000&lt;0,0,(RD[[#This Row],[34 kV_F4_Im
Incomer2]]-DT111)*1000)</f>
        <v>399.99999999997726</v>
      </c>
      <c r="EL112" s="146">
        <f>IF((RD[[#This Row],[33 kV_F5_Ex
Incomer3]]-DU111)*1000&lt;0,0,(RD[[#This Row],[33 kV_F5_Ex
Incomer3]]-DU111)*1000)</f>
        <v>144700.00000000437</v>
      </c>
      <c r="EM112" s="146">
        <f>IF((RD[[#This Row],[34 kV_F5_Im
Incomer3]]-DV111)*1000&lt;0,0,(RD[[#This Row],[34 kV_F5_Im
Incomer3]]-DV111)*1000)</f>
        <v>699.99999999998863</v>
      </c>
      <c r="EN112" s="146">
        <f>IF((RD[[#This Row],[33 kV_F6_Ex
Incomer4]]-DW111)*1000&lt;0,0,(RD[[#This Row],[33 kV_F6_Ex
Incomer4]]-DW111)*1000)</f>
        <v>39100.000000000364</v>
      </c>
      <c r="EO112" s="146">
        <f t="shared" si="166"/>
        <v>299.99999999998295</v>
      </c>
      <c r="EP112" s="146">
        <f>IF((RD[[#This Row],[33 kV_F7_Ex
Incomer5]]-DY111)*1000&lt;0,0,(RD[[#This Row],[33 kV_F7_Ex
Incomer5]]-DY111)*1000)</f>
        <v>119100.00000000036</v>
      </c>
      <c r="EQ112" s="146">
        <f>IF((RD[[#This Row],[33 kV_F7_Im
Incomer5]]-DZ111)*1000&lt;0,0,(RD[[#This Row],[33 kV_F7_Im
Incomer5]]-DZ111)*1000)</f>
        <v>700.00000000000284</v>
      </c>
      <c r="ER112" s="146">
        <f>IF((RD[[#This Row],[33 kV_Aux Trafo]]-EA111)*1000&lt;0,0,(RD[[#This Row],[33 kV_Aux Trafo]]-EA111)*1000)</f>
        <v>299.99999999999716</v>
      </c>
      <c r="ES112" s="158">
        <f>IF((RD[[#This Row],[33kV_OG1_Ex_]]-EB111)*1&lt;0,0,(RD[[#This Row],[33kV_OG1_Ex_]]-EB111)*1)</f>
        <v>556597</v>
      </c>
      <c r="ET112" s="146">
        <f>IF((RD[[#This Row],[33kV_OG1_Im]]-EC111)*1&lt;0,0,(RD[[#This Row],[33kV_OG1_Im]]-EC111)*1)</f>
        <v>2618.752000000095</v>
      </c>
      <c r="EU112" s="146">
        <f>IF((RD[[#This Row],[132kV_TX1_EX]]-ED111)*720&lt;=0,"",(RD[[#This Row],[132kV_TX1_EX]]-ED111)*720)</f>
        <v>2160</v>
      </c>
      <c r="EV112" s="146">
        <f>IF((RD[[#This Row],[132 kV_Tx1_Im]]-EE111)*720&lt;=0,0,(RD[[#This Row],[132 kV_Tx1_Im]]-EE111)*720)</f>
        <v>398880</v>
      </c>
      <c r="EW112" s="146">
        <f>IF((RD[[#This Row],[132kV_L1_Ex]]-EF111)*720&lt;=0,0,(RD[[#This Row],[132kV_L1_Ex]]-EF111)*720)</f>
        <v>554903.99999998743</v>
      </c>
      <c r="EX112" s="146">
        <f>IF((RD[[#This Row],[132kV_L1_Im]]-EG111)*720&lt;=0,0,(RD[[#This Row],[132kV_L1_Im]]-EG111)*720)</f>
        <v>3095.9999999998035</v>
      </c>
      <c r="EY112" s="242">
        <f>IFERROR(RD[[#This Row],[33kV_OG1_Ex (MWh)]]+RD[[#This Row],[33kV_OG1_Im (MWh)]],"")</f>
        <v>559215.75200000009</v>
      </c>
      <c r="EZ112" s="148">
        <f>RD[[#This Row],[33kV_OG1_Ex (MWh)]]-RD[[#This Row],[33kV_OG1_Im (MWh)]]</f>
        <v>553978.24799999991</v>
      </c>
      <c r="FA112" s="148">
        <f>IFERROR(RD[[#This Row],[132kV_L1_Ex(MWh)]]-RD[[#This Row],[132kV_L1_Im(MWh)]],"")</f>
        <v>551807.99999998766</v>
      </c>
      <c r="FB112" s="297">
        <f>IFERROR(RD[[#This Row],[33kV_Ex(MWh)]]/RD[[#This Row],[Inv Total Gneration (MWh)]]-1,"")</f>
        <v>-7.8460771193430423E-3</v>
      </c>
      <c r="FC112" s="243">
        <f>IFERROR((RD[[#This Row],[Sunset Time (POA&lt;20 W/m2)]]-RD[[#This Row],[Sunrise Time (POA&gt;20 W/m2)]])*24,0)</f>
        <v>12.450000000000001</v>
      </c>
      <c r="FD112" s="244">
        <v>128.08000000000001</v>
      </c>
      <c r="FE112" s="303" t="s">
        <v>297</v>
      </c>
      <c r="FG112" s="144" t="str">
        <f>IFERROR(RD[[#This Row],[E_AC (WPR)]]/RD[[#This Row],[E_DC (WPR)]],"")</f>
        <v/>
      </c>
    </row>
    <row r="113" spans="1:163">
      <c r="A113" s="133">
        <f t="shared" si="167"/>
        <v>45853</v>
      </c>
      <c r="B113" s="138">
        <f>YEAR(RD[[#This Row],[Date]])+IF(MONTH(RD[[#This Row],[Date]])&gt;=4,1,0)</f>
        <v>2026</v>
      </c>
      <c r="C113" s="138">
        <f>YEAR(RD[[#This Row],[Date]])</f>
        <v>2025</v>
      </c>
      <c r="D113" s="139">
        <f t="shared" si="169"/>
        <v>45839</v>
      </c>
      <c r="E113" s="138">
        <f>DAY(EOMONTH(RD[[#This Row],[Date]],0))</f>
        <v>31</v>
      </c>
      <c r="F113" s="152">
        <v>0.25763888888888886</v>
      </c>
      <c r="G113" s="162">
        <v>0.79166666666666663</v>
      </c>
      <c r="H113" s="124">
        <v>6899.2</v>
      </c>
      <c r="I113" s="268">
        <v>7077.7</v>
      </c>
      <c r="J113" s="124">
        <v>6741.9</v>
      </c>
      <c r="K113" s="124">
        <v>6679.9</v>
      </c>
      <c r="L113" s="124">
        <v>6888.8</v>
      </c>
      <c r="M113" s="124">
        <v>7015.3</v>
      </c>
      <c r="N113" s="124">
        <v>6803.5</v>
      </c>
      <c r="O113" s="124">
        <v>7292.5</v>
      </c>
      <c r="P113" s="124">
        <v>6818.3</v>
      </c>
      <c r="Q113" s="124">
        <v>6838.4</v>
      </c>
      <c r="R113" s="124">
        <v>6910.9</v>
      </c>
      <c r="S113" s="266">
        <v>6922.4</v>
      </c>
      <c r="T113" s="124">
        <v>7093.7</v>
      </c>
      <c r="U113" s="124">
        <v>6965.5</v>
      </c>
      <c r="V113" s="124">
        <v>7162.9</v>
      </c>
      <c r="W113" s="124">
        <v>6871.5</v>
      </c>
      <c r="X113" s="294">
        <v>9649.9</v>
      </c>
      <c r="Y113" s="203">
        <v>10555.4</v>
      </c>
      <c r="Z113" s="203">
        <v>9407.7000000000007</v>
      </c>
      <c r="AA113" s="203">
        <v>9738.4</v>
      </c>
      <c r="AB113" s="294">
        <v>10427.299999999999</v>
      </c>
      <c r="AC113" s="203">
        <v>6725.7</v>
      </c>
      <c r="AD113" s="203">
        <v>9814.4</v>
      </c>
      <c r="AE113" s="203">
        <v>10026.799999999999</v>
      </c>
      <c r="AF113" s="294">
        <v>9743.4</v>
      </c>
      <c r="AG113" s="203">
        <v>9736</v>
      </c>
      <c r="AH113" s="203">
        <v>9702.1</v>
      </c>
      <c r="AI113" s="294">
        <v>9822.1</v>
      </c>
      <c r="AJ113" s="142">
        <v>9179.2999999999993</v>
      </c>
      <c r="AK113" s="142">
        <v>9382.7999999999993</v>
      </c>
      <c r="AL113" s="142">
        <v>9314.2000000000007</v>
      </c>
      <c r="AM113" s="142">
        <v>9319.2999999999993</v>
      </c>
      <c r="AN113" s="142">
        <v>9383</v>
      </c>
      <c r="AO113" s="142">
        <v>9582.9</v>
      </c>
      <c r="AP113" s="142">
        <v>9535.7000000000007</v>
      </c>
      <c r="AQ113" s="142">
        <v>9447.5</v>
      </c>
      <c r="AR113" s="142">
        <v>7493.8</v>
      </c>
      <c r="AS113" s="142">
        <v>7540.4</v>
      </c>
      <c r="AT113" s="142">
        <v>7563.4</v>
      </c>
      <c r="AU113" s="142">
        <v>7365.6</v>
      </c>
      <c r="AV113" s="142">
        <v>7604.7</v>
      </c>
      <c r="AW113" s="142">
        <v>7535.6</v>
      </c>
      <c r="AX113" s="142">
        <v>10584.6</v>
      </c>
      <c r="AY113" s="142">
        <v>11415.6</v>
      </c>
      <c r="AZ113" s="142">
        <v>8736.7000000000007</v>
      </c>
      <c r="BA113" s="142">
        <v>10602.4</v>
      </c>
      <c r="BB113" s="142">
        <v>9062</v>
      </c>
      <c r="BC113" s="142">
        <v>8740</v>
      </c>
      <c r="BD113" s="142">
        <v>9383</v>
      </c>
      <c r="BE113" s="142">
        <v>10099.4</v>
      </c>
      <c r="BF113" s="142">
        <v>10642.7</v>
      </c>
      <c r="BG113" s="142">
        <v>10689</v>
      </c>
      <c r="BH113" s="142">
        <v>10500.5</v>
      </c>
      <c r="BI113" s="142">
        <v>10737.7</v>
      </c>
      <c r="BJ113" s="142">
        <v>7208</v>
      </c>
      <c r="BK113" s="142">
        <v>5960</v>
      </c>
      <c r="BL113" s="142">
        <v>7019</v>
      </c>
      <c r="BM113" s="142">
        <v>6967</v>
      </c>
      <c r="BN113" s="142">
        <v>7564.4</v>
      </c>
      <c r="BO113" s="142">
        <v>7322.7</v>
      </c>
      <c r="BP113" s="142">
        <v>7826.3</v>
      </c>
      <c r="BQ113" s="142">
        <v>7746.6</v>
      </c>
      <c r="BR113" s="142">
        <v>8401</v>
      </c>
      <c r="BS113" s="142">
        <v>8659</v>
      </c>
      <c r="BT113" s="142">
        <v>8767</v>
      </c>
      <c r="BU113" s="142">
        <v>8985</v>
      </c>
      <c r="BV113" s="203">
        <v>7203.1</v>
      </c>
      <c r="BW113" s="203">
        <v>7058.9</v>
      </c>
      <c r="BX113" s="203">
        <v>6478.2</v>
      </c>
      <c r="BY113" s="203">
        <v>7046.9</v>
      </c>
      <c r="BZ113" s="142">
        <v>4393.8</v>
      </c>
      <c r="CA113" s="142">
        <v>1022.5</v>
      </c>
      <c r="CB113" s="142">
        <v>6955.5</v>
      </c>
      <c r="CC113" s="142">
        <v>7435.8</v>
      </c>
      <c r="CD113" s="206">
        <v>4.9646096999999898</v>
      </c>
      <c r="CE113" s="59">
        <v>6.122792433333335</v>
      </c>
      <c r="CF113" s="206">
        <v>4.819273066666673</v>
      </c>
      <c r="CG113" s="206">
        <v>6.3093157833333295</v>
      </c>
      <c r="CH113" s="206">
        <v>0.69999821666666673</v>
      </c>
      <c r="CI113" s="206">
        <v>0.87928803333333372</v>
      </c>
      <c r="CJ113" s="59">
        <v>0.99279864999999967</v>
      </c>
      <c r="CK113" s="59">
        <v>0.90710441666666697</v>
      </c>
      <c r="CL113" s="206">
        <v>28.475261824324356</v>
      </c>
      <c r="CM113" s="206">
        <v>28.471908783783782</v>
      </c>
      <c r="CN113" s="206">
        <v>42.302955236486468</v>
      </c>
      <c r="CO113" s="206">
        <v>40.337500844594572</v>
      </c>
      <c r="CP113" s="206">
        <v>79.971494932432648</v>
      </c>
      <c r="CQ113" s="206">
        <v>78.782804054053997</v>
      </c>
      <c r="CR113" s="206">
        <v>0</v>
      </c>
      <c r="CS113" s="59">
        <v>0</v>
      </c>
      <c r="CT113" s="206">
        <v>1.1260869932432436</v>
      </c>
      <c r="CU113" s="206">
        <v>1.2533412162162179</v>
      </c>
      <c r="CV113" s="206">
        <v>2.871</v>
      </c>
      <c r="CW113" s="258">
        <v>2.988</v>
      </c>
      <c r="CX113" s="204">
        <f>IFERROR(AVERAGEIF(RD[[#This Row],[IS1POA1 (KWh/m2)]:[IS7POA2 (KWh/m2)]],"&lt;&gt;0",RD[[#This Row],[IS1POA1 (KWh/m2)]:[IS7POA2 (KWh/m2)]]),"")</f>
        <v>5.543701066666662</v>
      </c>
      <c r="CY113" s="204">
        <f>IFERROR(AVERAGEIF(RD[[#This Row],[IS1GHI1 (KWh/m2)]:[IS7GHI2 (KWh/m2)]],"&lt;&gt;0",RD[[#This Row],[IS1GHI1 (KWh/m2)]:[IS7GHI2 (KWh/m2)]]),"")</f>
        <v>5.5642944250000017</v>
      </c>
      <c r="CZ113" s="204">
        <f>IFERROR(AVERAGEIF(RD[[#This Row],[IS1POA_BS1 (KWh/m2)]:[IS7POA_BS2 (KWh/m2)]],"&lt;&gt;0",RD[[#This Row],[IS1POA_BS1 (KWh/m2)]:[IS7POA_BS2 (KWh/m2)]]),"")</f>
        <v>0.78964312500000022</v>
      </c>
      <c r="DA113" s="204">
        <f>IFERROR(AVERAGEIF(RD[[#This Row],[IS1GHI_BS1 (KWh/m2)]:[IS1GHI_BS1 (KWh/m2)2]],"&lt;&gt;0",RD[[#This Row],[IS1GHI_BS1 (KWh/m2)]:[IS1GHI_BS1 (KWh/m2)2]]),"")</f>
        <v>0.94995153333333326</v>
      </c>
      <c r="DB113" s="204">
        <f>IFERROR(AVERAGEIF(RD[[#This Row],[IS1AT1 (°C)]:[IS7AT2 (°C)]],"&lt;&gt;0",RD[[#This Row],[IS1AT1 (°C)]:[IS7AT2 (°C)]]),"")</f>
        <v>28.473585304054069</v>
      </c>
      <c r="DC113" s="204">
        <f>IFERROR(AVERAGEIF(RD[[#This Row],[IS1MT1 (°C)]:[IS7MT2 (°C)]],"&lt;&gt;0",RD[[#This Row],[IS1MT1 (°C)]:[IS7MT2 (°C)]]),"")</f>
        <v>41.32022804054052</v>
      </c>
      <c r="DD113" s="204">
        <f>IFERROR(AVERAGEIF(RD[[#This Row],[IS1RH1 (%)]:[IS7RH2 (%)]],"&lt;&gt;0",RD[[#This Row],[IS1RH1 (%)]:[IS7RH2 (%)]]),"")</f>
        <v>79.377149493243323</v>
      </c>
      <c r="DE113" s="204" t="str">
        <f>IFERROR(AVERAGEIF(RD[[#This Row],[IS1Rain1 (mm)]:[IS7Rain2 (mm)]],"&lt;&gt;0",RD[[#This Row],[IS1Rain1 (mm)]:[IS7Rain2 (mm)]]),"")</f>
        <v/>
      </c>
      <c r="DF113" s="204">
        <f>IFERROR(AVERAGEIF(RD[[#This Row],[WS_Solar1_Avg (m/s)]:[IS7_WS_Solar1_Avg (m/s)]],"&lt;&gt;0",RD[[#This Row],[WS_Solar1_Avg (m/s)]:[IS7_WS_Solar1_Avg (m/s)]]),"")</f>
        <v>1.1897141047297306</v>
      </c>
      <c r="DG113" s="204">
        <f>IFERROR(AVERAGEIF(RD[[#This Row],[WS_Solar1_Max (m/s)]:[IS7_WS_Solar1_Max (m/s)]],"&lt;&gt;0",RD[[#This Row],[WS_Solar1_Max (m/s)]:[IS7_WS_Solar1_Max (m/s)]]),"")</f>
        <v>2.9295</v>
      </c>
      <c r="DH113" s="204">
        <f>SUM(RD[[#This Row],[IS1Inv1M1]:[IS4Inv4M2]])</f>
        <v>226331.59999999998</v>
      </c>
      <c r="DI113" s="205">
        <f>SUM(RD[[#This Row],[IS7Inv1M1]]+RD[[#This Row],[IS7Inv2M1]])</f>
        <v>15034.2</v>
      </c>
      <c r="DJ113" s="204">
        <f>SUM(RD[[#This Row],[IS5Inv1M1]:[IS5Inv2M2]])</f>
        <v>37195.599999999999</v>
      </c>
      <c r="DK113" s="204">
        <f>SUM(RD[[#This Row],[IS8Inv1M1]:[IS9Inv2M2]])</f>
        <v>71408.599999999991</v>
      </c>
      <c r="DL113" s="60">
        <f>SUM(RD[[#This Row],[IS6Inv1M1]:[IS6Inv2M2]])</f>
        <v>37949.100000000006</v>
      </c>
      <c r="DM113" s="286">
        <f>SUM(RD[[#This Row],[IS10Inv1M1]:[IS11Inv1M4]],RD[[#This Row],[IS14Inv1M1]:[IS14Inv2M4]])</f>
        <v>154602.99999999997</v>
      </c>
      <c r="DN113" s="286">
        <f>SUM(RD[[#This Row],[IS12Inv1M1]:[IS12Inv1M4]])</f>
        <v>30460</v>
      </c>
      <c r="DO113" s="286">
        <f>SUM(RD[[#This Row],[IS13Inv1M1]:[IS13Inv2M2]])</f>
        <v>34812</v>
      </c>
      <c r="DP113" s="204">
        <f>SUM(RD[[#This Row],[O2R15]:[O2R26]])</f>
        <v>607794.1</v>
      </c>
      <c r="DQ113" s="164">
        <v>45910</v>
      </c>
      <c r="DR113" s="168">
        <v>231.1</v>
      </c>
      <c r="DS113" s="164">
        <v>40166.300000000003</v>
      </c>
      <c r="DT113" s="164">
        <v>243</v>
      </c>
      <c r="DU113" s="168">
        <v>47561.4</v>
      </c>
      <c r="DV113" s="168">
        <v>456.8</v>
      </c>
      <c r="DW113" s="164">
        <v>11005.1</v>
      </c>
      <c r="DX113" s="168">
        <v>58.3</v>
      </c>
      <c r="DY113" s="168">
        <v>4910.8</v>
      </c>
      <c r="DZ113" s="168">
        <v>26.2</v>
      </c>
      <c r="EA113" s="140">
        <v>110.2</v>
      </c>
      <c r="EB113" s="241">
        <v>153830572</v>
      </c>
      <c r="EC113" s="240">
        <v>1089608.4480000001</v>
      </c>
      <c r="ED113" s="241">
        <v>1307</v>
      </c>
      <c r="EE113" s="241">
        <v>148017</v>
      </c>
      <c r="EF113" s="164">
        <v>213270.9</v>
      </c>
      <c r="EG113" s="164">
        <v>2087.5</v>
      </c>
      <c r="EH113" s="146">
        <f>IF((RD[[#This Row],[33 kV_F3_Ex
Incomer1]]-DQ112)*1000&lt;0,0,(RD[[#This Row],[33 kV_F3_Ex
Incomer1]]-DQ112)*1000)</f>
        <v>114699.99999999709</v>
      </c>
      <c r="EI113" s="146">
        <f>IF((RD[[#This Row],[34 kV_F3_Im
Incomer1]]-DR112)*1000&lt;0,0,(RD[[#This Row],[34 kV_F3_Im
Incomer1]]-DR112)*1000)</f>
        <v>299.99999999998295</v>
      </c>
      <c r="EJ113" s="146">
        <f>IF((RD[[#This Row],[33 kV_F4_Ex
Incomer2]]-DS112)*1000&lt;0,0,(RD[[#This Row],[33 kV_F4_Ex
Incomer2]]-DS112)*1000)</f>
        <v>105200.00000000437</v>
      </c>
      <c r="EK113" s="146">
        <f>IF((RD[[#This Row],[34 kV_F4_Im
Incomer2]]-DT112)*1000&lt;0,0,(RD[[#This Row],[34 kV_F4_Im
Incomer2]]-DT112)*1000)</f>
        <v>300.00000000001137</v>
      </c>
      <c r="EL113" s="146">
        <f>IF((RD[[#This Row],[33 kV_F5_Ex
Incomer3]]-DU112)*1000&lt;0,0,(RD[[#This Row],[33 kV_F5_Ex
Incomer3]]-DU112)*1000)</f>
        <v>159599.99999999854</v>
      </c>
      <c r="EM113" s="146">
        <f>IF((RD[[#This Row],[34 kV_F5_Im
Incomer3]]-DV112)*1000&lt;0,0,(RD[[#This Row],[34 kV_F5_Im
Incomer3]]-DV112)*1000)</f>
        <v>600.00000000002274</v>
      </c>
      <c r="EN113" s="146">
        <f>IF((RD[[#This Row],[33 kV_F6_Ex
Incomer4]]-DW112)*1000&lt;0,0,(RD[[#This Row],[33 kV_F6_Ex
Incomer4]]-DW112)*1000)</f>
        <v>47100.000000000364</v>
      </c>
      <c r="EO113" s="146">
        <f t="shared" si="166"/>
        <v>300.00000000001137</v>
      </c>
      <c r="EP113" s="146">
        <f>IF((RD[[#This Row],[33 kV_F7_Ex
Incomer5]]-DY112)*1000&lt;0,0,(RD[[#This Row],[33 kV_F7_Ex
Incomer5]]-DY112)*1000)</f>
        <v>136300.00000000017</v>
      </c>
      <c r="EQ113" s="146">
        <f>IF((RD[[#This Row],[33 kV_F7_Im
Incomer5]]-DZ112)*1000&lt;0,0,(RD[[#This Row],[33 kV_F7_Im
Incomer5]]-DZ112)*1000)</f>
        <v>599.99999999999784</v>
      </c>
      <c r="ER113" s="146">
        <f>IF((RD[[#This Row],[33 kV_Aux Trafo]]-EA112)*1000&lt;0,0,(RD[[#This Row],[33 kV_Aux Trafo]]-EA112)*1000)</f>
        <v>310.00000000000227</v>
      </c>
      <c r="ES113" s="158">
        <f>IF((RD[[#This Row],[33kV_OG1_Ex_]]-EB112)*1&lt;0,0,(RD[[#This Row],[33kV_OG1_Ex_]]-EB112)*1)</f>
        <v>599819</v>
      </c>
      <c r="ET113" s="146">
        <f>IF((RD[[#This Row],[33kV_OG1_Im]]-EC112)*1&lt;0,0,(RD[[#This Row],[33kV_OG1_Im]]-EC112)*1)</f>
        <v>2597.6319999999832</v>
      </c>
      <c r="EU113" s="146">
        <f>IF((RD[[#This Row],[132kV_TX1_EX]]-ED112)*720&lt;=0,"",(RD[[#This Row],[132kV_TX1_EX]]-ED112)*720)</f>
        <v>2160</v>
      </c>
      <c r="EV113" s="146">
        <f>IF((RD[[#This Row],[132 kV_Tx1_Im]]-EE112)*720&lt;=0,0,(RD[[#This Row],[132 kV_Tx1_Im]]-EE112)*720)</f>
        <v>430560</v>
      </c>
      <c r="EW113" s="146">
        <f>IF((RD[[#This Row],[132kV_L1_Ex]]-EF112)*720&lt;=0,0,(RD[[#This Row],[132kV_L1_Ex]]-EF112)*720)</f>
        <v>597960</v>
      </c>
      <c r="EX113" s="146">
        <f>IF((RD[[#This Row],[132kV_L1_Im]]-EG112)*720&lt;=0,0,(RD[[#This Row],[132kV_L1_Im]]-EG112)*720)</f>
        <v>3168.0000000000655</v>
      </c>
      <c r="EY113" s="242">
        <f>IFERROR(RD[[#This Row],[33kV_OG1_Ex (MWh)]]+RD[[#This Row],[33kV_OG1_Im (MWh)]],"")</f>
        <v>602416.63199999998</v>
      </c>
      <c r="EZ113" s="148">
        <f>RD[[#This Row],[33kV_OG1_Ex (MWh)]]-RD[[#This Row],[33kV_OG1_Im (MWh)]]</f>
        <v>597221.36800000002</v>
      </c>
      <c r="FA113" s="148">
        <f>IFERROR(RD[[#This Row],[132kV_L1_Ex(MWh)]]-RD[[#This Row],[132kV_L1_Im(MWh)]],"")</f>
        <v>594791.99999999988</v>
      </c>
      <c r="FB113" s="297">
        <f>IFERROR(RD[[#This Row],[33kV_Ex(MWh)]]/RD[[#This Row],[Inv Total Gneration (MWh)]]-1,"")</f>
        <v>-8.8475159597632969E-3</v>
      </c>
      <c r="FC113" s="243">
        <f>IFERROR((RD[[#This Row],[Sunset Time (POA&lt;20 W/m2)]]-RD[[#This Row],[Sunrise Time (POA&gt;20 W/m2)]])*24,0)</f>
        <v>12.816666666666666</v>
      </c>
      <c r="FD113" s="244">
        <v>128.08000000000001</v>
      </c>
      <c r="FE113" t="s">
        <v>294</v>
      </c>
      <c r="FG113" s="144" t="str">
        <f>IFERROR(RD[[#This Row],[E_AC (WPR)]]/RD[[#This Row],[E_DC (WPR)]],"")</f>
        <v/>
      </c>
    </row>
    <row r="114" spans="1:163">
      <c r="A114" s="133">
        <f t="shared" si="167"/>
        <v>45854</v>
      </c>
      <c r="B114" s="138">
        <f>YEAR(RD[[#This Row],[Date]])+IF(MONTH(RD[[#This Row],[Date]])&gt;=4,1,0)</f>
        <v>2026</v>
      </c>
      <c r="C114" s="138">
        <f>YEAR(RD[[#This Row],[Date]])</f>
        <v>2025</v>
      </c>
      <c r="D114" s="139">
        <f t="shared" si="169"/>
        <v>45839</v>
      </c>
      <c r="E114" s="138">
        <f>DAY(EOMONTH(RD[[#This Row],[Date]],0))</f>
        <v>31</v>
      </c>
      <c r="F114" s="152">
        <v>0.25972222222222224</v>
      </c>
      <c r="G114" s="162">
        <v>0.78194444444444444</v>
      </c>
      <c r="H114" s="124">
        <v>7181.6</v>
      </c>
      <c r="I114" s="268">
        <v>7255.9</v>
      </c>
      <c r="J114" s="124">
        <v>6863.1</v>
      </c>
      <c r="K114" s="124">
        <v>6855</v>
      </c>
      <c r="L114" s="124">
        <v>7036.4</v>
      </c>
      <c r="M114" s="124">
        <v>7211.2</v>
      </c>
      <c r="N114" s="124">
        <v>7018.6</v>
      </c>
      <c r="O114" s="124">
        <v>7598.6</v>
      </c>
      <c r="P114" s="124">
        <v>7089</v>
      </c>
      <c r="Q114" s="124">
        <v>7011</v>
      </c>
      <c r="R114" s="124">
        <v>7170.7</v>
      </c>
      <c r="S114" s="266">
        <v>7250.4</v>
      </c>
      <c r="T114" s="124">
        <v>7271.2</v>
      </c>
      <c r="U114" s="124">
        <v>7129</v>
      </c>
      <c r="V114" s="124">
        <v>7348.6</v>
      </c>
      <c r="W114" s="124">
        <v>7109.6</v>
      </c>
      <c r="X114" s="294">
        <v>9911.7999999999993</v>
      </c>
      <c r="Y114" s="203">
        <v>10887.6</v>
      </c>
      <c r="Z114" s="203">
        <v>9656.4</v>
      </c>
      <c r="AA114" s="203">
        <v>9979</v>
      </c>
      <c r="AB114" s="294">
        <v>10462.5</v>
      </c>
      <c r="AC114" s="203">
        <v>6604.6</v>
      </c>
      <c r="AD114" s="203">
        <v>9761.7999999999993</v>
      </c>
      <c r="AE114" s="203">
        <v>9920.4</v>
      </c>
      <c r="AF114" s="294">
        <v>9725.2999999999993</v>
      </c>
      <c r="AG114" s="203">
        <v>9690</v>
      </c>
      <c r="AH114" s="203">
        <v>9700.6</v>
      </c>
      <c r="AI114" s="294">
        <v>9778.7999999999993</v>
      </c>
      <c r="AJ114" s="142">
        <v>7685.4</v>
      </c>
      <c r="AK114" s="142">
        <v>7900.8</v>
      </c>
      <c r="AL114" s="142">
        <v>7857.5</v>
      </c>
      <c r="AM114" s="142">
        <v>7977.1</v>
      </c>
      <c r="AN114" s="142">
        <v>7887.8</v>
      </c>
      <c r="AO114" s="142">
        <v>8029.1</v>
      </c>
      <c r="AP114" s="142">
        <v>7988.3</v>
      </c>
      <c r="AQ114" s="142">
        <v>7914</v>
      </c>
      <c r="AR114" s="142">
        <v>6336.4</v>
      </c>
      <c r="AS114" s="142">
        <v>6413.5</v>
      </c>
      <c r="AT114" s="142">
        <v>6434.7</v>
      </c>
      <c r="AU114" s="142">
        <v>6389.1</v>
      </c>
      <c r="AV114" s="142">
        <v>6534.2</v>
      </c>
      <c r="AW114" s="142">
        <v>6457.1</v>
      </c>
      <c r="AX114" s="142">
        <v>8899.9</v>
      </c>
      <c r="AY114" s="142">
        <v>9684.6</v>
      </c>
      <c r="AZ114" s="142">
        <v>7079.9</v>
      </c>
      <c r="BA114" s="142">
        <v>8672.2999999999993</v>
      </c>
      <c r="BB114" s="142">
        <v>8552</v>
      </c>
      <c r="BC114" s="142">
        <v>8341</v>
      </c>
      <c r="BD114" s="142">
        <v>9022</v>
      </c>
      <c r="BE114" s="142">
        <v>9885</v>
      </c>
      <c r="BF114" s="142">
        <v>10557</v>
      </c>
      <c r="BG114" s="142">
        <v>10779.8</v>
      </c>
      <c r="BH114" s="142">
        <v>10639.7</v>
      </c>
      <c r="BI114" s="142">
        <v>10770</v>
      </c>
      <c r="BJ114" s="142">
        <v>7209</v>
      </c>
      <c r="BK114" s="142">
        <v>5814.4</v>
      </c>
      <c r="BL114" s="142">
        <v>6889</v>
      </c>
      <c r="BM114" s="142">
        <v>6843</v>
      </c>
      <c r="BN114" s="142">
        <v>7481</v>
      </c>
      <c r="BO114" s="142">
        <v>7198</v>
      </c>
      <c r="BP114" s="142">
        <v>7686</v>
      </c>
      <c r="BQ114" s="142">
        <v>7680</v>
      </c>
      <c r="BR114" s="142">
        <v>7931</v>
      </c>
      <c r="BS114" s="142">
        <v>8244</v>
      </c>
      <c r="BT114" s="142">
        <v>8433</v>
      </c>
      <c r="BU114" s="142">
        <v>8556</v>
      </c>
      <c r="BV114" s="203">
        <v>7017</v>
      </c>
      <c r="BW114" s="203">
        <v>6910</v>
      </c>
      <c r="BX114" s="203">
        <v>6219</v>
      </c>
      <c r="BY114" s="203">
        <v>6921</v>
      </c>
      <c r="BZ114" s="142">
        <v>5677</v>
      </c>
      <c r="CA114" s="142">
        <v>1010</v>
      </c>
      <c r="CB114" s="142">
        <v>6604</v>
      </c>
      <c r="CC114" s="142">
        <v>7043</v>
      </c>
      <c r="CD114" s="206">
        <v>5.2044666666800001</v>
      </c>
      <c r="CE114" s="59">
        <v>5.0491243166666662</v>
      </c>
      <c r="CF114" s="206">
        <v>4.8474631499999949</v>
      </c>
      <c r="CG114" s="206">
        <v>5.1254392000000131</v>
      </c>
      <c r="CH114" s="206">
        <v>0.68296101666666642</v>
      </c>
      <c r="CI114" s="206">
        <v>0.68975085000000036</v>
      </c>
      <c r="CJ114" s="59">
        <v>0.99908591666666702</v>
      </c>
      <c r="CK114" s="59">
        <v>0.72924873333333351</v>
      </c>
      <c r="CL114" s="206">
        <v>28.129315654405534</v>
      </c>
      <c r="CM114" s="206">
        <v>28.101248930710003</v>
      </c>
      <c r="CN114" s="206">
        <v>41.952324208725372</v>
      </c>
      <c r="CO114" s="206">
        <v>39.06143370402053</v>
      </c>
      <c r="CP114" s="206">
        <v>82.515757057313991</v>
      </c>
      <c r="CQ114" s="206">
        <v>81.611873396065064</v>
      </c>
      <c r="CR114" s="206">
        <v>7.1856287425149823E-2</v>
      </c>
      <c r="CS114" s="59">
        <v>4.1060735671514088E-2</v>
      </c>
      <c r="CT114" s="206">
        <v>1.249562874251497</v>
      </c>
      <c r="CU114" s="206">
        <v>1.3058828058169369</v>
      </c>
      <c r="CV114" s="206">
        <v>3.165</v>
      </c>
      <c r="CW114" s="258">
        <v>3.4319999999999999</v>
      </c>
      <c r="CX114" s="204">
        <f>IFERROR(AVERAGEIF(RD[[#This Row],[IS1POA1 (KWh/m2)]:[IS7POA2 (KWh/m2)]],"&lt;&gt;0",RD[[#This Row],[IS1POA1 (KWh/m2)]:[IS7POA2 (KWh/m2)]]),"")</f>
        <v>5.1267954916733327</v>
      </c>
      <c r="CY114" s="204">
        <f>IFERROR(AVERAGEIF(RD[[#This Row],[IS1GHI1 (KWh/m2)]:[IS7GHI2 (KWh/m2)]],"&lt;&gt;0",RD[[#This Row],[IS1GHI1 (KWh/m2)]:[IS7GHI2 (KWh/m2)]]),"")</f>
        <v>4.9864511750000045</v>
      </c>
      <c r="CZ114" s="204">
        <f>IFERROR(AVERAGEIF(RD[[#This Row],[IS1POA_BS1 (KWh/m2)]:[IS7POA_BS2 (KWh/m2)]],"&lt;&gt;0",RD[[#This Row],[IS1POA_BS1 (KWh/m2)]:[IS7POA_BS2 (KWh/m2)]]),"")</f>
        <v>0.68635593333333333</v>
      </c>
      <c r="DA114" s="204">
        <f>IFERROR(AVERAGEIF(RD[[#This Row],[IS1GHI_BS1 (KWh/m2)]:[IS1GHI_BS1 (KWh/m2)2]],"&lt;&gt;0",RD[[#This Row],[IS1GHI_BS1 (KWh/m2)]:[IS1GHI_BS1 (KWh/m2)2]]),"")</f>
        <v>0.86416732500000026</v>
      </c>
      <c r="DB114" s="204">
        <f>IFERROR(AVERAGEIF(RD[[#This Row],[IS1AT1 (°C)]:[IS7AT2 (°C)]],"&lt;&gt;0",RD[[#This Row],[IS1AT1 (°C)]:[IS7AT2 (°C)]]),"")</f>
        <v>28.115282292557769</v>
      </c>
      <c r="DC114" s="204">
        <f>IFERROR(AVERAGEIF(RD[[#This Row],[IS1MT1 (°C)]:[IS7MT2 (°C)]],"&lt;&gt;0",RD[[#This Row],[IS1MT1 (°C)]:[IS7MT2 (°C)]]),"")</f>
        <v>40.506878956372951</v>
      </c>
      <c r="DD114" s="204">
        <f>IFERROR(AVERAGEIF(RD[[#This Row],[IS1RH1 (%)]:[IS7RH2 (%)]],"&lt;&gt;0",RD[[#This Row],[IS1RH1 (%)]:[IS7RH2 (%)]]),"")</f>
        <v>82.063815226689528</v>
      </c>
      <c r="DE114" s="204">
        <f>IFERROR(AVERAGEIF(RD[[#This Row],[IS1Rain1 (mm)]:[IS7Rain2 (mm)]],"&lt;&gt;0",RD[[#This Row],[IS1Rain1 (mm)]:[IS7Rain2 (mm)]]),"")</f>
        <v>5.6458511548331952E-2</v>
      </c>
      <c r="DF114" s="204">
        <f>IFERROR(AVERAGEIF(RD[[#This Row],[WS_Solar1_Avg (m/s)]:[IS7_WS_Solar1_Avg (m/s)]],"&lt;&gt;0",RD[[#This Row],[WS_Solar1_Avg (m/s)]:[IS7_WS_Solar1_Avg (m/s)]]),"")</f>
        <v>1.2777228400342171</v>
      </c>
      <c r="DG114" s="204">
        <f>IFERROR(AVERAGEIF(RD[[#This Row],[WS_Solar1_Max (m/s)]:[IS7_WS_Solar1_Max (m/s)]],"&lt;&gt;0",RD[[#This Row],[WS_Solar1_Max (m/s)]:[IS7_WS_Solar1_Max (m/s)]]),"")</f>
        <v>3.2984999999999998</v>
      </c>
      <c r="DH114" s="204">
        <f>SUM(RD[[#This Row],[IS1Inv1M1]:[IS4Inv4M2]])</f>
        <v>230478.69999999995</v>
      </c>
      <c r="DI114" s="205">
        <f>SUM(RD[[#This Row],[IS7Inv1M1]]+RD[[#This Row],[IS7Inv2M1]])</f>
        <v>12749.9</v>
      </c>
      <c r="DJ114" s="204">
        <f>SUM(RD[[#This Row],[IS5Inv1M1]:[IS5Inv2M2]])</f>
        <v>31420.800000000003</v>
      </c>
      <c r="DK114" s="204">
        <f>SUM(RD[[#This Row],[IS8Inv1M1]:[IS9Inv2M2]])</f>
        <v>60151.8</v>
      </c>
      <c r="DL114" s="60">
        <f>SUM(RD[[#This Row],[IS6Inv1M1]:[IS6Inv2M2]])</f>
        <v>31819.200000000001</v>
      </c>
      <c r="DM114" s="286">
        <f>SUM(RD[[#This Row],[IS10Inv1M1]:[IS11Inv1M4]],RD[[#This Row],[IS14Inv1M1]:[IS14Inv2M4]])</f>
        <v>152702.9</v>
      </c>
      <c r="DN114" s="286">
        <f>SUM(RD[[#This Row],[IS12Inv1M1]:[IS12Inv1M4]])</f>
        <v>30045</v>
      </c>
      <c r="DO114" s="286">
        <f>SUM(RD[[#This Row],[IS13Inv1M1]:[IS13Inv2M2]])</f>
        <v>33164</v>
      </c>
      <c r="DP114" s="204">
        <f>SUM(RD[[#This Row],[O2R15]:[O2R26]])</f>
        <v>582532.29999999993</v>
      </c>
      <c r="DQ114" s="164">
        <v>46025.3</v>
      </c>
      <c r="DR114" s="168">
        <v>231.5</v>
      </c>
      <c r="DS114" s="164">
        <v>40274.5</v>
      </c>
      <c r="DT114" s="164">
        <v>243.3</v>
      </c>
      <c r="DU114" s="168">
        <v>47696.1</v>
      </c>
      <c r="DV114" s="168">
        <v>457.4</v>
      </c>
      <c r="DW114" s="164">
        <v>11051.5</v>
      </c>
      <c r="DX114" s="168">
        <v>58.5</v>
      </c>
      <c r="DY114" s="168">
        <v>5043.8</v>
      </c>
      <c r="DZ114" s="168">
        <v>26.7</v>
      </c>
      <c r="EA114" s="140">
        <v>110.5</v>
      </c>
      <c r="EB114" s="241">
        <v>154404290</v>
      </c>
      <c r="EC114" s="240">
        <v>1091844.608</v>
      </c>
      <c r="ED114" s="241">
        <v>1310</v>
      </c>
      <c r="EE114" s="241">
        <v>148588</v>
      </c>
      <c r="EF114" s="164">
        <v>214065.1</v>
      </c>
      <c r="EG114" s="164">
        <v>2091.3000000000002</v>
      </c>
      <c r="EH114" s="146">
        <f>IF((RD[[#This Row],[33 kV_F3_Ex
Incomer1]]-DQ113)*1000&lt;0,0,(RD[[#This Row],[33 kV_F3_Ex
Incomer1]]-DQ113)*1000)</f>
        <v>115300.00000000291</v>
      </c>
      <c r="EI114" s="146">
        <f>IF((RD[[#This Row],[34 kV_F3_Im
Incomer1]]-DR113)*1000&lt;0,0,(RD[[#This Row],[34 kV_F3_Im
Incomer1]]-DR113)*1000)</f>
        <v>400.00000000000568</v>
      </c>
      <c r="EJ114" s="146">
        <f>IF((RD[[#This Row],[33 kV_F4_Ex
Incomer2]]-DS113)*1000&lt;0,0,(RD[[#This Row],[33 kV_F4_Ex
Incomer2]]-DS113)*1000)</f>
        <v>108199.99999999709</v>
      </c>
      <c r="EK114" s="146">
        <f>IF((RD[[#This Row],[34 kV_F4_Im
Incomer2]]-DT113)*1000&lt;0,0,(RD[[#This Row],[34 kV_F4_Im
Incomer2]]-DT113)*1000)</f>
        <v>300.00000000001137</v>
      </c>
      <c r="EL114" s="146">
        <f>IF((RD[[#This Row],[33 kV_F5_Ex
Incomer3]]-DU113)*1000&lt;0,0,(RD[[#This Row],[33 kV_F5_Ex
Incomer3]]-DU113)*1000)</f>
        <v>134699.99999999709</v>
      </c>
      <c r="EM114" s="146">
        <f>IF((RD[[#This Row],[34 kV_F5_Im
Incomer3]]-DV113)*1000&lt;0,0,(RD[[#This Row],[34 kV_F5_Im
Incomer3]]-DV113)*1000)</f>
        <v>599.99999999996589</v>
      </c>
      <c r="EN114" s="146">
        <f>IF((RD[[#This Row],[33 kV_F6_Ex
Incomer4]]-DW113)*1000&lt;0,0,(RD[[#This Row],[33 kV_F6_Ex
Incomer4]]-DW113)*1000)</f>
        <v>46399.999999999636</v>
      </c>
      <c r="EO114" s="146">
        <f t="shared" si="166"/>
        <v>300.00000000001137</v>
      </c>
      <c r="EP114" s="146">
        <f>IF((RD[[#This Row],[33 kV_F7_Ex
Incomer5]]-DY113)*1000&lt;0,0,(RD[[#This Row],[33 kV_F7_Ex
Incomer5]]-DY113)*1000)</f>
        <v>133000</v>
      </c>
      <c r="EQ114" s="146">
        <f>IF((RD[[#This Row],[33 kV_F7_Im
Incomer5]]-DZ113)*1000&lt;0,0,(RD[[#This Row],[33 kV_F7_Im
Incomer5]]-DZ113)*1000)</f>
        <v>500</v>
      </c>
      <c r="ER114" s="146">
        <f>IF((RD[[#This Row],[33 kV_Aux Trafo]]-EA113)*1000&lt;0,0,(RD[[#This Row],[33 kV_Aux Trafo]]-EA113)*1000)</f>
        <v>299.99999999999716</v>
      </c>
      <c r="ES114" s="158">
        <f>IF((RD[[#This Row],[33kV_OG1_Ex_]]-EB113)*1&lt;0,0,(RD[[#This Row],[33kV_OG1_Ex_]]-EB113)*1)</f>
        <v>573718</v>
      </c>
      <c r="ET114" s="146">
        <f>IF((RD[[#This Row],[33kV_OG1_Im]]-EC113)*1&lt;0,0,(RD[[#This Row],[33kV_OG1_Im]]-EC113)*1)</f>
        <v>2236.1599999999162</v>
      </c>
      <c r="EU114" s="146">
        <f>IF((RD[[#This Row],[132kV_TX1_EX]]-ED113)*720&lt;=0,"",(RD[[#This Row],[132kV_TX1_EX]]-ED113)*720)</f>
        <v>2160</v>
      </c>
      <c r="EV114" s="146">
        <f>IF((RD[[#This Row],[132 kV_Tx1_Im]]-EE113)*720&lt;=0,0,(RD[[#This Row],[132 kV_Tx1_Im]]-EE113)*720)</f>
        <v>411120</v>
      </c>
      <c r="EW114" s="146">
        <f>IF((RD[[#This Row],[132kV_L1_Ex]]-EF113)*720&lt;=0,0,(RD[[#This Row],[132kV_L1_Ex]]-EF113)*720)</f>
        <v>571824.00000000838</v>
      </c>
      <c r="EX114" s="146">
        <f>IF((RD[[#This Row],[132kV_L1_Im]]-EG113)*720&lt;=0,0,(RD[[#This Row],[132kV_L1_Im]]-EG113)*720)</f>
        <v>2736.000000000131</v>
      </c>
      <c r="EY114" s="242">
        <f>IFERROR(RD[[#This Row],[33kV_OG1_Ex (MWh)]]+RD[[#This Row],[33kV_OG1_Im (MWh)]],"")</f>
        <v>575954.15999999992</v>
      </c>
      <c r="EZ114" s="148">
        <f>RD[[#This Row],[33kV_OG1_Ex (MWh)]]-RD[[#This Row],[33kV_OG1_Im (MWh)]]</f>
        <v>571481.84000000008</v>
      </c>
      <c r="FA114" s="148">
        <f>IFERROR(RD[[#This Row],[132kV_L1_Ex(MWh)]]-RD[[#This Row],[132kV_L1_Im(MWh)]],"")</f>
        <v>569088.00000000827</v>
      </c>
      <c r="FB114" s="297">
        <f>IFERROR(RD[[#This Row],[33kV_Ex(MWh)]]/RD[[#This Row],[Inv Total Gneration (MWh)]]-1,"")</f>
        <v>-1.1292318039703542E-2</v>
      </c>
      <c r="FC114" s="243">
        <f>IFERROR((RD[[#This Row],[Sunset Time (POA&lt;20 W/m2)]]-RD[[#This Row],[Sunrise Time (POA&gt;20 W/m2)]])*24,0)</f>
        <v>12.533333333333331</v>
      </c>
      <c r="FD114" s="244">
        <v>128.08000000000001</v>
      </c>
      <c r="FE114" t="s">
        <v>294</v>
      </c>
      <c r="FG114" s="144" t="str">
        <f>IFERROR(RD[[#This Row],[E_AC (WPR)]]/RD[[#This Row],[E_DC (WPR)]],"")</f>
        <v/>
      </c>
    </row>
    <row r="115" spans="1:163">
      <c r="A115" s="133">
        <f t="shared" si="167"/>
        <v>45855</v>
      </c>
      <c r="B115" s="138">
        <f>YEAR(RD[[#This Row],[Date]])+IF(MONTH(RD[[#This Row],[Date]])&gt;=4,1,0)</f>
        <v>2026</v>
      </c>
      <c r="C115" s="138">
        <f>YEAR(RD[[#This Row],[Date]])</f>
        <v>2025</v>
      </c>
      <c r="D115" s="139">
        <f t="shared" si="169"/>
        <v>45839</v>
      </c>
      <c r="E115" s="138">
        <f>DAY(EOMONTH(RD[[#This Row],[Date]],0))</f>
        <v>31</v>
      </c>
      <c r="F115" s="152">
        <v>0.25972222222222224</v>
      </c>
      <c r="G115" s="162">
        <v>0.78055555555555556</v>
      </c>
      <c r="H115" s="124">
        <v>6504.1</v>
      </c>
      <c r="I115" s="268">
        <v>6510.6</v>
      </c>
      <c r="J115" s="124">
        <v>6162.9</v>
      </c>
      <c r="K115" s="124">
        <v>6270.7</v>
      </c>
      <c r="L115" s="124">
        <v>6471.4</v>
      </c>
      <c r="M115" s="124">
        <v>6586.5</v>
      </c>
      <c r="N115" s="124">
        <v>6365.3</v>
      </c>
      <c r="O115" s="124">
        <v>6912.8</v>
      </c>
      <c r="P115" s="124">
        <v>6426.7</v>
      </c>
      <c r="Q115" s="124">
        <v>6445.9</v>
      </c>
      <c r="R115" s="124">
        <v>6674.8</v>
      </c>
      <c r="S115" s="266">
        <v>6608.1</v>
      </c>
      <c r="T115" s="124">
        <v>6622.6</v>
      </c>
      <c r="U115" s="124">
        <v>6738.8</v>
      </c>
      <c r="V115" s="124">
        <v>6788.4</v>
      </c>
      <c r="W115" s="124">
        <v>6448.8</v>
      </c>
      <c r="X115" s="294">
        <v>9024.5</v>
      </c>
      <c r="Y115" s="203">
        <v>10253.799999999999</v>
      </c>
      <c r="Z115" s="203">
        <v>8782.6</v>
      </c>
      <c r="AA115" s="203">
        <v>9129.7999999999993</v>
      </c>
      <c r="AB115" s="294">
        <v>10419.299999999999</v>
      </c>
      <c r="AC115" s="203">
        <v>6553.7</v>
      </c>
      <c r="AD115" s="203">
        <v>9687.2000000000007</v>
      </c>
      <c r="AE115" s="203">
        <v>9808.7000000000007</v>
      </c>
      <c r="AF115" s="294">
        <v>9692.5</v>
      </c>
      <c r="AG115" s="203">
        <v>9573</v>
      </c>
      <c r="AH115" s="203">
        <v>9628.5</v>
      </c>
      <c r="AI115" s="294">
        <v>9693.2000000000007</v>
      </c>
      <c r="AJ115" s="142">
        <v>7021.4</v>
      </c>
      <c r="AK115" s="142">
        <v>7310.9</v>
      </c>
      <c r="AL115" s="142">
        <v>7369.1</v>
      </c>
      <c r="AM115" s="142">
        <v>7482.4</v>
      </c>
      <c r="AN115" s="142">
        <v>7241.4</v>
      </c>
      <c r="AO115" s="142">
        <v>7418.8</v>
      </c>
      <c r="AP115" s="142">
        <v>7344.4</v>
      </c>
      <c r="AQ115" s="142">
        <v>7356.2</v>
      </c>
      <c r="AR115" s="142">
        <v>5961.9</v>
      </c>
      <c r="AS115" s="142">
        <v>6048.1</v>
      </c>
      <c r="AT115" s="142">
        <v>6074.6</v>
      </c>
      <c r="AU115" s="142">
        <v>6046.3</v>
      </c>
      <c r="AV115" s="142">
        <v>6196.7</v>
      </c>
      <c r="AW115" s="142">
        <v>6098.1</v>
      </c>
      <c r="AX115" s="142">
        <v>8272</v>
      </c>
      <c r="AY115" s="142">
        <v>9296.7999999999993</v>
      </c>
      <c r="AZ115" s="142">
        <v>6789.3</v>
      </c>
      <c r="BA115" s="142">
        <v>8381.2999999999993</v>
      </c>
      <c r="BB115" s="142">
        <v>8768.7999999999993</v>
      </c>
      <c r="BC115" s="142">
        <v>8500.6</v>
      </c>
      <c r="BD115" s="142">
        <v>8747.7999999999993</v>
      </c>
      <c r="BE115" s="142">
        <v>9562.7000000000007</v>
      </c>
      <c r="BF115" s="142">
        <v>10336.4</v>
      </c>
      <c r="BG115" s="142">
        <v>10528</v>
      </c>
      <c r="BH115" s="142">
        <v>10442.1</v>
      </c>
      <c r="BI115" s="142">
        <v>10664</v>
      </c>
      <c r="BJ115" s="142">
        <v>7185</v>
      </c>
      <c r="BK115" s="142">
        <v>5804</v>
      </c>
      <c r="BL115" s="142">
        <v>6915</v>
      </c>
      <c r="BM115" s="142">
        <v>6869</v>
      </c>
      <c r="BN115" s="142">
        <v>7486.8</v>
      </c>
      <c r="BO115" s="142">
        <v>7239.1</v>
      </c>
      <c r="BP115" s="142">
        <v>7724.1</v>
      </c>
      <c r="BQ115" s="142">
        <v>7638.5</v>
      </c>
      <c r="BR115" s="142">
        <v>8116</v>
      </c>
      <c r="BS115" s="142">
        <v>8436</v>
      </c>
      <c r="BT115" s="142">
        <v>8555</v>
      </c>
      <c r="BU115" s="142">
        <v>8710</v>
      </c>
      <c r="BV115" s="203">
        <v>6989</v>
      </c>
      <c r="BW115" s="203">
        <v>6798</v>
      </c>
      <c r="BX115" s="203">
        <v>6033.4</v>
      </c>
      <c r="BY115" s="203">
        <v>7213.7</v>
      </c>
      <c r="BZ115" s="142">
        <v>5883.1</v>
      </c>
      <c r="CA115" s="142">
        <v>938.9</v>
      </c>
      <c r="CB115" s="142">
        <v>6671</v>
      </c>
      <c r="CC115" s="142">
        <v>7223.3</v>
      </c>
      <c r="CD115" s="206">
        <v>5.3710793666666676</v>
      </c>
      <c r="CE115" s="59">
        <v>4.6210559500000121</v>
      </c>
      <c r="CF115" s="206">
        <v>4.2707949166666648</v>
      </c>
      <c r="CG115" s="206">
        <v>4.6759023000000015</v>
      </c>
      <c r="CH115" s="206">
        <v>0.63358319999999946</v>
      </c>
      <c r="CI115" s="206">
        <v>0.668183683333333</v>
      </c>
      <c r="CJ115" s="59">
        <v>0.90453199999999989</v>
      </c>
      <c r="CK115" s="59">
        <v>0.67668814999999982</v>
      </c>
      <c r="CL115" s="206">
        <v>28.259560067681978</v>
      </c>
      <c r="CM115" s="206">
        <v>28.272554991539767</v>
      </c>
      <c r="CN115" s="206">
        <v>41.052975465313089</v>
      </c>
      <c r="CO115" s="206">
        <v>38.179792724196346</v>
      </c>
      <c r="CP115" s="206">
        <v>77.93447546531317</v>
      </c>
      <c r="CQ115" s="206">
        <v>77.819644670050664</v>
      </c>
      <c r="CR115" s="206">
        <v>0</v>
      </c>
      <c r="CS115" s="59">
        <v>0</v>
      </c>
      <c r="CT115" s="206">
        <v>1.2390939086294408</v>
      </c>
      <c r="CU115" s="206">
        <v>1.267939086294416</v>
      </c>
      <c r="CV115" s="206">
        <v>2.7749999999999999</v>
      </c>
      <c r="CW115" s="258">
        <v>2.706</v>
      </c>
      <c r="CX115" s="204">
        <f>IFERROR(AVERAGEIF(RD[[#This Row],[IS1POA1 (KWh/m2)]:[IS7POA2 (KWh/m2)]],"&lt;&gt;0",RD[[#This Row],[IS1POA1 (KWh/m2)]:[IS7POA2 (KWh/m2)]]),"")</f>
        <v>4.9960676583333399</v>
      </c>
      <c r="CY115" s="204">
        <f>IFERROR(AVERAGEIF(RD[[#This Row],[IS1GHI1 (KWh/m2)]:[IS7GHI2 (KWh/m2)]],"&lt;&gt;0",RD[[#This Row],[IS1GHI1 (KWh/m2)]:[IS7GHI2 (KWh/m2)]]),"")</f>
        <v>4.4733486083333336</v>
      </c>
      <c r="CZ115" s="204">
        <f>IFERROR(AVERAGEIF(RD[[#This Row],[IS1POA_BS1 (KWh/m2)]:[IS7POA_BS2 (KWh/m2)]],"&lt;&gt;0",RD[[#This Row],[IS1POA_BS1 (KWh/m2)]:[IS7POA_BS2 (KWh/m2)]]),"")</f>
        <v>0.65088344166666623</v>
      </c>
      <c r="DA115" s="204">
        <f>IFERROR(AVERAGEIF(RD[[#This Row],[IS1GHI_BS1 (KWh/m2)]:[IS1GHI_BS1 (KWh/m2)2]],"&lt;&gt;0",RD[[#This Row],[IS1GHI_BS1 (KWh/m2)]:[IS1GHI_BS1 (KWh/m2)2]]),"")</f>
        <v>0.7906100749999998</v>
      </c>
      <c r="DB115" s="204">
        <f>IFERROR(AVERAGEIF(RD[[#This Row],[IS1AT1 (°C)]:[IS7AT2 (°C)]],"&lt;&gt;0",RD[[#This Row],[IS1AT1 (°C)]:[IS7AT2 (°C)]]),"")</f>
        <v>28.266057529610872</v>
      </c>
      <c r="DC115" s="204">
        <f>IFERROR(AVERAGEIF(RD[[#This Row],[IS1MT1 (°C)]:[IS7MT2 (°C)]],"&lt;&gt;0",RD[[#This Row],[IS1MT1 (°C)]:[IS7MT2 (°C)]]),"")</f>
        <v>39.616384094754721</v>
      </c>
      <c r="DD115" s="204">
        <f>IFERROR(AVERAGEIF(RD[[#This Row],[IS1RH1 (%)]:[IS7RH2 (%)]],"&lt;&gt;0",RD[[#This Row],[IS1RH1 (%)]:[IS7RH2 (%)]]),"")</f>
        <v>77.877060067681924</v>
      </c>
      <c r="DE115" s="204" t="str">
        <f>IFERROR(AVERAGEIF(RD[[#This Row],[IS1Rain1 (mm)]:[IS7Rain2 (mm)]],"&lt;&gt;0",RD[[#This Row],[IS1Rain1 (mm)]:[IS7Rain2 (mm)]]),"")</f>
        <v/>
      </c>
      <c r="DF115" s="204">
        <f>IFERROR(AVERAGEIF(RD[[#This Row],[WS_Solar1_Avg (m/s)]:[IS7_WS_Solar1_Avg (m/s)]],"&lt;&gt;0",RD[[#This Row],[WS_Solar1_Avg (m/s)]:[IS7_WS_Solar1_Avg (m/s)]]),"")</f>
        <v>1.2535164974619284</v>
      </c>
      <c r="DG115" s="204">
        <f>IFERROR(AVERAGEIF(RD[[#This Row],[WS_Solar1_Max (m/s)]:[IS7_WS_Solar1_Max (m/s)]],"&lt;&gt;0",RD[[#This Row],[WS_Solar1_Max (m/s)]:[IS7_WS_Solar1_Max (m/s)]]),"")</f>
        <v>2.7404999999999999</v>
      </c>
      <c r="DH115" s="204">
        <f>SUM(RD[[#This Row],[IS1Inv1M1]:[IS4Inv4M2]])</f>
        <v>216785.20000000004</v>
      </c>
      <c r="DI115" s="205">
        <f>SUM(RD[[#This Row],[IS7Inv1M1]]+RD[[#This Row],[IS7Inv2M1]])</f>
        <v>12010</v>
      </c>
      <c r="DJ115" s="204">
        <f>SUM(RD[[#This Row],[IS5Inv1M1]:[IS5Inv2M2]])</f>
        <v>29183.800000000003</v>
      </c>
      <c r="DK115" s="204">
        <f>SUM(RD[[#This Row],[IS8Inv1M1]:[IS9Inv2M2]])</f>
        <v>57155.100000000006</v>
      </c>
      <c r="DL115" s="60">
        <f>SUM(RD[[#This Row],[IS6Inv1M1]:[IS6Inv2M2]])</f>
        <v>29360.799999999999</v>
      </c>
      <c r="DM115" s="286">
        <f>SUM(RD[[#This Row],[IS10Inv1M1]:[IS11Inv1M4]],RD[[#This Row],[IS14Inv1M1]:[IS14Inv2M4]])</f>
        <v>152073.79999999999</v>
      </c>
      <c r="DN115" s="286">
        <f>SUM(RD[[#This Row],[IS12Inv1M1]:[IS12Inv1M4]])</f>
        <v>30088.5</v>
      </c>
      <c r="DO115" s="286">
        <f>SUM(RD[[#This Row],[IS13Inv1M1]:[IS13Inv2M2]])</f>
        <v>33817</v>
      </c>
      <c r="DP115" s="204">
        <f>SUM(RD[[#This Row],[O2R15]:[O2R26]])</f>
        <v>560474.20000000007</v>
      </c>
      <c r="DQ115" s="164">
        <v>46136.800000000003</v>
      </c>
      <c r="DR115" s="168">
        <v>231.9</v>
      </c>
      <c r="DS115" s="164">
        <v>40373.699999999997</v>
      </c>
      <c r="DT115" s="164">
        <v>243.7</v>
      </c>
      <c r="DU115" s="168">
        <v>47822.6</v>
      </c>
      <c r="DV115" s="168">
        <v>458.1</v>
      </c>
      <c r="DW115" s="164">
        <v>11098.2</v>
      </c>
      <c r="DX115" s="168">
        <v>58.7</v>
      </c>
      <c r="DY115" s="168">
        <v>5176.6000000000004</v>
      </c>
      <c r="DZ115" s="168">
        <v>27.3</v>
      </c>
      <c r="EA115" s="140">
        <v>110.8</v>
      </c>
      <c r="EB115" s="241">
        <v>154957103</v>
      </c>
      <c r="EC115" s="240">
        <v>1094336.7679999999</v>
      </c>
      <c r="ED115" s="241">
        <v>1313</v>
      </c>
      <c r="EE115" s="241">
        <v>149139</v>
      </c>
      <c r="EF115" s="164">
        <v>214830.5</v>
      </c>
      <c r="EG115" s="164">
        <v>2095.5</v>
      </c>
      <c r="EH115" s="146">
        <f>IF((RD[[#This Row],[33 kV_F3_Ex
Incomer1]]-DQ114)*1000&lt;0,0,(RD[[#This Row],[33 kV_F3_Ex
Incomer1]]-DQ114)*1000)</f>
        <v>111500</v>
      </c>
      <c r="EI115" s="146">
        <f>IF((RD[[#This Row],[34 kV_F3_Im
Incomer1]]-DR114)*1000&lt;0,0,(RD[[#This Row],[34 kV_F3_Im
Incomer1]]-DR114)*1000)</f>
        <v>400.00000000000568</v>
      </c>
      <c r="EJ115" s="146">
        <f>IF((RD[[#This Row],[33 kV_F4_Ex
Incomer2]]-DS114)*1000&lt;0,0,(RD[[#This Row],[33 kV_F4_Ex
Incomer2]]-DS114)*1000)</f>
        <v>99199.99999999709</v>
      </c>
      <c r="EK115" s="146">
        <f>IF((RD[[#This Row],[34 kV_F4_Im
Incomer2]]-DT114)*1000&lt;0,0,(RD[[#This Row],[34 kV_F4_Im
Incomer2]]-DT114)*1000)</f>
        <v>399.99999999997726</v>
      </c>
      <c r="EL115" s="146">
        <f>IF((RD[[#This Row],[33 kV_F5_Ex
Incomer3]]-DU114)*1000&lt;0,0,(RD[[#This Row],[33 kV_F5_Ex
Incomer3]]-DU114)*1000)</f>
        <v>126500</v>
      </c>
      <c r="EM115" s="146">
        <f>IF((RD[[#This Row],[34 kV_F5_Im
Incomer3]]-DV114)*1000&lt;0,0,(RD[[#This Row],[34 kV_F5_Im
Incomer3]]-DV114)*1000)</f>
        <v>700.00000000004547</v>
      </c>
      <c r="EN115" s="146">
        <f>IF((RD[[#This Row],[33 kV_F6_Ex
Incomer4]]-DW114)*1000&lt;0,0,(RD[[#This Row],[33 kV_F6_Ex
Incomer4]]-DW114)*1000)</f>
        <v>46700.000000000728</v>
      </c>
      <c r="EO115" s="146">
        <f t="shared" si="166"/>
        <v>399.99999999997726</v>
      </c>
      <c r="EP115" s="146">
        <f>IF((RD[[#This Row],[33 kV_F7_Ex
Incomer5]]-DY114)*1000&lt;0,0,(RD[[#This Row],[33 kV_F7_Ex
Incomer5]]-DY114)*1000)</f>
        <v>132800.00000000017</v>
      </c>
      <c r="EQ115" s="146">
        <f>IF((RD[[#This Row],[33 kV_F7_Im
Incomer5]]-DZ114)*1000&lt;0,0,(RD[[#This Row],[33 kV_F7_Im
Incomer5]]-DZ114)*1000)</f>
        <v>600.00000000000136</v>
      </c>
      <c r="ER115" s="146">
        <f>IF((RD[[#This Row],[33 kV_Aux Trafo]]-EA114)*1000&lt;0,0,(RD[[#This Row],[33 kV_Aux Trafo]]-EA114)*1000)</f>
        <v>299.99999999999716</v>
      </c>
      <c r="ES115" s="158">
        <f>IF((RD[[#This Row],[33kV_OG1_Ex_]]-EB114)*1&lt;0,0,(RD[[#This Row],[33kV_OG1_Ex_]]-EB114)*1)</f>
        <v>552813</v>
      </c>
      <c r="ET115" s="146">
        <f>IF((RD[[#This Row],[33kV_OG1_Im]]-EC114)*1&lt;0,0,(RD[[#This Row],[33kV_OG1_Im]]-EC114)*1)</f>
        <v>2492.1599999999162</v>
      </c>
      <c r="EU115" s="146">
        <f>IF((RD[[#This Row],[132kV_TX1_EX]]-ED114)*720&lt;=0,"",(RD[[#This Row],[132kV_TX1_EX]]-ED114)*720)</f>
        <v>2160</v>
      </c>
      <c r="EV115" s="146">
        <f>IF((RD[[#This Row],[132 kV_Tx1_Im]]-EE114)*720&lt;=0,0,(RD[[#This Row],[132 kV_Tx1_Im]]-EE114)*720)</f>
        <v>396720</v>
      </c>
      <c r="EW115" s="146">
        <f>IF((RD[[#This Row],[132kV_L1_Ex]]-EF114)*720&lt;=0,0,(RD[[#This Row],[132kV_L1_Ex]]-EF114)*720)</f>
        <v>551087.99999999581</v>
      </c>
      <c r="EX115" s="146">
        <f>IF((RD[[#This Row],[132kV_L1_Im]]-EG114)*720&lt;=0,0,(RD[[#This Row],[132kV_L1_Im]]-EG114)*720)</f>
        <v>3023.999999999869</v>
      </c>
      <c r="EY115" s="242">
        <f>IFERROR(RD[[#This Row],[33kV_OG1_Ex (MWh)]]+RD[[#This Row],[33kV_OG1_Im (MWh)]],"")</f>
        <v>555305.15999999992</v>
      </c>
      <c r="EZ115" s="148">
        <f>RD[[#This Row],[33kV_OG1_Ex (MWh)]]-RD[[#This Row],[33kV_OG1_Im (MWh)]]</f>
        <v>550320.84000000008</v>
      </c>
      <c r="FA115" s="148">
        <f>IFERROR(RD[[#This Row],[132kV_L1_Ex(MWh)]]-RD[[#This Row],[132kV_L1_Im(MWh)]],"")</f>
        <v>548063.99999999593</v>
      </c>
      <c r="FB115" s="297">
        <f>IFERROR(RD[[#This Row],[33kV_Ex(MWh)]]/RD[[#This Row],[Inv Total Gneration (MWh)]]-1,"")</f>
        <v>-9.2226189894203392E-3</v>
      </c>
      <c r="FC115" s="243">
        <f>IFERROR((RD[[#This Row],[Sunset Time (POA&lt;20 W/m2)]]-RD[[#This Row],[Sunrise Time (POA&gt;20 W/m2)]])*24,0)</f>
        <v>12.499999999999998</v>
      </c>
      <c r="FD115" s="244">
        <v>128.08000000000001</v>
      </c>
      <c r="FE115" t="s">
        <v>294</v>
      </c>
      <c r="FG115" s="144" t="str">
        <f>IFERROR(RD[[#This Row],[E_AC (WPR)]]/RD[[#This Row],[E_DC (WPR)]],"")</f>
        <v/>
      </c>
    </row>
    <row r="116" spans="1:163">
      <c r="A116" s="133">
        <f t="shared" si="167"/>
        <v>45856</v>
      </c>
      <c r="B116" s="138">
        <f>YEAR(RD[[#This Row],[Date]])+IF(MONTH(RD[[#This Row],[Date]])&gt;=4,1,0)</f>
        <v>2026</v>
      </c>
      <c r="C116" s="138">
        <f>YEAR(RD[[#This Row],[Date]])</f>
        <v>2025</v>
      </c>
      <c r="D116" s="139">
        <f t="shared" si="169"/>
        <v>45839</v>
      </c>
      <c r="E116" s="138">
        <f>DAY(EOMONTH(RD[[#This Row],[Date]],0))</f>
        <v>31</v>
      </c>
      <c r="F116" s="152">
        <v>0.26180555555555557</v>
      </c>
      <c r="G116" s="162">
        <v>0.78125</v>
      </c>
      <c r="H116" s="124">
        <v>5090.7</v>
      </c>
      <c r="I116" s="268">
        <v>5068.8999999999996</v>
      </c>
      <c r="J116" s="124">
        <v>4721.1000000000004</v>
      </c>
      <c r="K116" s="124">
        <v>4720.5</v>
      </c>
      <c r="L116" s="124">
        <v>4865.1000000000004</v>
      </c>
      <c r="M116" s="124">
        <v>5036.1000000000004</v>
      </c>
      <c r="N116" s="124">
        <v>4876.3999999999996</v>
      </c>
      <c r="O116" s="124">
        <v>5478.3</v>
      </c>
      <c r="P116" s="124">
        <v>4897.3</v>
      </c>
      <c r="Q116" s="124">
        <v>4848.1000000000004</v>
      </c>
      <c r="R116" s="124">
        <v>4991.5</v>
      </c>
      <c r="S116" s="266">
        <v>4989.2</v>
      </c>
      <c r="T116" s="124">
        <v>5009.5</v>
      </c>
      <c r="U116" s="124">
        <v>4960.5</v>
      </c>
      <c r="V116" s="124">
        <v>5168.3</v>
      </c>
      <c r="W116" s="124">
        <v>4962.2</v>
      </c>
      <c r="X116" s="294">
        <v>6913.9</v>
      </c>
      <c r="Y116" s="203">
        <v>7871.3</v>
      </c>
      <c r="Z116" s="203">
        <v>6785.2</v>
      </c>
      <c r="AA116" s="203">
        <v>7105.2</v>
      </c>
      <c r="AB116" s="294">
        <v>7549.2</v>
      </c>
      <c r="AC116" s="203">
        <v>4630.3999999999996</v>
      </c>
      <c r="AD116" s="203">
        <v>6985.8</v>
      </c>
      <c r="AE116" s="203">
        <v>7119.4</v>
      </c>
      <c r="AF116" s="294">
        <v>6947.5</v>
      </c>
      <c r="AG116" s="203">
        <v>6872</v>
      </c>
      <c r="AH116" s="203">
        <v>6943.7</v>
      </c>
      <c r="AI116" s="294">
        <v>6982.3</v>
      </c>
      <c r="AJ116" s="142">
        <v>5850</v>
      </c>
      <c r="AK116" s="142">
        <v>5978.4</v>
      </c>
      <c r="AL116" s="142">
        <v>5926.5</v>
      </c>
      <c r="AM116" s="142">
        <v>5957.2</v>
      </c>
      <c r="AN116" s="142">
        <v>5995.2</v>
      </c>
      <c r="AO116" s="142">
        <v>6115.6</v>
      </c>
      <c r="AP116" s="142">
        <v>6133</v>
      </c>
      <c r="AQ116" s="142">
        <v>6069.8</v>
      </c>
      <c r="AR116" s="142">
        <v>4878.3999999999996</v>
      </c>
      <c r="AS116" s="142">
        <v>4910.5</v>
      </c>
      <c r="AT116" s="142">
        <v>4901.3</v>
      </c>
      <c r="AU116" s="142">
        <v>4821.7</v>
      </c>
      <c r="AV116" s="142">
        <v>4968.2</v>
      </c>
      <c r="AW116" s="142">
        <v>4906.1000000000004</v>
      </c>
      <c r="AX116" s="142">
        <v>6949.4</v>
      </c>
      <c r="AY116" s="142">
        <v>7897.6</v>
      </c>
      <c r="AZ116" s="142">
        <v>5713.7</v>
      </c>
      <c r="BA116" s="142">
        <v>6965.7</v>
      </c>
      <c r="BB116" s="142">
        <v>7044.4</v>
      </c>
      <c r="BC116" s="142">
        <v>6762.2</v>
      </c>
      <c r="BD116" s="142">
        <v>6095.6</v>
      </c>
      <c r="BE116" s="142">
        <v>6686.9</v>
      </c>
      <c r="BF116" s="142">
        <v>7241.3</v>
      </c>
      <c r="BG116" s="142">
        <v>7276.4</v>
      </c>
      <c r="BH116" s="142">
        <v>7197.5</v>
      </c>
      <c r="BI116" s="142">
        <v>7392.9</v>
      </c>
      <c r="BJ116" s="142">
        <v>4731.5</v>
      </c>
      <c r="BK116" s="142">
        <v>3763</v>
      </c>
      <c r="BL116" s="142">
        <v>4572</v>
      </c>
      <c r="BM116" s="142">
        <v>4516</v>
      </c>
      <c r="BN116" s="142">
        <v>5038</v>
      </c>
      <c r="BO116" s="142">
        <v>4817</v>
      </c>
      <c r="BP116" s="142">
        <v>5301</v>
      </c>
      <c r="BQ116" s="142">
        <v>5193</v>
      </c>
      <c r="BR116" s="142">
        <v>5412.9</v>
      </c>
      <c r="BS116" s="142">
        <v>5693</v>
      </c>
      <c r="BT116" s="142">
        <v>5858</v>
      </c>
      <c r="BU116" s="142">
        <v>5755</v>
      </c>
      <c r="BV116" s="203">
        <v>4642.8999999999996</v>
      </c>
      <c r="BW116" s="203">
        <v>4473.6000000000004</v>
      </c>
      <c r="BX116" s="203">
        <v>3707.8</v>
      </c>
      <c r="BY116" s="203">
        <v>4806.1000000000004</v>
      </c>
      <c r="BZ116" s="142">
        <v>4269.7</v>
      </c>
      <c r="CA116" s="142">
        <v>566.9</v>
      </c>
      <c r="CB116" s="142">
        <v>4374.1000000000004</v>
      </c>
      <c r="CC116" s="142">
        <v>4847</v>
      </c>
      <c r="CD116" s="206">
        <v>3.6106483333339998</v>
      </c>
      <c r="CE116" s="59">
        <v>3.7355992833333325</v>
      </c>
      <c r="CF116" s="206">
        <v>3.2149126166666697</v>
      </c>
      <c r="CG116" s="206">
        <v>3.7552842666666644</v>
      </c>
      <c r="CH116" s="206">
        <v>0.48499164999999994</v>
      </c>
      <c r="CI116" s="206">
        <v>0.5361670999999999</v>
      </c>
      <c r="CJ116" s="59">
        <v>0.69673566666666731</v>
      </c>
      <c r="CK116" s="59">
        <v>0.54689395000000041</v>
      </c>
      <c r="CL116" s="206">
        <v>28.15502665651189</v>
      </c>
      <c r="CM116" s="206">
        <v>28.142848438690066</v>
      </c>
      <c r="CN116" s="206">
        <v>39.085147753236818</v>
      </c>
      <c r="CO116" s="206">
        <v>36.690367098248316</v>
      </c>
      <c r="CP116" s="206">
        <v>78.336024371667847</v>
      </c>
      <c r="CQ116" s="206">
        <v>78.090449352627488</v>
      </c>
      <c r="CR116" s="206">
        <v>0</v>
      </c>
      <c r="CS116" s="59">
        <v>0</v>
      </c>
      <c r="CT116" s="206">
        <v>0.86639908606245264</v>
      </c>
      <c r="CU116" s="206">
        <v>0.95339223153084507</v>
      </c>
      <c r="CV116" s="206">
        <v>2.0219999999999998</v>
      </c>
      <c r="CW116" s="258">
        <v>2.16</v>
      </c>
      <c r="CX116" s="204">
        <f>IFERROR(AVERAGEIF(RD[[#This Row],[IS1POA1 (KWh/m2)]:[IS7POA2 (KWh/m2)]],"&lt;&gt;0",RD[[#This Row],[IS1POA1 (KWh/m2)]:[IS7POA2 (KWh/m2)]]),"")</f>
        <v>3.6731238083336661</v>
      </c>
      <c r="CY116" s="204">
        <f>IFERROR(AVERAGEIF(RD[[#This Row],[IS1GHI1 (KWh/m2)]:[IS7GHI2 (KWh/m2)]],"&lt;&gt;0",RD[[#This Row],[IS1GHI1 (KWh/m2)]:[IS7GHI2 (KWh/m2)]]),"")</f>
        <v>3.485098441666667</v>
      </c>
      <c r="CZ116" s="204">
        <f>IFERROR(AVERAGEIF(RD[[#This Row],[IS1POA_BS1 (KWh/m2)]:[IS7POA_BS2 (KWh/m2)]],"&lt;&gt;0",RD[[#This Row],[IS1POA_BS1 (KWh/m2)]:[IS7POA_BS2 (KWh/m2)]]),"")</f>
        <v>0.51057937499999995</v>
      </c>
      <c r="DA116" s="204">
        <f>IFERROR(AVERAGEIF(RD[[#This Row],[IS1GHI_BS1 (KWh/m2)]:[IS1GHI_BS1 (KWh/m2)2]],"&lt;&gt;0",RD[[#This Row],[IS1GHI_BS1 (KWh/m2)]:[IS1GHI_BS1 (KWh/m2)2]]),"")</f>
        <v>0.62181480833333391</v>
      </c>
      <c r="DB116" s="204">
        <f>IFERROR(AVERAGEIF(RD[[#This Row],[IS1AT1 (°C)]:[IS7AT2 (°C)]],"&lt;&gt;0",RD[[#This Row],[IS1AT1 (°C)]:[IS7AT2 (°C)]]),"")</f>
        <v>28.14893754760098</v>
      </c>
      <c r="DC116" s="204">
        <f>IFERROR(AVERAGEIF(RD[[#This Row],[IS1MT1 (°C)]:[IS7MT2 (°C)]],"&lt;&gt;0",RD[[#This Row],[IS1MT1 (°C)]:[IS7MT2 (°C)]]),"")</f>
        <v>37.887757425742564</v>
      </c>
      <c r="DD116" s="204">
        <f>IFERROR(AVERAGEIF(RD[[#This Row],[IS1RH1 (%)]:[IS7RH2 (%)]],"&lt;&gt;0",RD[[#This Row],[IS1RH1 (%)]:[IS7RH2 (%)]]),"")</f>
        <v>78.213236862147667</v>
      </c>
      <c r="DE116" s="204" t="str">
        <f>IFERROR(AVERAGEIF(RD[[#This Row],[IS1Rain1 (mm)]:[IS7Rain2 (mm)]],"&lt;&gt;0",RD[[#This Row],[IS1Rain1 (mm)]:[IS7Rain2 (mm)]]),"")</f>
        <v/>
      </c>
      <c r="DF116" s="204">
        <f>IFERROR(AVERAGEIF(RD[[#This Row],[WS_Solar1_Avg (m/s)]:[IS7_WS_Solar1_Avg (m/s)]],"&lt;&gt;0",RD[[#This Row],[WS_Solar1_Avg (m/s)]:[IS7_WS_Solar1_Avg (m/s)]]),"")</f>
        <v>0.90989565879664891</v>
      </c>
      <c r="DG116" s="204">
        <f>IFERROR(AVERAGEIF(RD[[#This Row],[WS_Solar1_Max (m/s)]:[IS7_WS_Solar1_Max (m/s)]],"&lt;&gt;0",RD[[#This Row],[WS_Solar1_Max (m/s)]:[IS7_WS_Solar1_Max (m/s)]]),"")</f>
        <v>2.0910000000000002</v>
      </c>
      <c r="DH116" s="204">
        <f>SUM(RD[[#This Row],[IS1Inv1M1]:[IS4Inv4M2]])</f>
        <v>162389.59999999998</v>
      </c>
      <c r="DI116" s="205">
        <f>SUM(RD[[#This Row],[IS7Inv1M1]]+RD[[#This Row],[IS7Inv2M1]])</f>
        <v>9788.9</v>
      </c>
      <c r="DJ116" s="204">
        <f>SUM(RD[[#This Row],[IS5Inv1M1]:[IS5Inv2M2]])</f>
        <v>23712.100000000002</v>
      </c>
      <c r="DK116" s="204">
        <f>SUM(RD[[#This Row],[IS8Inv1M1]:[IS9Inv2M2]])</f>
        <v>47123.7</v>
      </c>
      <c r="DL116" s="60">
        <f>SUM(RD[[#This Row],[IS6Inv1M1]:[IS6Inv2M2]])</f>
        <v>24313.599999999999</v>
      </c>
      <c r="DM116" s="286">
        <f>SUM(RD[[#This Row],[IS10Inv1M1]:[IS11Inv1M4]],RD[[#This Row],[IS14Inv1M1]:[IS14Inv2M4]])</f>
        <v>104967.80000000002</v>
      </c>
      <c r="DN116" s="286">
        <f>SUM(RD[[#This Row],[IS12Inv1M1]:[IS12Inv1M4]])</f>
        <v>20349</v>
      </c>
      <c r="DO116" s="286">
        <f>SUM(RD[[#This Row],[IS13Inv1M1]:[IS13Inv2M2]])</f>
        <v>22718.9</v>
      </c>
      <c r="DP116" s="204">
        <f>SUM(RD[[#This Row],[O2R15]:[O2R26]])</f>
        <v>415363.6</v>
      </c>
      <c r="DQ116" s="164">
        <v>46219.199999999997</v>
      </c>
      <c r="DR116" s="168">
        <v>232.1</v>
      </c>
      <c r="DS116" s="164">
        <v>40449.9</v>
      </c>
      <c r="DT116" s="164">
        <v>244</v>
      </c>
      <c r="DU116" s="168">
        <v>47926.9</v>
      </c>
      <c r="DV116" s="168">
        <v>458.7</v>
      </c>
      <c r="DW116" s="164">
        <v>11129.8</v>
      </c>
      <c r="DX116" s="168">
        <v>58.9</v>
      </c>
      <c r="DY116" s="168">
        <v>5269.1</v>
      </c>
      <c r="DZ116" s="168">
        <v>27.9</v>
      </c>
      <c r="EA116" s="140">
        <v>111.07</v>
      </c>
      <c r="EB116" s="241">
        <v>155369177</v>
      </c>
      <c r="EC116" s="240">
        <v>1096790.1440000001</v>
      </c>
      <c r="ED116" s="241">
        <v>1316</v>
      </c>
      <c r="EE116" s="241">
        <v>149549</v>
      </c>
      <c r="EF116" s="164">
        <v>215401.1</v>
      </c>
      <c r="EG116" s="164">
        <v>2099.6</v>
      </c>
      <c r="EH116" s="146">
        <f>IF((RD[[#This Row],[33 kV_F3_Ex
Incomer1]]-DQ115)*1000&lt;0,0,(RD[[#This Row],[33 kV_F3_Ex
Incomer1]]-DQ115)*1000)</f>
        <v>82399.999999994179</v>
      </c>
      <c r="EI116" s="146">
        <f>IF((RD[[#This Row],[34 kV_F3_Im
Incomer1]]-DR115)*1000&lt;0,0,(RD[[#This Row],[34 kV_F3_Im
Incomer1]]-DR115)*1000)</f>
        <v>199.99999999998863</v>
      </c>
      <c r="EJ116" s="146">
        <f>IF((RD[[#This Row],[33 kV_F4_Ex
Incomer2]]-DS115)*1000&lt;0,0,(RD[[#This Row],[33 kV_F4_Ex
Incomer2]]-DS115)*1000)</f>
        <v>76200.000000004366</v>
      </c>
      <c r="EK116" s="146">
        <f>IF((RD[[#This Row],[34 kV_F4_Im
Incomer2]]-DT115)*1000&lt;0,0,(RD[[#This Row],[34 kV_F4_Im
Incomer2]]-DT115)*1000)</f>
        <v>300.00000000001137</v>
      </c>
      <c r="EL116" s="146">
        <f>IF((RD[[#This Row],[33 kV_F5_Ex
Incomer3]]-DU115)*1000&lt;0,0,(RD[[#This Row],[33 kV_F5_Ex
Incomer3]]-DU115)*1000)</f>
        <v>104300.00000000291</v>
      </c>
      <c r="EM116" s="146">
        <f>IF((RD[[#This Row],[34 kV_F5_Im
Incomer3]]-DV115)*1000&lt;0,0,(RD[[#This Row],[34 kV_F5_Im
Incomer3]]-DV115)*1000)</f>
        <v>599.99999999996589</v>
      </c>
      <c r="EN116" s="146">
        <f>IF((RD[[#This Row],[33 kV_F6_Ex
Incomer4]]-DW115)*1000&lt;0,0,(RD[[#This Row],[33 kV_F6_Ex
Incomer4]]-DW115)*1000)</f>
        <v>31599.999999998545</v>
      </c>
      <c r="EO116" s="146">
        <f t="shared" si="166"/>
        <v>300.00000000001137</v>
      </c>
      <c r="EP116" s="146">
        <f>IF((RD[[#This Row],[33 kV_F7_Ex
Incomer5]]-DY115)*1000&lt;0,0,(RD[[#This Row],[33 kV_F7_Ex
Incomer5]]-DY115)*1000)</f>
        <v>92500</v>
      </c>
      <c r="EQ116" s="146">
        <f>IF((RD[[#This Row],[33 kV_F7_Im
Incomer5]]-DZ115)*1000&lt;0,0,(RD[[#This Row],[33 kV_F7_Im
Incomer5]]-DZ115)*1000)</f>
        <v>599.99999999999784</v>
      </c>
      <c r="ER116" s="146">
        <f>IF((RD[[#This Row],[33 kV_Aux Trafo]]-EA115)*1000&lt;0,0,(RD[[#This Row],[33 kV_Aux Trafo]]-EA115)*1000)</f>
        <v>269.99999999999602</v>
      </c>
      <c r="ES116" s="158">
        <f>IF((RD[[#This Row],[33kV_OG1_Ex_]]-EB115)*1&lt;0,0,(RD[[#This Row],[33kV_OG1_Ex_]]-EB115)*1)</f>
        <v>412074</v>
      </c>
      <c r="ET116" s="146">
        <f>IF((RD[[#This Row],[33kV_OG1_Im]]-EC115)*1&lt;0,0,(RD[[#This Row],[33kV_OG1_Im]]-EC115)*1)</f>
        <v>2453.3760000001639</v>
      </c>
      <c r="EU116" s="146">
        <f>IF((RD[[#This Row],[132kV_TX1_EX]]-ED115)*720&lt;=0,"",(RD[[#This Row],[132kV_TX1_EX]]-ED115)*720)</f>
        <v>2160</v>
      </c>
      <c r="EV116" s="146">
        <f>IF((RD[[#This Row],[132 kV_Tx1_Im]]-EE115)*720&lt;=0,0,(RD[[#This Row],[132 kV_Tx1_Im]]-EE115)*720)</f>
        <v>295200</v>
      </c>
      <c r="EW116" s="146">
        <f>IF((RD[[#This Row],[132kV_L1_Ex]]-EF115)*720&lt;=0,0,(RD[[#This Row],[132kV_L1_Ex]]-EF115)*720)</f>
        <v>410832.00000000419</v>
      </c>
      <c r="EX116" s="146">
        <f>IF((RD[[#This Row],[132kV_L1_Im]]-EG115)*720&lt;=0,0,(RD[[#This Row],[132kV_L1_Im]]-EG115)*720)</f>
        <v>2951.9999999999345</v>
      </c>
      <c r="EY116" s="242">
        <f>IFERROR(RD[[#This Row],[33kV_OG1_Ex (MWh)]]+RD[[#This Row],[33kV_OG1_Im (MWh)]],"")</f>
        <v>414527.37600000016</v>
      </c>
      <c r="EZ116" s="148">
        <f>RD[[#This Row],[33kV_OG1_Ex (MWh)]]-RD[[#This Row],[33kV_OG1_Im (MWh)]]</f>
        <v>409620.62399999984</v>
      </c>
      <c r="FA116" s="148">
        <f>IFERROR(RD[[#This Row],[132kV_L1_Ex(MWh)]]-RD[[#This Row],[132kV_L1_Im(MWh)]],"")</f>
        <v>407880.00000000425</v>
      </c>
      <c r="FB116" s="297">
        <f>IFERROR(RD[[#This Row],[33kV_Ex(MWh)]]/RD[[#This Row],[Inv Total Gneration (MWh)]]-1,"")</f>
        <v>-2.0132337065641437E-3</v>
      </c>
      <c r="FC116" s="243">
        <f>IFERROR((RD[[#This Row],[Sunset Time (POA&lt;20 W/m2)]]-RD[[#This Row],[Sunrise Time (POA&gt;20 W/m2)]])*24,0)</f>
        <v>12.466666666666665</v>
      </c>
      <c r="FD116" s="244">
        <v>128.08000000000001</v>
      </c>
      <c r="FE116" s="303" t="s">
        <v>297</v>
      </c>
      <c r="FG116" s="144" t="str">
        <f>IFERROR(RD[[#This Row],[E_AC (WPR)]]/RD[[#This Row],[E_DC (WPR)]],"")</f>
        <v/>
      </c>
    </row>
    <row r="117" spans="1:163">
      <c r="A117" s="133">
        <f t="shared" si="167"/>
        <v>45857</v>
      </c>
      <c r="B117" s="138">
        <f>YEAR(RD[[#This Row],[Date]])+IF(MONTH(RD[[#This Row],[Date]])&gt;=4,1,0)</f>
        <v>2026</v>
      </c>
      <c r="C117" s="138">
        <f>YEAR(RD[[#This Row],[Date]])</f>
        <v>2025</v>
      </c>
      <c r="D117" s="139">
        <f t="shared" si="169"/>
        <v>45839</v>
      </c>
      <c r="E117" s="138">
        <f>DAY(EOMONTH(RD[[#This Row],[Date]],0))</f>
        <v>31</v>
      </c>
      <c r="F117" s="152">
        <v>0.25624999999999998</v>
      </c>
      <c r="G117" s="162">
        <v>0.78333333333333333</v>
      </c>
      <c r="H117" s="124">
        <v>7669.9</v>
      </c>
      <c r="I117" s="268">
        <v>7611.6</v>
      </c>
      <c r="J117" s="124">
        <v>7223.4</v>
      </c>
      <c r="K117" s="124">
        <v>7305.5</v>
      </c>
      <c r="L117" s="124">
        <v>7508.9</v>
      </c>
      <c r="M117" s="124">
        <v>7701.4</v>
      </c>
      <c r="N117" s="124">
        <v>7482.5</v>
      </c>
      <c r="O117" s="124">
        <v>8151.1</v>
      </c>
      <c r="P117" s="124">
        <v>7415.4</v>
      </c>
      <c r="Q117" s="124">
        <v>7429.2</v>
      </c>
      <c r="R117" s="124">
        <v>7606.8</v>
      </c>
      <c r="S117" s="266">
        <v>7564.3</v>
      </c>
      <c r="T117" s="124">
        <v>7635.2</v>
      </c>
      <c r="U117" s="124">
        <v>7599.2</v>
      </c>
      <c r="V117" s="124">
        <v>7839.7</v>
      </c>
      <c r="W117" s="124">
        <v>7546.4</v>
      </c>
      <c r="X117" s="294">
        <v>10491.3</v>
      </c>
      <c r="Y117" s="203">
        <v>11632.5</v>
      </c>
      <c r="Z117" s="203">
        <v>10224.200000000001</v>
      </c>
      <c r="AA117" s="203">
        <v>10624</v>
      </c>
      <c r="AB117" s="294">
        <v>11464.3</v>
      </c>
      <c r="AC117" s="203">
        <v>7166.2</v>
      </c>
      <c r="AD117" s="203">
        <v>10572.1</v>
      </c>
      <c r="AE117" s="203">
        <v>10657.3</v>
      </c>
      <c r="AF117" s="294">
        <v>10603.4</v>
      </c>
      <c r="AG117" s="203">
        <v>10625</v>
      </c>
      <c r="AH117" s="203">
        <v>10504.7</v>
      </c>
      <c r="AI117" s="294">
        <v>10604.1</v>
      </c>
      <c r="AJ117" s="142">
        <v>9004.5</v>
      </c>
      <c r="AK117" s="142">
        <v>9312.1</v>
      </c>
      <c r="AL117" s="142">
        <v>9304.9</v>
      </c>
      <c r="AM117" s="142">
        <v>9443.7999999999993</v>
      </c>
      <c r="AN117" s="142">
        <v>9227.7000000000007</v>
      </c>
      <c r="AO117" s="142">
        <v>9388.9</v>
      </c>
      <c r="AP117" s="142">
        <v>9347.7000000000007</v>
      </c>
      <c r="AQ117" s="142">
        <v>9316.9</v>
      </c>
      <c r="AR117" s="142">
        <v>7464.6</v>
      </c>
      <c r="AS117" s="142">
        <v>7555.5</v>
      </c>
      <c r="AT117" s="142">
        <v>7594.3</v>
      </c>
      <c r="AU117" s="142">
        <v>7549.4</v>
      </c>
      <c r="AV117" s="142">
        <v>7730.8</v>
      </c>
      <c r="AW117" s="142">
        <v>7613.8</v>
      </c>
      <c r="AX117" s="142">
        <v>10500.2</v>
      </c>
      <c r="AY117" s="142">
        <v>11736.2</v>
      </c>
      <c r="AZ117" s="142">
        <v>8822.7000000000007</v>
      </c>
      <c r="BA117" s="142">
        <v>10618.5</v>
      </c>
      <c r="BB117" s="142">
        <v>9367.2999999999993</v>
      </c>
      <c r="BC117" s="142">
        <v>9015.5</v>
      </c>
      <c r="BD117" s="142">
        <v>9282.2999999999993</v>
      </c>
      <c r="BE117" s="142">
        <v>10107.200000000001</v>
      </c>
      <c r="BF117" s="142">
        <v>11223.2</v>
      </c>
      <c r="BG117" s="142">
        <v>11307.5</v>
      </c>
      <c r="BH117" s="142">
        <v>11149.4</v>
      </c>
      <c r="BI117" s="142">
        <v>11446.2</v>
      </c>
      <c r="BJ117" s="142">
        <v>7579</v>
      </c>
      <c r="BK117" s="142">
        <v>6139</v>
      </c>
      <c r="BL117" s="142">
        <v>7362</v>
      </c>
      <c r="BM117" s="142">
        <v>7322</v>
      </c>
      <c r="BN117" s="142">
        <v>7962.7</v>
      </c>
      <c r="BO117" s="142">
        <v>7670.2</v>
      </c>
      <c r="BP117" s="142">
        <v>8286.9</v>
      </c>
      <c r="BQ117" s="142">
        <v>8191.5</v>
      </c>
      <c r="BR117" s="142">
        <v>8773</v>
      </c>
      <c r="BS117" s="142">
        <v>9073</v>
      </c>
      <c r="BT117" s="142">
        <v>9117</v>
      </c>
      <c r="BU117" s="142">
        <v>9384</v>
      </c>
      <c r="BV117" s="203">
        <v>7830</v>
      </c>
      <c r="BW117" s="203">
        <v>7588</v>
      </c>
      <c r="BX117" s="203">
        <v>6742</v>
      </c>
      <c r="BY117" s="203">
        <v>8094</v>
      </c>
      <c r="BZ117" s="142">
        <v>7343</v>
      </c>
      <c r="CA117" s="142">
        <v>1069</v>
      </c>
      <c r="CB117" s="142">
        <v>7424</v>
      </c>
      <c r="CC117" s="142">
        <v>7865</v>
      </c>
      <c r="CD117" s="206">
        <v>6.6411397166666699</v>
      </c>
      <c r="CE117" s="59">
        <v>6.1125858500000003</v>
      </c>
      <c r="CF117" s="206">
        <v>5.3788450166666628</v>
      </c>
      <c r="CG117" s="206">
        <v>6.1827109333333317</v>
      </c>
      <c r="CH117" s="206">
        <v>0.81513838333333333</v>
      </c>
      <c r="CI117" s="206">
        <v>0.87781914999999933</v>
      </c>
      <c r="CJ117" s="59">
        <v>1.1527092499999996</v>
      </c>
      <c r="CK117" s="59">
        <v>0.91850409999999927</v>
      </c>
      <c r="CL117" s="206">
        <v>28.639416604338066</v>
      </c>
      <c r="CM117" s="206">
        <v>28.648788332086763</v>
      </c>
      <c r="CN117" s="206">
        <v>42.407188481675426</v>
      </c>
      <c r="CO117" s="206">
        <v>40.086381451009728</v>
      </c>
      <c r="CP117" s="206">
        <v>71.377524308152488</v>
      </c>
      <c r="CQ117" s="206">
        <v>71.988429319371775</v>
      </c>
      <c r="CR117" s="206">
        <v>0</v>
      </c>
      <c r="CS117" s="59">
        <v>0</v>
      </c>
      <c r="CT117" s="206">
        <v>0.83522737471952191</v>
      </c>
      <c r="CU117" s="206">
        <v>0.932317875841433</v>
      </c>
      <c r="CV117" s="206">
        <v>2.2410000000000001</v>
      </c>
      <c r="CW117" s="258">
        <v>2.4329999999999998</v>
      </c>
      <c r="CX117" s="204">
        <f>IFERROR(AVERAGEIF(RD[[#This Row],[IS1POA1 (KWh/m2)]:[IS7POA2 (KWh/m2)]],"&lt;&gt;0",RD[[#This Row],[IS1POA1 (KWh/m2)]:[IS7POA2 (KWh/m2)]]),"")</f>
        <v>6.3768627833333351</v>
      </c>
      <c r="CY117" s="204">
        <f>IFERROR(AVERAGEIF(RD[[#This Row],[IS1GHI1 (KWh/m2)]:[IS7GHI2 (KWh/m2)]],"&lt;&gt;0",RD[[#This Row],[IS1GHI1 (KWh/m2)]:[IS7GHI2 (KWh/m2)]]),"")</f>
        <v>5.7807779749999977</v>
      </c>
      <c r="CZ117" s="204">
        <f>IFERROR(AVERAGEIF(RD[[#This Row],[IS1POA_BS1 (KWh/m2)]:[IS7POA_BS2 (KWh/m2)]],"&lt;&gt;0",RD[[#This Row],[IS1POA_BS1 (KWh/m2)]:[IS7POA_BS2 (KWh/m2)]]),"")</f>
        <v>0.84647876666666633</v>
      </c>
      <c r="DA117" s="204">
        <f>IFERROR(AVERAGEIF(RD[[#This Row],[IS1GHI_BS1 (KWh/m2)]:[IS1GHI_BS1 (KWh/m2)2]],"&lt;&gt;0",RD[[#This Row],[IS1GHI_BS1 (KWh/m2)]:[IS1GHI_BS1 (KWh/m2)2]]),"")</f>
        <v>1.0356066749999995</v>
      </c>
      <c r="DB117" s="204">
        <f>IFERROR(AVERAGEIF(RD[[#This Row],[IS1AT1 (°C)]:[IS7AT2 (°C)]],"&lt;&gt;0",RD[[#This Row],[IS1AT1 (°C)]:[IS7AT2 (°C)]]),"")</f>
        <v>28.644102468212417</v>
      </c>
      <c r="DC117" s="204">
        <f>IFERROR(AVERAGEIF(RD[[#This Row],[IS1MT1 (°C)]:[IS7MT2 (°C)]],"&lt;&gt;0",RD[[#This Row],[IS1MT1 (°C)]:[IS7MT2 (°C)]]),"")</f>
        <v>41.246784966342574</v>
      </c>
      <c r="DD117" s="204">
        <f>IFERROR(AVERAGEIF(RD[[#This Row],[IS1RH1 (%)]:[IS7RH2 (%)]],"&lt;&gt;0",RD[[#This Row],[IS1RH1 (%)]:[IS7RH2 (%)]]),"")</f>
        <v>71.682976813762139</v>
      </c>
      <c r="DE117" s="204" t="str">
        <f>IFERROR(AVERAGEIF(RD[[#This Row],[IS1Rain1 (mm)]:[IS7Rain2 (mm)]],"&lt;&gt;0",RD[[#This Row],[IS1Rain1 (mm)]:[IS7Rain2 (mm)]]),"")</f>
        <v/>
      </c>
      <c r="DF117" s="204">
        <f>IFERROR(AVERAGEIF(RD[[#This Row],[WS_Solar1_Avg (m/s)]:[IS7_WS_Solar1_Avg (m/s)]],"&lt;&gt;0",RD[[#This Row],[WS_Solar1_Avg (m/s)]:[IS7_WS_Solar1_Avg (m/s)]]),"")</f>
        <v>0.8837726252804774</v>
      </c>
      <c r="DG117" s="204">
        <f>IFERROR(AVERAGEIF(RD[[#This Row],[WS_Solar1_Max (m/s)]:[IS7_WS_Solar1_Max (m/s)]],"&lt;&gt;0",RD[[#This Row],[WS_Solar1_Max (m/s)]:[IS7_WS_Solar1_Max (m/s)]]),"")</f>
        <v>2.3369999999999997</v>
      </c>
      <c r="DH117" s="204">
        <f>SUM(RD[[#This Row],[IS1Inv1M1]:[IS4Inv4M2]])</f>
        <v>246459.6</v>
      </c>
      <c r="DI117" s="205">
        <f>SUM(RD[[#This Row],[IS7Inv1M1]]+RD[[#This Row],[IS7Inv2M1]])</f>
        <v>15020.1</v>
      </c>
      <c r="DJ117" s="204">
        <f>SUM(RD[[#This Row],[IS5Inv1M1]:[IS5Inv2M2]])</f>
        <v>37065.300000000003</v>
      </c>
      <c r="DK117" s="204">
        <f>SUM(RD[[#This Row],[IS8Inv1M1]:[IS9Inv2M2]])</f>
        <v>72165.899999999994</v>
      </c>
      <c r="DL117" s="60">
        <f>SUM(RD[[#This Row],[IS6Inv1M1]:[IS6Inv2M2]])</f>
        <v>37281.199999999997</v>
      </c>
      <c r="DM117" s="286">
        <f>SUM(RD[[#This Row],[IS10Inv1M1]:[IS11Inv1M4]],RD[[#This Row],[IS14Inv1M1]:[IS14Inv2M4]])</f>
        <v>165255.59999999998</v>
      </c>
      <c r="DN117" s="286">
        <f>SUM(RD[[#This Row],[IS12Inv1M1]:[IS12Inv1M4]])</f>
        <v>32111.3</v>
      </c>
      <c r="DO117" s="286">
        <f>SUM(RD[[#This Row],[IS13Inv1M1]:[IS13Inv2M2]])</f>
        <v>36347</v>
      </c>
      <c r="DP117" s="204">
        <f>SUM(RD[[#This Row],[O2R15]:[O2R26]])</f>
        <v>641706</v>
      </c>
      <c r="DQ117" s="164">
        <v>46343.6</v>
      </c>
      <c r="DR117" s="168">
        <v>232.5</v>
      </c>
      <c r="DS117" s="164">
        <v>40565.1</v>
      </c>
      <c r="DT117" s="164">
        <v>244.4</v>
      </c>
      <c r="DU117" s="168">
        <v>48086.5</v>
      </c>
      <c r="DV117" s="168">
        <v>459.4</v>
      </c>
      <c r="DW117" s="164">
        <v>11182.6</v>
      </c>
      <c r="DX117" s="168">
        <v>59.2</v>
      </c>
      <c r="DY117" s="168">
        <v>5311</v>
      </c>
      <c r="DZ117" s="168">
        <v>28.6</v>
      </c>
      <c r="EA117" s="140">
        <v>111.4</v>
      </c>
      <c r="EB117" s="241">
        <v>156001271</v>
      </c>
      <c r="EC117" s="240">
        <v>1099573.504</v>
      </c>
      <c r="ED117" s="241">
        <v>1319</v>
      </c>
      <c r="EE117" s="241">
        <v>150179</v>
      </c>
      <c r="EF117" s="164">
        <v>216276.3</v>
      </c>
      <c r="EG117" s="164">
        <v>2104.1999999999998</v>
      </c>
      <c r="EH117" s="146">
        <f>IF((RD[[#This Row],[33 kV_F3_Ex
Incomer1]]-DQ116)*1000&lt;0,0,(RD[[#This Row],[33 kV_F3_Ex
Incomer1]]-DQ116)*1000)</f>
        <v>124400.00000000146</v>
      </c>
      <c r="EI117" s="146">
        <f>IF((RD[[#This Row],[34 kV_F3_Im
Incomer1]]-DR116)*1000&lt;0,0,(RD[[#This Row],[34 kV_F3_Im
Incomer1]]-DR116)*1000)</f>
        <v>400.00000000000568</v>
      </c>
      <c r="EJ117" s="146">
        <f>IF((RD[[#This Row],[33 kV_F4_Ex
Incomer2]]-DS116)*1000&lt;0,0,(RD[[#This Row],[33 kV_F4_Ex
Incomer2]]-DS116)*1000)</f>
        <v>115199.99999999709</v>
      </c>
      <c r="EK117" s="146">
        <f>IF((RD[[#This Row],[34 kV_F4_Im
Incomer2]]-DT116)*1000&lt;0,0,(RD[[#This Row],[34 kV_F4_Im
Incomer2]]-DT116)*1000)</f>
        <v>400.00000000000568</v>
      </c>
      <c r="EL117" s="146">
        <f>IF((RD[[#This Row],[33 kV_F5_Ex
Incomer3]]-DU116)*1000&lt;0,0,(RD[[#This Row],[33 kV_F5_Ex
Incomer3]]-DU116)*1000)</f>
        <v>159599.99999999854</v>
      </c>
      <c r="EM117" s="146">
        <f>IF((RD[[#This Row],[34 kV_F5_Im
Incomer3]]-DV116)*1000&lt;0,0,(RD[[#This Row],[34 kV_F5_Im
Incomer3]]-DV116)*1000)</f>
        <v>699.99999999998863</v>
      </c>
      <c r="EN117" s="146">
        <f>IF((RD[[#This Row],[33 kV_F6_Ex
Incomer4]]-DW116)*1000&lt;0,0,(RD[[#This Row],[33 kV_F6_Ex
Incomer4]]-DW116)*1000)</f>
        <v>52800.000000001091</v>
      </c>
      <c r="EO117" s="146">
        <f t="shared" si="166"/>
        <v>300.00000000001137</v>
      </c>
      <c r="EP117" s="146">
        <f>IF((RD[[#This Row],[33 kV_F7_Ex
Incomer5]]-DY116)*1000&lt;0,0,(RD[[#This Row],[33 kV_F7_Ex
Incomer5]]-DY116)*1000)</f>
        <v>41899.999999999636</v>
      </c>
      <c r="EQ117" s="146">
        <f>IF((RD[[#This Row],[33 kV_F7_Im
Incomer5]]-DZ116)*1000&lt;0,0,(RD[[#This Row],[33 kV_F7_Im
Incomer5]]-DZ116)*1000)</f>
        <v>700.00000000000284</v>
      </c>
      <c r="ER117" s="146">
        <f>IF((RD[[#This Row],[33 kV_Aux Trafo]]-EA116)*1000&lt;0,0,(RD[[#This Row],[33 kV_Aux Trafo]]-EA116)*1000)</f>
        <v>330.00000000001251</v>
      </c>
      <c r="ES117" s="158">
        <f>IF((RD[[#This Row],[33kV_OG1_Ex_]]-EB116)*1&lt;0,0,(RD[[#This Row],[33kV_OG1_Ex_]]-EB116)*1)</f>
        <v>632094</v>
      </c>
      <c r="ET117" s="146">
        <f>IF((RD[[#This Row],[33kV_OG1_Im]]-EC116)*1&lt;0,0,(RD[[#This Row],[33kV_OG1_Im]]-EC116)*1)</f>
        <v>2783.3599999998696</v>
      </c>
      <c r="EU117" s="146">
        <f>IF((RD[[#This Row],[132kV_TX1_EX]]-ED116)*720&lt;=0,"",(RD[[#This Row],[132kV_TX1_EX]]-ED116)*720)</f>
        <v>2160</v>
      </c>
      <c r="EV117" s="146">
        <f>IF((RD[[#This Row],[132 kV_Tx1_Im]]-EE116)*720&lt;=0,0,(RD[[#This Row],[132 kV_Tx1_Im]]-EE116)*720)</f>
        <v>453600</v>
      </c>
      <c r="EW117" s="146">
        <f>IF((RD[[#This Row],[132kV_L1_Ex]]-EF116)*720&lt;=0,0,(RD[[#This Row],[132kV_L1_Ex]]-EF116)*720)</f>
        <v>630143.99999998743</v>
      </c>
      <c r="EX117" s="146">
        <f>IF((RD[[#This Row],[132kV_L1_Im]]-EG116)*720&lt;=0,0,(RD[[#This Row],[132kV_L1_Im]]-EG116)*720)</f>
        <v>3311.9999999999345</v>
      </c>
      <c r="EY117" s="242">
        <f>IFERROR(RD[[#This Row],[33kV_OG1_Ex (MWh)]]+RD[[#This Row],[33kV_OG1_Im (MWh)]],"")</f>
        <v>634877.35999999987</v>
      </c>
      <c r="EZ117" s="148">
        <f>RD[[#This Row],[33kV_OG1_Ex (MWh)]]-RD[[#This Row],[33kV_OG1_Im (MWh)]]</f>
        <v>629310.64000000013</v>
      </c>
      <c r="FA117" s="148">
        <f>IFERROR(RD[[#This Row],[132kV_L1_Ex(MWh)]]-RD[[#This Row],[132kV_L1_Im(MWh)]],"")</f>
        <v>626831.99999998754</v>
      </c>
      <c r="FB117" s="297">
        <f>IFERROR(RD[[#This Row],[33kV_Ex(MWh)]]/RD[[#This Row],[Inv Total Gneration (MWh)]]-1,"")</f>
        <v>-1.0641384060613657E-2</v>
      </c>
      <c r="FC117" s="243">
        <f>IFERROR((RD[[#This Row],[Sunset Time (POA&lt;20 W/m2)]]-RD[[#This Row],[Sunrise Time (POA&gt;20 W/m2)]])*24,0)</f>
        <v>12.65</v>
      </c>
      <c r="FD117" s="244">
        <v>128.08000000000001</v>
      </c>
      <c r="FE117" s="303" t="s">
        <v>297</v>
      </c>
      <c r="FG117" s="144" t="str">
        <f>IFERROR(RD[[#This Row],[E_AC (WPR)]]/RD[[#This Row],[E_DC (WPR)]],"")</f>
        <v/>
      </c>
    </row>
    <row r="118" spans="1:163">
      <c r="A118" s="133">
        <f t="shared" si="167"/>
        <v>45858</v>
      </c>
      <c r="B118" s="138">
        <f>YEAR(RD[[#This Row],[Date]])+IF(MONTH(RD[[#This Row],[Date]])&gt;=4,1,0)</f>
        <v>2026</v>
      </c>
      <c r="C118" s="138">
        <f>YEAR(RD[[#This Row],[Date]])</f>
        <v>2025</v>
      </c>
      <c r="D118" s="139">
        <f t="shared" si="169"/>
        <v>45839</v>
      </c>
      <c r="E118" s="138">
        <f>DAY(EOMONTH(RD[[#This Row],[Date]],0))</f>
        <v>31</v>
      </c>
      <c r="F118" s="152">
        <v>0.26111111111111113</v>
      </c>
      <c r="G118" s="162">
        <v>0.78125</v>
      </c>
      <c r="H118" s="124">
        <v>8463.2000000000007</v>
      </c>
      <c r="I118" s="268">
        <v>8425.4</v>
      </c>
      <c r="J118" s="124">
        <v>7902.9</v>
      </c>
      <c r="K118" s="124">
        <v>7882.2</v>
      </c>
      <c r="L118" s="124">
        <v>8047.4</v>
      </c>
      <c r="M118" s="124">
        <v>8316.6</v>
      </c>
      <c r="N118" s="124">
        <v>8146.7</v>
      </c>
      <c r="O118" s="124">
        <v>8913.7000000000007</v>
      </c>
      <c r="P118" s="124">
        <v>8164.9</v>
      </c>
      <c r="Q118" s="124">
        <v>8127.2</v>
      </c>
      <c r="R118" s="124">
        <v>8356</v>
      </c>
      <c r="S118" s="266">
        <v>8353.1</v>
      </c>
      <c r="T118" s="124">
        <v>8411.7999999999993</v>
      </c>
      <c r="U118" s="124">
        <v>8414.7000000000007</v>
      </c>
      <c r="V118" s="124">
        <v>8592</v>
      </c>
      <c r="W118" s="124">
        <v>8329</v>
      </c>
      <c r="X118" s="294">
        <v>11495.5</v>
      </c>
      <c r="Y118" s="203">
        <v>12578.8</v>
      </c>
      <c r="Z118" s="203">
        <v>11248.3</v>
      </c>
      <c r="AA118" s="203">
        <v>11692.8</v>
      </c>
      <c r="AB118" s="294">
        <v>12596.8</v>
      </c>
      <c r="AC118" s="203">
        <v>7802.3</v>
      </c>
      <c r="AD118" s="203">
        <v>11643.3</v>
      </c>
      <c r="AE118" s="203">
        <v>11738.4</v>
      </c>
      <c r="AF118" s="294">
        <v>11680.4</v>
      </c>
      <c r="AG118" s="203">
        <v>11677</v>
      </c>
      <c r="AH118" s="203">
        <v>11579.9</v>
      </c>
      <c r="AI118" s="294">
        <v>11667</v>
      </c>
      <c r="AJ118" s="142">
        <v>9334.9</v>
      </c>
      <c r="AK118" s="142">
        <v>9572.5</v>
      </c>
      <c r="AL118" s="142">
        <v>9578.6</v>
      </c>
      <c r="AM118" s="142">
        <v>9626.4</v>
      </c>
      <c r="AN118" s="142">
        <v>9651.9</v>
      </c>
      <c r="AO118" s="142">
        <v>9810.5</v>
      </c>
      <c r="AP118" s="142">
        <v>9845.9</v>
      </c>
      <c r="AQ118" s="142">
        <v>9726.1</v>
      </c>
      <c r="AR118" s="142">
        <v>7883.3</v>
      </c>
      <c r="AS118" s="142">
        <v>7959.7</v>
      </c>
      <c r="AT118" s="142">
        <v>7952</v>
      </c>
      <c r="AU118" s="142">
        <v>7840.2</v>
      </c>
      <c r="AV118" s="142">
        <v>8061.4</v>
      </c>
      <c r="AW118" s="142">
        <v>7961.3</v>
      </c>
      <c r="AX118" s="142">
        <v>11183.7</v>
      </c>
      <c r="AY118" s="142">
        <v>12600.8</v>
      </c>
      <c r="AZ118" s="142">
        <v>9353.1</v>
      </c>
      <c r="BA118" s="142">
        <v>11349.6</v>
      </c>
      <c r="BB118" s="142">
        <v>9783</v>
      </c>
      <c r="BC118" s="142">
        <v>9520</v>
      </c>
      <c r="BD118" s="142">
        <v>9800</v>
      </c>
      <c r="BE118" s="142">
        <v>10518.4</v>
      </c>
      <c r="BF118" s="142">
        <v>11742</v>
      </c>
      <c r="BG118" s="142">
        <v>11914</v>
      </c>
      <c r="BH118" s="142">
        <v>11640</v>
      </c>
      <c r="BI118" s="142">
        <v>11986</v>
      </c>
      <c r="BJ118" s="142">
        <v>7993</v>
      </c>
      <c r="BK118" s="142">
        <v>7412</v>
      </c>
      <c r="BL118" s="142">
        <v>7772</v>
      </c>
      <c r="BM118" s="142">
        <v>7697</v>
      </c>
      <c r="BN118" s="142">
        <v>8473</v>
      </c>
      <c r="BO118" s="142">
        <v>8164</v>
      </c>
      <c r="BP118" s="142">
        <v>8843</v>
      </c>
      <c r="BQ118" s="142">
        <v>8702</v>
      </c>
      <c r="BR118" s="142">
        <v>9071</v>
      </c>
      <c r="BS118" s="142">
        <v>9405</v>
      </c>
      <c r="BT118" s="142">
        <v>9223</v>
      </c>
      <c r="BU118" s="142">
        <v>9379</v>
      </c>
      <c r="BV118" s="203">
        <v>7061</v>
      </c>
      <c r="BW118" s="203">
        <v>7490</v>
      </c>
      <c r="BX118" s="203">
        <v>6964</v>
      </c>
      <c r="BY118" s="203">
        <v>8425</v>
      </c>
      <c r="BZ118" s="142">
        <v>7501</v>
      </c>
      <c r="CA118" s="142">
        <v>1103</v>
      </c>
      <c r="CB118" s="142">
        <v>7623</v>
      </c>
      <c r="CC118" s="142">
        <v>8216</v>
      </c>
      <c r="CD118" s="206">
        <v>5.9062379999998997</v>
      </c>
      <c r="CE118" s="59">
        <v>6.3649530500000031</v>
      </c>
      <c r="CF118" s="206">
        <v>5.8054832833333361</v>
      </c>
      <c r="CG118" s="206">
        <v>6.3849603000000021</v>
      </c>
      <c r="CH118" s="206">
        <v>0.8568418499999999</v>
      </c>
      <c r="CI118" s="206">
        <v>0.90920971666666617</v>
      </c>
      <c r="CJ118" s="59">
        <v>1.2331949833333327</v>
      </c>
      <c r="CK118" s="59">
        <v>0.95186310000000007</v>
      </c>
      <c r="CL118" s="206">
        <v>28.80932829554995</v>
      </c>
      <c r="CM118" s="206">
        <v>28.750428211586886</v>
      </c>
      <c r="CN118" s="206">
        <v>44.135290512174656</v>
      </c>
      <c r="CO118" s="206">
        <v>41.626532325776694</v>
      </c>
      <c r="CP118" s="206">
        <v>70.905667506297348</v>
      </c>
      <c r="CQ118" s="206">
        <v>71.623669185558398</v>
      </c>
      <c r="CR118" s="206">
        <v>0</v>
      </c>
      <c r="CS118" s="59">
        <v>0</v>
      </c>
      <c r="CT118" s="206">
        <v>0.87142569269521486</v>
      </c>
      <c r="CU118" s="206">
        <v>0.89578589420655019</v>
      </c>
      <c r="CV118" s="206">
        <v>2.4420000000000002</v>
      </c>
      <c r="CW118" s="258">
        <v>2.1120000000000001</v>
      </c>
      <c r="CX118" s="204">
        <f>IFERROR(AVERAGEIF(RD[[#This Row],[IS1POA1 (KWh/m2)]:[IS7POA2 (KWh/m2)]],"&lt;&gt;0",RD[[#This Row],[IS1POA1 (KWh/m2)]:[IS7POA2 (KWh/m2)]]),"")</f>
        <v>6.1355955249999514</v>
      </c>
      <c r="CY118" s="204">
        <f>IFERROR(AVERAGEIF(RD[[#This Row],[IS1GHI1 (KWh/m2)]:[IS7GHI2 (KWh/m2)]],"&lt;&gt;0",RD[[#This Row],[IS1GHI1 (KWh/m2)]:[IS7GHI2 (KWh/m2)]]),"")</f>
        <v>6.0952217916666687</v>
      </c>
      <c r="CZ118" s="204">
        <f>IFERROR(AVERAGEIF(RD[[#This Row],[IS1POA_BS1 (KWh/m2)]:[IS7POA_BS2 (KWh/m2)]],"&lt;&gt;0",RD[[#This Row],[IS1POA_BS1 (KWh/m2)]:[IS7POA_BS2 (KWh/m2)]]),"")</f>
        <v>0.88302578333333304</v>
      </c>
      <c r="DA118" s="204">
        <f>IFERROR(AVERAGEIF(RD[[#This Row],[IS1GHI_BS1 (KWh/m2)]:[IS1GHI_BS1 (KWh/m2)2]],"&lt;&gt;0",RD[[#This Row],[IS1GHI_BS1 (KWh/m2)]:[IS1GHI_BS1 (KWh/m2)2]]),"")</f>
        <v>1.0925290416666664</v>
      </c>
      <c r="DB118" s="204">
        <f>IFERROR(AVERAGEIF(RD[[#This Row],[IS1AT1 (°C)]:[IS7AT2 (°C)]],"&lt;&gt;0",RD[[#This Row],[IS1AT1 (°C)]:[IS7AT2 (°C)]]),"")</f>
        <v>28.77987825356842</v>
      </c>
      <c r="DC118" s="204">
        <f>IFERROR(AVERAGEIF(RD[[#This Row],[IS1MT1 (°C)]:[IS7MT2 (°C)]],"&lt;&gt;0",RD[[#This Row],[IS1MT1 (°C)]:[IS7MT2 (°C)]]),"")</f>
        <v>42.880911418975671</v>
      </c>
      <c r="DD118" s="204">
        <f>IFERROR(AVERAGEIF(RD[[#This Row],[IS1RH1 (%)]:[IS7RH2 (%)]],"&lt;&gt;0",RD[[#This Row],[IS1RH1 (%)]:[IS7RH2 (%)]]),"")</f>
        <v>71.264668345927873</v>
      </c>
      <c r="DE118" s="204" t="str">
        <f>IFERROR(AVERAGEIF(RD[[#This Row],[IS1Rain1 (mm)]:[IS7Rain2 (mm)]],"&lt;&gt;0",RD[[#This Row],[IS1Rain1 (mm)]:[IS7Rain2 (mm)]]),"")</f>
        <v/>
      </c>
      <c r="DF118" s="204">
        <f>IFERROR(AVERAGEIF(RD[[#This Row],[WS_Solar1_Avg (m/s)]:[IS7_WS_Solar1_Avg (m/s)]],"&lt;&gt;0",RD[[#This Row],[WS_Solar1_Avg (m/s)]:[IS7_WS_Solar1_Avg (m/s)]]),"")</f>
        <v>0.88360579345088253</v>
      </c>
      <c r="DG118" s="204">
        <f>IFERROR(AVERAGEIF(RD[[#This Row],[WS_Solar1_Max (m/s)]:[IS7_WS_Solar1_Max (m/s)]],"&lt;&gt;0",RD[[#This Row],[WS_Solar1_Max (m/s)]:[IS7_WS_Solar1_Max (m/s)]]),"")</f>
        <v>2.2770000000000001</v>
      </c>
      <c r="DH118" s="204">
        <f>SUM(RD[[#This Row],[IS1Inv1M1]:[IS4Inv4M2]])</f>
        <v>270247.29999999993</v>
      </c>
      <c r="DI118" s="205">
        <f>SUM(RD[[#This Row],[IS7Inv1M1]]+RD[[#This Row],[IS7Inv2M1]])</f>
        <v>15843</v>
      </c>
      <c r="DJ118" s="204">
        <f>SUM(RD[[#This Row],[IS5Inv1M1]:[IS5Inv2M2]])</f>
        <v>38112.400000000001</v>
      </c>
      <c r="DK118" s="204">
        <f>SUM(RD[[#This Row],[IS8Inv1M1]:[IS9Inv2M2]])</f>
        <v>76302.099999999991</v>
      </c>
      <c r="DL118" s="60">
        <f>SUM(RD[[#This Row],[IS6Inv1M1]:[IS6Inv2M2]])</f>
        <v>39034.400000000001</v>
      </c>
      <c r="DM118" s="286">
        <f>SUM(RD[[#This Row],[IS10Inv1M1]:[IS11Inv1M4]],RD[[#This Row],[IS14Inv1M1]:[IS14Inv2M4]])</f>
        <v>172160.4</v>
      </c>
      <c r="DN118" s="286">
        <f>SUM(RD[[#This Row],[IS12Inv1M1]:[IS12Inv1M4]])</f>
        <v>34182</v>
      </c>
      <c r="DO118" s="286">
        <f>SUM(RD[[#This Row],[IS13Inv1M1]:[IS13Inv2M2]])</f>
        <v>37078</v>
      </c>
      <c r="DP118" s="204">
        <f>SUM(RD[[#This Row],[O2R15]:[O2R26]])</f>
        <v>682959.6</v>
      </c>
      <c r="DQ118" s="164">
        <v>46480</v>
      </c>
      <c r="DR118" s="168">
        <v>232.9</v>
      </c>
      <c r="DS118" s="164">
        <v>40691.599999999999</v>
      </c>
      <c r="DT118" s="164">
        <v>244.7</v>
      </c>
      <c r="DU118" s="168">
        <v>48253.599999999999</v>
      </c>
      <c r="DV118" s="168">
        <v>460</v>
      </c>
      <c r="DW118" s="164">
        <v>11235.7</v>
      </c>
      <c r="DX118" s="168">
        <v>59.4</v>
      </c>
      <c r="DY118" s="168">
        <v>5559.3</v>
      </c>
      <c r="DZ118" s="168">
        <v>29.3</v>
      </c>
      <c r="EA118" s="140">
        <v>111.72</v>
      </c>
      <c r="EB118" s="241">
        <v>156672278</v>
      </c>
      <c r="EC118" s="240">
        <v>1102090.112</v>
      </c>
      <c r="ED118" s="241">
        <v>1323</v>
      </c>
      <c r="EE118" s="241">
        <v>150847</v>
      </c>
      <c r="EF118" s="164">
        <v>217205.2</v>
      </c>
      <c r="EG118" s="164">
        <v>2108.5</v>
      </c>
      <c r="EH118" s="146">
        <f>IF((RD[[#This Row],[33 kV_F3_Ex
Incomer1]]-DQ117)*1000&lt;0,0,(RD[[#This Row],[33 kV_F3_Ex
Incomer1]]-DQ117)*1000)</f>
        <v>136400.00000000146</v>
      </c>
      <c r="EI118" s="146">
        <f>IF((RD[[#This Row],[34 kV_F3_Im
Incomer1]]-DR117)*1000&lt;0,0,(RD[[#This Row],[34 kV_F3_Im
Incomer1]]-DR117)*1000)</f>
        <v>400.00000000000568</v>
      </c>
      <c r="EJ118" s="146">
        <f>IF((RD[[#This Row],[33 kV_F4_Ex
Incomer2]]-DS117)*1000&lt;0,0,(RD[[#This Row],[33 kV_F4_Ex
Incomer2]]-DS117)*1000)</f>
        <v>126500</v>
      </c>
      <c r="EK118" s="146">
        <f>IF((RD[[#This Row],[34 kV_F4_Im
Incomer2]]-DT117)*1000&lt;0,0,(RD[[#This Row],[34 kV_F4_Im
Incomer2]]-DT117)*1000)</f>
        <v>299.99999999998295</v>
      </c>
      <c r="EL118" s="146">
        <f>IF((RD[[#This Row],[33 kV_F5_Ex
Incomer3]]-DU117)*1000&lt;0,0,(RD[[#This Row],[33 kV_F5_Ex
Incomer3]]-DU117)*1000)</f>
        <v>167099.99999999854</v>
      </c>
      <c r="EM118" s="146">
        <f>IF((RD[[#This Row],[34 kV_F5_Im
Incomer3]]-DV117)*1000&lt;0,0,(RD[[#This Row],[34 kV_F5_Im
Incomer3]]-DV117)*1000)</f>
        <v>600.00000000002274</v>
      </c>
      <c r="EN118" s="146">
        <f>IF((RD[[#This Row],[33 kV_F6_Ex
Incomer4]]-DW117)*1000&lt;0,0,(RD[[#This Row],[33 kV_F6_Ex
Incomer4]]-DW117)*1000)</f>
        <v>53100.000000000364</v>
      </c>
      <c r="EO118" s="146">
        <f t="shared" si="166"/>
        <v>399.99999999997726</v>
      </c>
      <c r="EP118" s="146">
        <f>IF((RD[[#This Row],[33 kV_F7_Ex
Incomer5]]-DY117)*1000&lt;0,0,(RD[[#This Row],[33 kV_F7_Ex
Incomer5]]-DY117)*1000)</f>
        <v>248300.00000000017</v>
      </c>
      <c r="EQ118" s="146">
        <f>IF((RD[[#This Row],[33 kV_F7_Im
Incomer5]]-DZ117)*1000&lt;0,0,(RD[[#This Row],[33 kV_F7_Im
Incomer5]]-DZ117)*1000)</f>
        <v>699.99999999999932</v>
      </c>
      <c r="ER118" s="146">
        <f>IF((RD[[#This Row],[33 kV_Aux Trafo]]-EA117)*1000&lt;0,0,(RD[[#This Row],[33 kV_Aux Trafo]]-EA117)*1000)</f>
        <v>319.99999999999318</v>
      </c>
      <c r="ES118" s="158">
        <f>IF((RD[[#This Row],[33kV_OG1_Ex_]]-EB117)*1&lt;0,0,(RD[[#This Row],[33kV_OG1_Ex_]]-EB117)*1)</f>
        <v>671007</v>
      </c>
      <c r="ET118" s="146">
        <f>IF((RD[[#This Row],[33kV_OG1_Im]]-EC117)*1&lt;0,0,(RD[[#This Row],[33kV_OG1_Im]]-EC117)*1)</f>
        <v>2516.6080000000075</v>
      </c>
      <c r="EU118" s="146">
        <f>IF((RD[[#This Row],[132kV_TX1_EX]]-ED117)*720&lt;=0,"",(RD[[#This Row],[132kV_TX1_EX]]-ED117)*720)</f>
        <v>2880</v>
      </c>
      <c r="EV118" s="146">
        <f>IF((RD[[#This Row],[132 kV_Tx1_Im]]-EE117)*720&lt;=0,0,(RD[[#This Row],[132 kV_Tx1_Im]]-EE117)*720)</f>
        <v>480960</v>
      </c>
      <c r="EW118" s="146">
        <f>IF((RD[[#This Row],[132kV_L1_Ex]]-EF117)*720&lt;=0,0,(RD[[#This Row],[132kV_L1_Ex]]-EF117)*720)</f>
        <v>668808.00000001676</v>
      </c>
      <c r="EX118" s="146">
        <f>IF((RD[[#This Row],[132kV_L1_Im]]-EG117)*720&lt;=0,0,(RD[[#This Row],[132kV_L1_Im]]-EG117)*720)</f>
        <v>3096.000000000131</v>
      </c>
      <c r="EY118" s="242">
        <f>IFERROR(RD[[#This Row],[33kV_OG1_Ex (MWh)]]+RD[[#This Row],[33kV_OG1_Im (MWh)]],"")</f>
        <v>673523.60800000001</v>
      </c>
      <c r="EZ118" s="148">
        <f>RD[[#This Row],[33kV_OG1_Ex (MWh)]]-RD[[#This Row],[33kV_OG1_Im (MWh)]]</f>
        <v>668490.39199999999</v>
      </c>
      <c r="FA118" s="148">
        <f>IFERROR(RD[[#This Row],[132kV_L1_Ex(MWh)]]-RD[[#This Row],[132kV_L1_Im(MWh)]],"")</f>
        <v>665712.00000001665</v>
      </c>
      <c r="FB118" s="297">
        <f>IFERROR(RD[[#This Row],[33kV_Ex(MWh)]]/RD[[#This Row],[Inv Total Gneration (MWh)]]-1,"")</f>
        <v>-1.3816325299475962E-2</v>
      </c>
      <c r="FC118" s="243">
        <f>IFERROR((RD[[#This Row],[Sunset Time (POA&lt;20 W/m2)]]-RD[[#This Row],[Sunrise Time (POA&gt;20 W/m2)]])*24,0)</f>
        <v>12.483333333333334</v>
      </c>
      <c r="FD118" s="244">
        <v>128.08000000000001</v>
      </c>
      <c r="FE118" t="s">
        <v>294</v>
      </c>
      <c r="FG118" s="144" t="str">
        <f>IFERROR(RD[[#This Row],[E_AC (WPR)]]/RD[[#This Row],[E_DC (WPR)]],"")</f>
        <v/>
      </c>
    </row>
    <row r="119" spans="1:163">
      <c r="A119" s="133">
        <f t="shared" si="167"/>
        <v>45859</v>
      </c>
      <c r="B119" s="138">
        <f>YEAR(RD[[#This Row],[Date]])+IF(MONTH(RD[[#This Row],[Date]])&gt;=4,1,0)</f>
        <v>2026</v>
      </c>
      <c r="C119" s="138">
        <f>YEAR(RD[[#This Row],[Date]])</f>
        <v>2025</v>
      </c>
      <c r="D119" s="139">
        <f t="shared" si="169"/>
        <v>45839</v>
      </c>
      <c r="E119" s="138">
        <f>DAY(EOMONTH(RD[[#This Row],[Date]],0))</f>
        <v>31</v>
      </c>
      <c r="F119" s="152">
        <v>0.25972222222222224</v>
      </c>
      <c r="G119" s="162">
        <v>0.78263888888888888</v>
      </c>
      <c r="H119" s="124">
        <v>7240.2</v>
      </c>
      <c r="I119" s="268">
        <v>7186</v>
      </c>
      <c r="J119" s="124">
        <v>6835.7</v>
      </c>
      <c r="K119" s="124">
        <v>6909.3</v>
      </c>
      <c r="L119" s="124">
        <v>7066.7</v>
      </c>
      <c r="M119" s="124">
        <v>7269.6</v>
      </c>
      <c r="N119" s="124">
        <v>7090.4</v>
      </c>
      <c r="O119" s="124">
        <v>7575</v>
      </c>
      <c r="P119" s="124">
        <v>7024.1</v>
      </c>
      <c r="Q119" s="124">
        <v>6988</v>
      </c>
      <c r="R119" s="124">
        <v>7073</v>
      </c>
      <c r="S119" s="266">
        <v>6971.8</v>
      </c>
      <c r="T119" s="124">
        <v>7178.8</v>
      </c>
      <c r="U119" s="124">
        <v>7088</v>
      </c>
      <c r="V119" s="124">
        <v>7380.1</v>
      </c>
      <c r="W119" s="124">
        <v>7100.7</v>
      </c>
      <c r="X119" s="294">
        <v>9557.1</v>
      </c>
      <c r="Y119" s="203">
        <v>10434.200000000001</v>
      </c>
      <c r="Z119" s="203">
        <v>9573.5</v>
      </c>
      <c r="AA119" s="203">
        <v>9918.2000000000007</v>
      </c>
      <c r="AB119" s="294">
        <v>9880.7999999999993</v>
      </c>
      <c r="AC119" s="203">
        <v>6268</v>
      </c>
      <c r="AD119" s="203">
        <v>9311</v>
      </c>
      <c r="AE119" s="203">
        <v>9578.7000000000007</v>
      </c>
      <c r="AF119" s="294">
        <v>9193.7999999999993</v>
      </c>
      <c r="AG119" s="203">
        <v>9217</v>
      </c>
      <c r="AH119" s="203">
        <v>9269.7000000000007</v>
      </c>
      <c r="AI119" s="294">
        <v>9486.9</v>
      </c>
      <c r="AJ119" s="142">
        <v>7835.3</v>
      </c>
      <c r="AK119" s="142">
        <v>8107.5</v>
      </c>
      <c r="AL119" s="142">
        <v>8112.7</v>
      </c>
      <c r="AM119" s="142">
        <v>8186</v>
      </c>
      <c r="AN119" s="142">
        <v>8192.4</v>
      </c>
      <c r="AO119" s="142">
        <v>8367</v>
      </c>
      <c r="AP119" s="142">
        <v>8377.6</v>
      </c>
      <c r="AQ119" s="142">
        <v>8278.9</v>
      </c>
      <c r="AR119" s="142">
        <v>6603.4</v>
      </c>
      <c r="AS119" s="142">
        <v>6641.2</v>
      </c>
      <c r="AT119" s="142">
        <v>6650</v>
      </c>
      <c r="AU119" s="142">
        <v>6539.5</v>
      </c>
      <c r="AV119" s="142">
        <v>6728.7</v>
      </c>
      <c r="AW119" s="142">
        <v>6634.5</v>
      </c>
      <c r="AX119" s="142">
        <v>9401.2000000000007</v>
      </c>
      <c r="AY119" s="142">
        <v>10437</v>
      </c>
      <c r="AZ119" s="142">
        <v>7809.4</v>
      </c>
      <c r="BA119" s="142">
        <v>9452.1</v>
      </c>
      <c r="BB119" s="142">
        <v>8361</v>
      </c>
      <c r="BC119" s="142">
        <v>8098</v>
      </c>
      <c r="BD119" s="142">
        <v>8504</v>
      </c>
      <c r="BE119" s="142">
        <v>9300</v>
      </c>
      <c r="BF119" s="142">
        <v>9961.4</v>
      </c>
      <c r="BG119" s="142">
        <v>10034.799999999999</v>
      </c>
      <c r="BH119" s="142">
        <v>10006.1</v>
      </c>
      <c r="BI119" s="142">
        <v>10291.6</v>
      </c>
      <c r="BJ119" s="142">
        <v>6617.2</v>
      </c>
      <c r="BK119" s="142">
        <v>5301.1</v>
      </c>
      <c r="BL119" s="142">
        <v>6413.7</v>
      </c>
      <c r="BM119" s="142">
        <v>6351.8</v>
      </c>
      <c r="BN119" s="142">
        <v>6969.7</v>
      </c>
      <c r="BO119" s="142">
        <v>6730.1</v>
      </c>
      <c r="BP119" s="142">
        <v>7237</v>
      </c>
      <c r="BQ119" s="142">
        <v>7120.1</v>
      </c>
      <c r="BR119" s="142">
        <v>7452</v>
      </c>
      <c r="BS119" s="142">
        <v>7768</v>
      </c>
      <c r="BT119" s="142">
        <v>7955</v>
      </c>
      <c r="BU119" s="142">
        <v>8047</v>
      </c>
      <c r="BV119" s="203">
        <v>6381.7</v>
      </c>
      <c r="BW119" s="203">
        <v>6201.3</v>
      </c>
      <c r="BX119" s="203">
        <v>5564.2</v>
      </c>
      <c r="BY119" s="203">
        <v>6615.3</v>
      </c>
      <c r="BZ119" s="142">
        <v>5875.9</v>
      </c>
      <c r="CA119" s="142">
        <v>838.1</v>
      </c>
      <c r="CB119" s="142">
        <v>6098.8</v>
      </c>
      <c r="CC119" s="142">
        <v>6637.8</v>
      </c>
      <c r="CD119" s="206">
        <v>5.3181917666666596</v>
      </c>
      <c r="CE119" s="59">
        <v>5.3724863666666645</v>
      </c>
      <c r="CF119" s="206">
        <v>5.0549398000000023</v>
      </c>
      <c r="CG119" s="206">
        <v>5.4252783333333356</v>
      </c>
      <c r="CH119" s="206">
        <v>0.70235693333333338</v>
      </c>
      <c r="CI119" s="206">
        <v>0.8127418833333333</v>
      </c>
      <c r="CJ119" s="59">
        <v>1.0713931166666664</v>
      </c>
      <c r="CK119" s="59">
        <v>0.79315536666666742</v>
      </c>
      <c r="CL119" s="206">
        <v>29.115933219178071</v>
      </c>
      <c r="CM119" s="206">
        <v>29.103287671232852</v>
      </c>
      <c r="CN119" s="206">
        <v>43.957460616438361</v>
      </c>
      <c r="CO119" s="206">
        <v>41.308110445205465</v>
      </c>
      <c r="CP119" s="206">
        <v>75.355607876712327</v>
      </c>
      <c r="CQ119" s="206">
        <v>75.931652397260237</v>
      </c>
      <c r="CR119" s="206">
        <v>0</v>
      </c>
      <c r="CS119" s="59">
        <v>0</v>
      </c>
      <c r="CT119" s="206">
        <v>1.0979589041095899</v>
      </c>
      <c r="CU119" s="206">
        <v>1.1146181506849306</v>
      </c>
      <c r="CV119" s="206">
        <v>2.3820000000000001</v>
      </c>
      <c r="CW119" s="258">
        <v>2.6640000000000001</v>
      </c>
      <c r="CX119" s="204">
        <f>IFERROR(AVERAGEIF(RD[[#This Row],[IS1POA1 (KWh/m2)]:[IS7POA2 (KWh/m2)]],"&lt;&gt;0",RD[[#This Row],[IS1POA1 (KWh/m2)]:[IS7POA2 (KWh/m2)]]),"")</f>
        <v>5.3453390666666625</v>
      </c>
      <c r="CY119" s="204">
        <f>IFERROR(AVERAGEIF(RD[[#This Row],[IS1GHI1 (KWh/m2)]:[IS7GHI2 (KWh/m2)]],"&lt;&gt;0",RD[[#This Row],[IS1GHI1 (KWh/m2)]:[IS7GHI2 (KWh/m2)]]),"")</f>
        <v>5.240109066666669</v>
      </c>
      <c r="CZ119" s="204">
        <f>IFERROR(AVERAGEIF(RD[[#This Row],[IS1POA_BS1 (KWh/m2)]:[IS7POA_BS2 (KWh/m2)]],"&lt;&gt;0",RD[[#This Row],[IS1POA_BS1 (KWh/m2)]:[IS7POA_BS2 (KWh/m2)]]),"")</f>
        <v>0.7575494083333334</v>
      </c>
      <c r="DA119" s="204">
        <f>IFERROR(AVERAGEIF(RD[[#This Row],[IS1GHI_BS1 (KWh/m2)]:[IS1GHI_BS1 (KWh/m2)2]],"&lt;&gt;0",RD[[#This Row],[IS1GHI_BS1 (KWh/m2)]:[IS1GHI_BS1 (KWh/m2)2]]),"")</f>
        <v>0.93227424166666695</v>
      </c>
      <c r="DB119" s="204">
        <f>IFERROR(AVERAGEIF(RD[[#This Row],[IS1AT1 (°C)]:[IS7AT2 (°C)]],"&lt;&gt;0",RD[[#This Row],[IS1AT1 (°C)]:[IS7AT2 (°C)]]),"")</f>
        <v>29.109610445205462</v>
      </c>
      <c r="DC119" s="204">
        <f>IFERROR(AVERAGEIF(RD[[#This Row],[IS1MT1 (°C)]:[IS7MT2 (°C)]],"&lt;&gt;0",RD[[#This Row],[IS1MT1 (°C)]:[IS7MT2 (°C)]]),"")</f>
        <v>42.632785530821913</v>
      </c>
      <c r="DD119" s="204">
        <f>IFERROR(AVERAGEIF(RD[[#This Row],[IS1RH1 (%)]:[IS7RH2 (%)]],"&lt;&gt;0",RD[[#This Row],[IS1RH1 (%)]:[IS7RH2 (%)]]),"")</f>
        <v>75.643630136986275</v>
      </c>
      <c r="DE119" s="204" t="str">
        <f>IFERROR(AVERAGEIF(RD[[#This Row],[IS1Rain1 (mm)]:[IS7Rain2 (mm)]],"&lt;&gt;0",RD[[#This Row],[IS1Rain1 (mm)]:[IS7Rain2 (mm)]]),"")</f>
        <v/>
      </c>
      <c r="DF119" s="204">
        <f>IFERROR(AVERAGEIF(RD[[#This Row],[WS_Solar1_Avg (m/s)]:[IS7_WS_Solar1_Avg (m/s)]],"&lt;&gt;0",RD[[#This Row],[WS_Solar1_Avg (m/s)]:[IS7_WS_Solar1_Avg (m/s)]]),"")</f>
        <v>1.1062885273972602</v>
      </c>
      <c r="DG119" s="204">
        <f>IFERROR(AVERAGEIF(RD[[#This Row],[WS_Solar1_Max (m/s)]:[IS7_WS_Solar1_Max (m/s)]],"&lt;&gt;0",RD[[#This Row],[WS_Solar1_Max (m/s)]:[IS7_WS_Solar1_Max (m/s)]]),"")</f>
        <v>2.5230000000000001</v>
      </c>
      <c r="DH119" s="204">
        <f>SUM(RD[[#This Row],[IS1Inv1M1]:[IS4Inv4M2]])</f>
        <v>225666.30000000002</v>
      </c>
      <c r="DI119" s="205">
        <f>SUM(RD[[#This Row],[IS7Inv1M1]]+RD[[#This Row],[IS7Inv2M1]])</f>
        <v>13244.599999999999</v>
      </c>
      <c r="DJ119" s="204">
        <f>SUM(RD[[#This Row],[IS5Inv1M1]:[IS5Inv2M2]])</f>
        <v>32241.5</v>
      </c>
      <c r="DK119" s="204">
        <f>SUM(RD[[#This Row],[IS8Inv1M1]:[IS9Inv2M2]])</f>
        <v>63652.4</v>
      </c>
      <c r="DL119" s="60">
        <f>SUM(RD[[#This Row],[IS6Inv1M1]:[IS6Inv2M2]])</f>
        <v>33215.9</v>
      </c>
      <c r="DM119" s="286">
        <f>SUM(RD[[#This Row],[IS10Inv1M1]:[IS11Inv1M4]],RD[[#This Row],[IS14Inv1M1]:[IS14Inv2M4]])</f>
        <v>143453.79999999999</v>
      </c>
      <c r="DN119" s="286">
        <f>SUM(RD[[#This Row],[IS12Inv1M1]:[IS12Inv1M4]])</f>
        <v>28056.9</v>
      </c>
      <c r="DO119" s="286">
        <f>SUM(RD[[#This Row],[IS13Inv1M1]:[IS13Inv2M2]])</f>
        <v>31222</v>
      </c>
      <c r="DP119" s="204">
        <f>SUM(RD[[#This Row],[O2R15]:[O2R26]])</f>
        <v>570753.4</v>
      </c>
      <c r="DQ119" s="164">
        <v>46591.1</v>
      </c>
      <c r="DR119" s="168">
        <v>233.3</v>
      </c>
      <c r="DS119" s="164">
        <v>40800.400000000001</v>
      </c>
      <c r="DT119" s="164">
        <v>245.1</v>
      </c>
      <c r="DU119" s="168">
        <v>48394.3</v>
      </c>
      <c r="DV119" s="168">
        <v>460.7</v>
      </c>
      <c r="DW119" s="164">
        <v>11279.2</v>
      </c>
      <c r="DX119" s="168">
        <v>59.6</v>
      </c>
      <c r="DY119" s="168">
        <v>5684.5</v>
      </c>
      <c r="DZ119" s="168">
        <v>29.8</v>
      </c>
      <c r="EA119" s="140">
        <v>112.04</v>
      </c>
      <c r="EB119" s="241">
        <v>157234855</v>
      </c>
      <c r="EC119" s="240">
        <v>1104586.368</v>
      </c>
      <c r="ED119" s="241">
        <v>1326</v>
      </c>
      <c r="EE119" s="241">
        <v>151407</v>
      </c>
      <c r="EF119" s="164">
        <v>217984</v>
      </c>
      <c r="EG119" s="164">
        <v>2112.6999999999998</v>
      </c>
      <c r="EH119" s="146">
        <f>IF((RD[[#This Row],[33 kV_F3_Ex
Incomer1]]-DQ118)*1000&lt;0,0,(RD[[#This Row],[33 kV_F3_Ex
Incomer1]]-DQ118)*1000)</f>
        <v>111099.99999999854</v>
      </c>
      <c r="EI119" s="146">
        <f>IF((RD[[#This Row],[34 kV_F3_Im
Incomer1]]-DR118)*1000&lt;0,0,(RD[[#This Row],[34 kV_F3_Im
Incomer1]]-DR118)*1000)</f>
        <v>400.00000000000568</v>
      </c>
      <c r="EJ119" s="146">
        <f>IF((RD[[#This Row],[33 kV_F4_Ex
Incomer2]]-DS118)*1000&lt;0,0,(RD[[#This Row],[33 kV_F4_Ex
Incomer2]]-DS118)*1000)</f>
        <v>108800.00000000291</v>
      </c>
      <c r="EK119" s="146">
        <f>IF((RD[[#This Row],[34 kV_F4_Im
Incomer2]]-DT118)*1000&lt;0,0,(RD[[#This Row],[34 kV_F4_Im
Incomer2]]-DT118)*1000)</f>
        <v>400.00000000000568</v>
      </c>
      <c r="EL119" s="146">
        <f>IF((RD[[#This Row],[33 kV_F5_Ex
Incomer3]]-DU118)*1000&lt;0,0,(RD[[#This Row],[33 kV_F5_Ex
Incomer3]]-DU118)*1000)</f>
        <v>140700.00000000437</v>
      </c>
      <c r="EM119" s="146">
        <f>IF((RD[[#This Row],[34 kV_F5_Im
Incomer3]]-DV118)*1000&lt;0,0,(RD[[#This Row],[34 kV_F5_Im
Incomer3]]-DV118)*1000)</f>
        <v>699.99999999998863</v>
      </c>
      <c r="EN119" s="146">
        <f>IF((RD[[#This Row],[33 kV_F6_Ex
Incomer4]]-DW118)*1000&lt;0,0,(RD[[#This Row],[33 kV_F6_Ex
Incomer4]]-DW118)*1000)</f>
        <v>43500</v>
      </c>
      <c r="EO119" s="146">
        <f t="shared" si="166"/>
        <v>300.00000000001137</v>
      </c>
      <c r="EP119" s="146">
        <f>IF((RD[[#This Row],[33 kV_F7_Ex
Incomer5]]-DY118)*1000&lt;0,0,(RD[[#This Row],[33 kV_F7_Ex
Incomer5]]-DY118)*1000)</f>
        <v>125199.99999999983</v>
      </c>
      <c r="EQ119" s="146">
        <f>IF((RD[[#This Row],[33 kV_F7_Im
Incomer5]]-DZ118)*1000&lt;0,0,(RD[[#This Row],[33 kV_F7_Im
Incomer5]]-DZ118)*1000)</f>
        <v>500</v>
      </c>
      <c r="ER119" s="146">
        <f>IF((RD[[#This Row],[33 kV_Aux Trafo]]-EA118)*1000&lt;0,0,(RD[[#This Row],[33 kV_Aux Trafo]]-EA118)*1000)</f>
        <v>320.00000000000739</v>
      </c>
      <c r="ES119" s="158">
        <f>IF((RD[[#This Row],[33kV_OG1_Ex_]]-EB118)*1&lt;0,0,(RD[[#This Row],[33kV_OG1_Ex_]]-EB118)*1)</f>
        <v>562577</v>
      </c>
      <c r="ET119" s="146">
        <f>IF((RD[[#This Row],[33kV_OG1_Im]]-EC118)*1&lt;0,0,(RD[[#This Row],[33kV_OG1_Im]]-EC118)*1)</f>
        <v>2496.2560000000522</v>
      </c>
      <c r="EU119" s="146">
        <f>IF((RD[[#This Row],[132kV_TX1_EX]]-ED118)*720&lt;=0,"",(RD[[#This Row],[132kV_TX1_EX]]-ED118)*720)</f>
        <v>2160</v>
      </c>
      <c r="EV119" s="146">
        <f>IF((RD[[#This Row],[132 kV_Tx1_Im]]-EE118)*720&lt;=0,0,(RD[[#This Row],[132 kV_Tx1_Im]]-EE118)*720)</f>
        <v>403200</v>
      </c>
      <c r="EW119" s="146">
        <f>IF((RD[[#This Row],[132kV_L1_Ex]]-EF118)*720&lt;=0,0,(RD[[#This Row],[132kV_L1_Ex]]-EF118)*720)</f>
        <v>560735.99999999162</v>
      </c>
      <c r="EX119" s="146">
        <f>IF((RD[[#This Row],[132kV_L1_Im]]-EG118)*720&lt;=0,0,(RD[[#This Row],[132kV_L1_Im]]-EG118)*720)</f>
        <v>3023.999999999869</v>
      </c>
      <c r="EY119" s="242">
        <f>IFERROR(RD[[#This Row],[33kV_OG1_Ex (MWh)]]+RD[[#This Row],[33kV_OG1_Im (MWh)]],"")</f>
        <v>565073.25600000005</v>
      </c>
      <c r="EZ119" s="148">
        <f>RD[[#This Row],[33kV_OG1_Ex (MWh)]]-RD[[#This Row],[33kV_OG1_Im (MWh)]]</f>
        <v>560080.74399999995</v>
      </c>
      <c r="FA119" s="148">
        <f>IFERROR(RD[[#This Row],[132kV_L1_Ex(MWh)]]-RD[[#This Row],[132kV_L1_Im(MWh)]],"")</f>
        <v>557711.99999999173</v>
      </c>
      <c r="FB119" s="297">
        <f>IFERROR(RD[[#This Row],[33kV_Ex(MWh)]]/RD[[#This Row],[Inv Total Gneration (MWh)]]-1,"")</f>
        <v>-9.9520107983587236E-3</v>
      </c>
      <c r="FC119" s="243">
        <f>IFERROR((RD[[#This Row],[Sunset Time (POA&lt;20 W/m2)]]-RD[[#This Row],[Sunrise Time (POA&gt;20 W/m2)]])*24,0)</f>
        <v>12.55</v>
      </c>
      <c r="FD119" s="244">
        <v>128.08000000000001</v>
      </c>
      <c r="FE119" t="s">
        <v>294</v>
      </c>
      <c r="FG119" s="144" t="str">
        <f>IFERROR(RD[[#This Row],[E_AC (WPR)]]/RD[[#This Row],[E_DC (WPR)]],"")</f>
        <v/>
      </c>
    </row>
    <row r="120" spans="1:163">
      <c r="A120" s="133">
        <f t="shared" si="167"/>
        <v>45860</v>
      </c>
      <c r="B120" s="138">
        <f>YEAR(RD[[#This Row],[Date]])+IF(MONTH(RD[[#This Row],[Date]])&gt;=4,1,0)</f>
        <v>2026</v>
      </c>
      <c r="C120" s="138">
        <f>YEAR(RD[[#This Row],[Date]])</f>
        <v>2025</v>
      </c>
      <c r="D120" s="139">
        <f t="shared" si="169"/>
        <v>45839</v>
      </c>
      <c r="E120" s="138">
        <f>DAY(EOMONTH(RD[[#This Row],[Date]],0))</f>
        <v>31</v>
      </c>
      <c r="F120" s="152"/>
      <c r="G120" s="162"/>
      <c r="H120" s="124"/>
      <c r="I120" s="268"/>
      <c r="J120" s="124"/>
      <c r="K120" s="124"/>
      <c r="L120" s="124"/>
      <c r="M120" s="124"/>
      <c r="N120" s="124"/>
      <c r="O120" s="124"/>
      <c r="P120" s="124"/>
      <c r="Q120" s="124"/>
      <c r="R120" s="124"/>
      <c r="S120" s="266"/>
      <c r="T120" s="124"/>
      <c r="U120" s="124"/>
      <c r="V120" s="124"/>
      <c r="W120" s="124"/>
      <c r="X120" s="294"/>
      <c r="Y120" s="203"/>
      <c r="Z120" s="203"/>
      <c r="AA120" s="203"/>
      <c r="AB120" s="294"/>
      <c r="AC120" s="203"/>
      <c r="AD120" s="203"/>
      <c r="AE120" s="203"/>
      <c r="AF120" s="294"/>
      <c r="AG120" s="203"/>
      <c r="AH120" s="203"/>
      <c r="AI120" s="294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  <c r="BA120" s="142"/>
      <c r="BB120" s="142"/>
      <c r="BC120" s="142"/>
      <c r="BD120" s="142"/>
      <c r="BE120" s="142"/>
      <c r="BF120" s="142"/>
      <c r="BG120" s="142"/>
      <c r="BH120" s="142"/>
      <c r="BI120" s="142"/>
      <c r="BJ120" s="142"/>
      <c r="BK120" s="142"/>
      <c r="BL120" s="142"/>
      <c r="BM120" s="142"/>
      <c r="BN120" s="142"/>
      <c r="BO120" s="142"/>
      <c r="BP120" s="142"/>
      <c r="BQ120" s="142"/>
      <c r="BR120" s="142"/>
      <c r="BS120" s="142"/>
      <c r="BT120" s="142"/>
      <c r="BU120" s="142"/>
      <c r="BV120" s="203"/>
      <c r="BW120" s="203"/>
      <c r="BX120" s="203"/>
      <c r="BY120" s="203"/>
      <c r="BZ120" s="142"/>
      <c r="CA120" s="142"/>
      <c r="CB120" s="142"/>
      <c r="CC120" s="142"/>
      <c r="CD120" s="295"/>
      <c r="CE120" s="59"/>
      <c r="CF120" s="295"/>
      <c r="CG120" s="206"/>
      <c r="CH120" s="295"/>
      <c r="CI120" s="206"/>
      <c r="CJ120" s="296"/>
      <c r="CK120" s="59"/>
      <c r="CL120" s="295"/>
      <c r="CM120" s="206"/>
      <c r="CN120" s="295"/>
      <c r="CO120" s="206"/>
      <c r="CP120" s="295"/>
      <c r="CQ120" s="206"/>
      <c r="CR120" s="295"/>
      <c r="CS120" s="59"/>
      <c r="CT120" s="295"/>
      <c r="CU120" s="206"/>
      <c r="CV120" s="295"/>
      <c r="CW120" s="258"/>
      <c r="CX120" s="204" t="str">
        <f>IFERROR(AVERAGEIF(RD[[#This Row],[IS1POA1 (KWh/m2)]:[IS7POA2 (KWh/m2)]],"&lt;&gt;0",RD[[#This Row],[IS1POA1 (KWh/m2)]:[IS7POA2 (KWh/m2)]]),"")</f>
        <v/>
      </c>
      <c r="CY120" s="204" t="str">
        <f>IFERROR(AVERAGEIF(RD[[#This Row],[IS1GHI1 (KWh/m2)]:[IS7GHI2 (KWh/m2)]],"&lt;&gt;0",RD[[#This Row],[IS1GHI1 (KWh/m2)]:[IS7GHI2 (KWh/m2)]]),"")</f>
        <v/>
      </c>
      <c r="CZ120" s="204" t="str">
        <f>IFERROR(AVERAGEIF(RD[[#This Row],[IS1POA_BS1 (KWh/m2)]:[IS7POA_BS2 (KWh/m2)]],"&lt;&gt;0",RD[[#This Row],[IS1POA_BS1 (KWh/m2)]:[IS7POA_BS2 (KWh/m2)]]),"")</f>
        <v/>
      </c>
      <c r="DA120" s="204" t="str">
        <f>IFERROR(AVERAGEIF(RD[[#This Row],[IS1GHI_BS1 (KWh/m2)]:[IS1GHI_BS1 (KWh/m2)2]],"&lt;&gt;0",RD[[#This Row],[IS1GHI_BS1 (KWh/m2)]:[IS1GHI_BS1 (KWh/m2)2]]),"")</f>
        <v/>
      </c>
      <c r="DB120" s="204" t="str">
        <f>IFERROR(AVERAGEIF(RD[[#This Row],[IS1AT1 (°C)]:[IS7AT2 (°C)]],"&lt;&gt;0",RD[[#This Row],[IS1AT1 (°C)]:[IS7AT2 (°C)]]),"")</f>
        <v/>
      </c>
      <c r="DC120" s="204" t="str">
        <f>IFERROR(AVERAGEIF(RD[[#This Row],[IS1MT1 (°C)]:[IS7MT2 (°C)]],"&lt;&gt;0",RD[[#This Row],[IS1MT1 (°C)]:[IS7MT2 (°C)]]),"")</f>
        <v/>
      </c>
      <c r="DD120" s="204" t="str">
        <f>IFERROR(AVERAGEIF(RD[[#This Row],[IS1RH1 (%)]:[IS7RH2 (%)]],"&lt;&gt;0",RD[[#This Row],[IS1RH1 (%)]:[IS7RH2 (%)]]),"")</f>
        <v/>
      </c>
      <c r="DE120" s="204" t="str">
        <f>IFERROR(AVERAGEIF(RD[[#This Row],[IS1Rain1 (mm)]:[IS7Rain2 (mm)]],"&lt;&gt;0",RD[[#This Row],[IS1Rain1 (mm)]:[IS7Rain2 (mm)]]),"")</f>
        <v/>
      </c>
      <c r="DF120" s="204" t="str">
        <f>IFERROR(AVERAGEIF(RD[[#This Row],[WS_Solar1_Avg (m/s)]:[IS7_WS_Solar1_Avg (m/s)]],"&lt;&gt;0",RD[[#This Row],[WS_Solar1_Avg (m/s)]:[IS7_WS_Solar1_Avg (m/s)]]),"")</f>
        <v/>
      </c>
      <c r="DG120" s="204" t="str">
        <f>IFERROR(AVERAGEIF(RD[[#This Row],[WS_Solar1_Max (m/s)]:[IS7_WS_Solar1_Max (m/s)]],"&lt;&gt;0",RD[[#This Row],[WS_Solar1_Max (m/s)]:[IS7_WS_Solar1_Max (m/s)]]),"")</f>
        <v/>
      </c>
      <c r="DH120" s="204">
        <f>SUM(RD[[#This Row],[IS1Inv1M1]:[IS4Inv4M2]])</f>
        <v>0</v>
      </c>
      <c r="DI120" s="205">
        <f>SUM(RD[[#This Row],[IS7Inv1M1]]+RD[[#This Row],[IS7Inv2M1]])</f>
        <v>0</v>
      </c>
      <c r="DJ120" s="204">
        <f>SUM(RD[[#This Row],[IS5Inv1M1]:[IS5Inv2M2]])</f>
        <v>0</v>
      </c>
      <c r="DK120" s="204">
        <f>SUM(RD[[#This Row],[IS8Inv1M1]:[IS9Inv2M2]])</f>
        <v>0</v>
      </c>
      <c r="DL120" s="60">
        <f>SUM(RD[[#This Row],[IS6Inv1M1]:[IS6Inv2M2]])</f>
        <v>0</v>
      </c>
      <c r="DM120" s="286">
        <f>SUM(RD[[#This Row],[IS10Inv1M1]:[IS11Inv1M4]],RD[[#This Row],[IS14Inv1M1]:[IS14Inv2M4]])</f>
        <v>0</v>
      </c>
      <c r="DN120" s="286">
        <f>SUM(RD[[#This Row],[IS12Inv1M1]:[IS12Inv1M4]])</f>
        <v>0</v>
      </c>
      <c r="DO120" s="286">
        <f>SUM(RD[[#This Row],[IS13Inv1M1]:[IS13Inv2M2]])</f>
        <v>0</v>
      </c>
      <c r="DP120" s="204">
        <f>SUM(RD[[#This Row],[O2R15]:[O2R26]])</f>
        <v>0</v>
      </c>
      <c r="DQ120" s="164"/>
      <c r="DR120" s="168"/>
      <c r="DS120" s="164"/>
      <c r="DT120" s="164"/>
      <c r="DU120" s="168"/>
      <c r="DV120" s="168"/>
      <c r="DW120" s="164"/>
      <c r="DX120" s="134"/>
      <c r="DY120" s="134"/>
      <c r="DZ120" s="134"/>
      <c r="EA120" s="134"/>
      <c r="EB120" s="241"/>
      <c r="EC120" s="315"/>
      <c r="ED120" s="241"/>
      <c r="EE120" s="241"/>
      <c r="EF120" s="315"/>
      <c r="EG120" s="240"/>
      <c r="EH120" s="146">
        <f>IF((RD[[#This Row],[33 kV_F3_Ex
Incomer1]]-DQ119)*1000&lt;0,0,(RD[[#This Row],[33 kV_F3_Ex
Incomer1]]-DQ119)*1000)</f>
        <v>0</v>
      </c>
      <c r="EI120" s="242"/>
      <c r="EJ120" s="146"/>
      <c r="EK120" s="146"/>
      <c r="EL120" s="146"/>
      <c r="EM120" s="146"/>
      <c r="EN120" s="146"/>
      <c r="EO120" s="146"/>
      <c r="EP120" s="146">
        <f>IF((RD[[#This Row],[33 kV_F7_Ex
Incomer5]]-DY119)*1000&lt;0,0,(RD[[#This Row],[33 kV_F7_Ex
Incomer5]]-DY119)*1000)</f>
        <v>0</v>
      </c>
      <c r="EQ120" s="146">
        <f>IF((RD[[#This Row],[33 kV_F7_Im
Incomer5]]-DZ119)*1000&lt;0,0,(RD[[#This Row],[33 kV_F7_Im
Incomer5]]-DZ119)*1000)</f>
        <v>0</v>
      </c>
      <c r="ER120" s="146"/>
      <c r="ES120" s="158">
        <f>IF((RD[[#This Row],[33kV_OG1_Ex_]]-EB119)*1&lt;0,0,(RD[[#This Row],[33kV_OG1_Ex_]]-EB119)*1)</f>
        <v>0</v>
      </c>
      <c r="ET120" s="146">
        <f>IF((RD[[#This Row],[33kV_OG1_Im]]-EC119)*1&lt;0,0,(RD[[#This Row],[33kV_OG1_Im]]-EC119)*1)</f>
        <v>0</v>
      </c>
      <c r="EU120" s="146" t="str">
        <f>IF((RD[[#This Row],[132kV_TX1_EX]]-ED119)*720&lt;=0,"",(RD[[#This Row],[132kV_TX1_EX]]-ED119)*720)</f>
        <v/>
      </c>
      <c r="EV120" s="242">
        <f>IF((RD[[#This Row],[132 kV_Tx1_Im]]-EE119)*800000&lt;=0,0,(RD[[#This Row],[132 kV_Tx1_Im]]-EE119)*800000)</f>
        <v>0</v>
      </c>
      <c r="EW120" s="242">
        <f>IF((RD[[#This Row],[132kV_L1_Ex]]-EF119)*1600000&lt;=0,0,(RD[[#This Row],[132kV_L1_Ex]]-EF119)*1600000)</f>
        <v>0</v>
      </c>
      <c r="EX120" s="146">
        <f>IF((RD[[#This Row],[132kV_L1_Im]]-EG119)*720&lt;=0,0,(RD[[#This Row],[132kV_L1_Im]]-EG119)*720)</f>
        <v>0</v>
      </c>
      <c r="EY120" s="242">
        <f>IFERROR(RD[[#This Row],[33kV_OG1_Ex (MWh)]]+RD[[#This Row],[33kV_OG1_Im (MWh)]],"")</f>
        <v>0</v>
      </c>
      <c r="EZ120" s="148">
        <f>RD[[#This Row],[33kV_OG1_Ex (MWh)]]-RD[[#This Row],[33kV_OG1_Im (MWh)]]</f>
        <v>0</v>
      </c>
      <c r="FA120" s="148">
        <f>IFERROR(RD[[#This Row],[132kV_L1_Ex(MWh)]]-RD[[#This Row],[132kV_L1_Im(MWh)]],"")</f>
        <v>0</v>
      </c>
      <c r="FB120" s="297" t="str">
        <f>IFERROR(RD[[#This Row],[33kV_Ex(MWh)]]/RD[[#This Row],[Inv Total Gneration (MWh)]]-1,"")</f>
        <v/>
      </c>
      <c r="FC120" s="243">
        <f>IFERROR((RD[[#This Row],[Sunset Time (POA&lt;20 W/m2)]]-RD[[#This Row],[Sunrise Time (POA&gt;20 W/m2)]])*24,0)</f>
        <v>0</v>
      </c>
      <c r="FD120" s="244"/>
      <c r="FE120"/>
      <c r="FG120" s="144" t="str">
        <f>IFERROR(RD[[#This Row],[E_AC (WPR)]]/RD[[#This Row],[E_DC (WPR)]],"")</f>
        <v/>
      </c>
    </row>
    <row r="121" spans="1:163">
      <c r="A121" s="133">
        <f t="shared" si="167"/>
        <v>45861</v>
      </c>
      <c r="B121" s="138">
        <f>YEAR(RD[[#This Row],[Date]])+IF(MONTH(RD[[#This Row],[Date]])&gt;=4,1,0)</f>
        <v>2026</v>
      </c>
      <c r="C121" s="138">
        <f>YEAR(RD[[#This Row],[Date]])</f>
        <v>2025</v>
      </c>
      <c r="D121" s="139">
        <f t="shared" ref="D121:D135" si="170">A121-DAY(A121)+1</f>
        <v>45839</v>
      </c>
      <c r="E121" s="138">
        <f>DAY(EOMONTH(RD[[#This Row],[Date]],0))</f>
        <v>31</v>
      </c>
      <c r="F121" s="152"/>
      <c r="G121" s="162"/>
      <c r="H121" s="124"/>
      <c r="I121" s="268"/>
      <c r="J121" s="124"/>
      <c r="K121" s="124"/>
      <c r="L121" s="124"/>
      <c r="M121" s="124"/>
      <c r="N121" s="124"/>
      <c r="O121" s="124"/>
      <c r="P121" s="124"/>
      <c r="Q121" s="124"/>
      <c r="R121" s="124"/>
      <c r="S121" s="266"/>
      <c r="T121" s="124"/>
      <c r="U121" s="124"/>
      <c r="V121" s="124"/>
      <c r="W121" s="124"/>
      <c r="X121" s="294"/>
      <c r="Y121" s="203"/>
      <c r="Z121" s="203"/>
      <c r="AA121" s="203"/>
      <c r="AB121" s="294"/>
      <c r="AC121" s="203"/>
      <c r="AD121" s="203"/>
      <c r="AE121" s="203"/>
      <c r="AF121" s="294"/>
      <c r="AG121" s="203"/>
      <c r="AH121" s="203"/>
      <c r="AI121" s="294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  <c r="BQ121" s="142"/>
      <c r="BR121" s="142"/>
      <c r="BS121" s="142"/>
      <c r="BT121" s="142"/>
      <c r="BU121" s="142"/>
      <c r="BV121" s="203"/>
      <c r="BW121" s="203"/>
      <c r="BX121" s="203"/>
      <c r="BY121" s="203"/>
      <c r="BZ121" s="142"/>
      <c r="CA121" s="142"/>
      <c r="CB121" s="142"/>
      <c r="CC121" s="142"/>
      <c r="CD121" s="295"/>
      <c r="CE121" s="59"/>
      <c r="CF121" s="295"/>
      <c r="CG121" s="206"/>
      <c r="CH121" s="295"/>
      <c r="CI121" s="206"/>
      <c r="CJ121" s="296"/>
      <c r="CK121" s="59"/>
      <c r="CL121" s="295"/>
      <c r="CM121" s="206"/>
      <c r="CN121" s="295"/>
      <c r="CO121" s="206"/>
      <c r="CP121" s="295"/>
      <c r="CQ121" s="206"/>
      <c r="CR121" s="295"/>
      <c r="CS121" s="59"/>
      <c r="CT121" s="295"/>
      <c r="CU121" s="206"/>
      <c r="CV121" s="295"/>
      <c r="CW121" s="258"/>
      <c r="CX121" s="204" t="str">
        <f>IFERROR(AVERAGEIF(RD[[#This Row],[IS1POA1 (KWh/m2)]:[IS7POA2 (KWh/m2)]],"&lt;&gt;0",RD[[#This Row],[IS1POA1 (KWh/m2)]:[IS7POA2 (KWh/m2)]]),"")</f>
        <v/>
      </c>
      <c r="CY121" s="204" t="str">
        <f>IFERROR(AVERAGEIF(RD[[#This Row],[IS1GHI1 (KWh/m2)]:[IS7GHI2 (KWh/m2)]],"&lt;&gt;0",RD[[#This Row],[IS1GHI1 (KWh/m2)]:[IS7GHI2 (KWh/m2)]]),"")</f>
        <v/>
      </c>
      <c r="CZ121" s="204" t="str">
        <f>IFERROR(AVERAGEIF(RD[[#This Row],[IS1POA_BS1 (KWh/m2)]:[IS7POA_BS2 (KWh/m2)]],"&lt;&gt;0",RD[[#This Row],[IS1POA_BS1 (KWh/m2)]:[IS7POA_BS2 (KWh/m2)]]),"")</f>
        <v/>
      </c>
      <c r="DA121" s="204" t="str">
        <f>IFERROR(AVERAGEIF(RD[[#This Row],[IS1GHI_BS1 (KWh/m2)]:[IS1GHI_BS1 (KWh/m2)2]],"&lt;&gt;0",RD[[#This Row],[IS1GHI_BS1 (KWh/m2)]:[IS1GHI_BS1 (KWh/m2)2]]),"")</f>
        <v/>
      </c>
      <c r="DB121" s="204" t="str">
        <f>IFERROR(AVERAGEIF(RD[[#This Row],[IS1AT1 (°C)]:[IS7AT2 (°C)]],"&lt;&gt;0",RD[[#This Row],[IS1AT1 (°C)]:[IS7AT2 (°C)]]),"")</f>
        <v/>
      </c>
      <c r="DC121" s="204" t="str">
        <f>IFERROR(AVERAGEIF(RD[[#This Row],[IS1MT1 (°C)]:[IS7MT2 (°C)]],"&lt;&gt;0",RD[[#This Row],[IS1MT1 (°C)]:[IS7MT2 (°C)]]),"")</f>
        <v/>
      </c>
      <c r="DD121" s="204" t="str">
        <f>IFERROR(AVERAGEIF(RD[[#This Row],[IS1RH1 (%)]:[IS7RH2 (%)]],"&lt;&gt;0",RD[[#This Row],[IS1RH1 (%)]:[IS7RH2 (%)]]),"")</f>
        <v/>
      </c>
      <c r="DE121" s="204" t="str">
        <f>IFERROR(AVERAGEIF(RD[[#This Row],[IS1Rain1 (mm)]:[IS7Rain2 (mm)]],"&lt;&gt;0",RD[[#This Row],[IS1Rain1 (mm)]:[IS7Rain2 (mm)]]),"")</f>
        <v/>
      </c>
      <c r="DF121" s="204" t="str">
        <f>IFERROR(AVERAGEIF(RD[[#This Row],[WS_Solar1_Avg (m/s)]:[IS7_WS_Solar1_Avg (m/s)]],"&lt;&gt;0",RD[[#This Row],[WS_Solar1_Avg (m/s)]:[IS7_WS_Solar1_Avg (m/s)]]),"")</f>
        <v/>
      </c>
      <c r="DG121" s="204" t="str">
        <f>IFERROR(AVERAGEIF(RD[[#This Row],[WS_Solar1_Max (m/s)]:[IS7_WS_Solar1_Max (m/s)]],"&lt;&gt;0",RD[[#This Row],[WS_Solar1_Max (m/s)]:[IS7_WS_Solar1_Max (m/s)]]),"")</f>
        <v/>
      </c>
      <c r="DH121" s="204">
        <f>SUM(RD[[#This Row],[IS1Inv1M1]:[IS4Inv4M2]])</f>
        <v>0</v>
      </c>
      <c r="DI121" s="205">
        <f>SUM(RD[[#This Row],[IS7Inv1M1]]+RD[[#This Row],[IS7Inv2M1]])</f>
        <v>0</v>
      </c>
      <c r="DJ121" s="204">
        <f>SUM(RD[[#This Row],[IS5Inv1M1]:[IS5Inv2M2]])</f>
        <v>0</v>
      </c>
      <c r="DK121" s="204">
        <f>SUM(RD[[#This Row],[IS8Inv1M1]:[IS9Inv2M2]])</f>
        <v>0</v>
      </c>
      <c r="DL121" s="60">
        <f>SUM(RD[[#This Row],[IS6Inv1M1]:[IS6Inv2M2]])</f>
        <v>0</v>
      </c>
      <c r="DM121" s="286">
        <f>SUM(RD[[#This Row],[IS10Inv1M1]:[IS11Inv1M4]],RD[[#This Row],[IS14Inv1M1]:[IS14Inv2M4]])</f>
        <v>0</v>
      </c>
      <c r="DN121" s="286">
        <f>SUM(RD[[#This Row],[IS12Inv1M1]:[IS12Inv1M4]])</f>
        <v>0</v>
      </c>
      <c r="DO121" s="286">
        <f>SUM(RD[[#This Row],[IS13Inv1M1]:[IS13Inv2M2]])</f>
        <v>0</v>
      </c>
      <c r="DP121" s="204">
        <f>SUM(RD[[#This Row],[O2R15]:[O2R26]])</f>
        <v>0</v>
      </c>
      <c r="DQ121" s="164"/>
      <c r="DR121" s="168"/>
      <c r="DS121" s="164"/>
      <c r="DT121" s="164"/>
      <c r="DU121" s="168"/>
      <c r="DV121" s="168"/>
      <c r="DW121" s="164"/>
      <c r="DX121" s="134"/>
      <c r="DY121" s="134"/>
      <c r="DZ121" s="134"/>
      <c r="EA121" s="134"/>
      <c r="EB121" s="241"/>
      <c r="EC121" s="315"/>
      <c r="ED121" s="315"/>
      <c r="EE121" s="241"/>
      <c r="EF121" s="315"/>
      <c r="EG121" s="240"/>
      <c r="EH121" s="146">
        <f>IF((RD[[#This Row],[33 kV_F3_Ex
Incomer1]]-DQ120)*1000&lt;0,0,(RD[[#This Row],[33 kV_F3_Ex
Incomer1]]-DQ120)*1000)</f>
        <v>0</v>
      </c>
      <c r="EI121" s="242"/>
      <c r="EJ121" s="146"/>
      <c r="EK121" s="146"/>
      <c r="EL121" s="146"/>
      <c r="EM121" s="146"/>
      <c r="EN121" s="146"/>
      <c r="EO121" s="146"/>
      <c r="EP121" s="146">
        <f>IF((RD[[#This Row],[33 kV_F7_Ex
Incomer5]]-DY120)*1000&lt;0,0,(RD[[#This Row],[33 kV_F7_Ex
Incomer5]]-DY120)*1000)</f>
        <v>0</v>
      </c>
      <c r="EQ121" s="146">
        <f>IF((RD[[#This Row],[33 kV_F7_Im
Incomer5]]-DZ120)*1000&lt;0,0,(RD[[#This Row],[33 kV_F7_Im
Incomer5]]-DZ120)*1000)</f>
        <v>0</v>
      </c>
      <c r="ER121" s="146"/>
      <c r="ES121" s="158">
        <f>IF((RD[[#This Row],[33kV_OG1_Ex_]]-EB120)*1&lt;0,0,(RD[[#This Row],[33kV_OG1_Ex_]]-EB120)*1)</f>
        <v>0</v>
      </c>
      <c r="ET121" s="242">
        <f>IFERROR(IF((RD[[#This Row],[33kV_OG1_Im]]-EC120)*1000&lt;=0,0,(RD[[#This Row],[33kV_OG1_Im]]-EC120)*1000),0)</f>
        <v>0</v>
      </c>
      <c r="EU121" s="146" t="str">
        <f>IF((RD[[#This Row],[132kV_TX1_EX]]-ED120)*720&lt;=0,"",(RD[[#This Row],[132kV_TX1_EX]]-ED120)*720)</f>
        <v/>
      </c>
      <c r="EV121" s="242">
        <f>IF((RD[[#This Row],[132 kV_Tx1_Im]]-EE120)*800000&lt;=0,0,(RD[[#This Row],[132 kV_Tx1_Im]]-EE120)*800000)</f>
        <v>0</v>
      </c>
      <c r="EW121" s="242">
        <f>IF((RD[[#This Row],[132kV_L1_Ex]]-EF120)*1600000&lt;=0,0,(RD[[#This Row],[132kV_L1_Ex]]-EF120)*1600000)</f>
        <v>0</v>
      </c>
      <c r="EX121" s="146">
        <f>IF((RD[[#This Row],[132kV_L1_Im]]-EG120)*720&lt;=0,0,(RD[[#This Row],[132kV_L1_Im]]-EG120)*720)</f>
        <v>0</v>
      </c>
      <c r="EY121" s="242">
        <f>IFERROR(RD[[#This Row],[33kV_OG1_Ex (MWh)]]+RD[[#This Row],[33kV_OG1_Im (MWh)]],"")</f>
        <v>0</v>
      </c>
      <c r="EZ121" s="148">
        <f>RD[[#This Row],[33kV_OG1_Ex (MWh)]]-RD[[#This Row],[33kV_OG1_Im (MWh)]]</f>
        <v>0</v>
      </c>
      <c r="FA121" s="148">
        <f>IFERROR(RD[[#This Row],[132kV_L1_Ex(MWh)]]-RD[[#This Row],[132kV_L1_Im(MWh)]],"")</f>
        <v>0</v>
      </c>
      <c r="FB121" s="297" t="str">
        <f>IFERROR(RD[[#This Row],[33kV_Ex(MWh)]]/RD[[#This Row],[Inv Total Gneration (MWh)]]-1,"")</f>
        <v/>
      </c>
      <c r="FC121" s="243">
        <f>IFERROR((RD[[#This Row],[Sunset Time (POA&lt;20 W/m2)]]-RD[[#This Row],[Sunrise Time (POA&gt;20 W/m2)]])*24,0)</f>
        <v>0</v>
      </c>
      <c r="FD121" s="244"/>
      <c r="FE121"/>
      <c r="FG121" s="144" t="str">
        <f>IFERROR(RD[[#This Row],[E_AC (WPR)]]/RD[[#This Row],[E_DC (WPR)]],"")</f>
        <v/>
      </c>
    </row>
    <row r="122" spans="1:163">
      <c r="A122" s="133">
        <f t="shared" si="167"/>
        <v>45862</v>
      </c>
      <c r="B122" s="138">
        <f>YEAR(RD[[#This Row],[Date]])+IF(MONTH(RD[[#This Row],[Date]])&gt;=4,1,0)</f>
        <v>2026</v>
      </c>
      <c r="C122" s="138">
        <f>YEAR(RD[[#This Row],[Date]])</f>
        <v>2025</v>
      </c>
      <c r="D122" s="139">
        <f t="shared" si="170"/>
        <v>45839</v>
      </c>
      <c r="E122" s="138">
        <f>DAY(EOMONTH(RD[[#This Row],[Date]],0))</f>
        <v>31</v>
      </c>
      <c r="F122" s="152"/>
      <c r="G122" s="162"/>
      <c r="H122" s="124"/>
      <c r="I122" s="268"/>
      <c r="J122" s="124"/>
      <c r="K122" s="124"/>
      <c r="L122" s="124"/>
      <c r="M122" s="124"/>
      <c r="N122" s="124"/>
      <c r="O122" s="124"/>
      <c r="P122" s="124"/>
      <c r="Q122" s="124"/>
      <c r="R122" s="124"/>
      <c r="S122" s="266"/>
      <c r="T122" s="124"/>
      <c r="U122" s="124"/>
      <c r="V122" s="124"/>
      <c r="W122" s="124"/>
      <c r="X122" s="294"/>
      <c r="Y122" s="203"/>
      <c r="Z122" s="203"/>
      <c r="AA122" s="203"/>
      <c r="AB122" s="294"/>
      <c r="AC122" s="203"/>
      <c r="AD122" s="203"/>
      <c r="AE122" s="203"/>
      <c r="AF122" s="294"/>
      <c r="AG122" s="203"/>
      <c r="AH122" s="203"/>
      <c r="AI122" s="294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  <c r="BA122" s="142"/>
      <c r="BB122" s="142"/>
      <c r="BC122" s="142"/>
      <c r="BD122" s="142"/>
      <c r="BE122" s="142"/>
      <c r="BF122" s="142"/>
      <c r="BG122" s="142"/>
      <c r="BH122" s="142"/>
      <c r="BI122" s="142"/>
      <c r="BJ122" s="142"/>
      <c r="BK122" s="142"/>
      <c r="BL122" s="142"/>
      <c r="BM122" s="142"/>
      <c r="BN122" s="142"/>
      <c r="BO122" s="142"/>
      <c r="BP122" s="142"/>
      <c r="BQ122" s="142"/>
      <c r="BR122" s="142"/>
      <c r="BS122" s="142"/>
      <c r="BT122" s="142"/>
      <c r="BU122" s="142"/>
      <c r="BV122" s="203"/>
      <c r="BW122" s="203"/>
      <c r="BX122" s="203"/>
      <c r="BY122" s="203"/>
      <c r="BZ122" s="142"/>
      <c r="CA122" s="142"/>
      <c r="CB122" s="142"/>
      <c r="CC122" s="142"/>
      <c r="CD122" s="295"/>
      <c r="CE122" s="59"/>
      <c r="CF122" s="295"/>
      <c r="CG122" s="206"/>
      <c r="CH122" s="295"/>
      <c r="CI122" s="206"/>
      <c r="CJ122" s="296"/>
      <c r="CK122" s="59"/>
      <c r="CL122" s="295"/>
      <c r="CM122" s="206"/>
      <c r="CN122" s="295"/>
      <c r="CO122" s="206"/>
      <c r="CP122" s="295"/>
      <c r="CQ122" s="206"/>
      <c r="CR122" s="295"/>
      <c r="CS122" s="59"/>
      <c r="CT122" s="295"/>
      <c r="CU122" s="206"/>
      <c r="CV122" s="295"/>
      <c r="CW122" s="258"/>
      <c r="CX122" s="204" t="str">
        <f>IFERROR(AVERAGEIF(RD[[#This Row],[IS1POA1 (KWh/m2)]:[IS7POA2 (KWh/m2)]],"&lt;&gt;0",RD[[#This Row],[IS1POA1 (KWh/m2)]:[IS7POA2 (KWh/m2)]]),"")</f>
        <v/>
      </c>
      <c r="CY122" s="204" t="str">
        <f>IFERROR(AVERAGEIF(RD[[#This Row],[IS1GHI1 (KWh/m2)]:[IS7GHI2 (KWh/m2)]],"&lt;&gt;0",RD[[#This Row],[IS1GHI1 (KWh/m2)]:[IS7GHI2 (KWh/m2)]]),"")</f>
        <v/>
      </c>
      <c r="CZ122" s="204" t="str">
        <f>IFERROR(AVERAGEIF(RD[[#This Row],[IS1POA_BS1 (KWh/m2)]:[IS7POA_BS2 (KWh/m2)]],"&lt;&gt;0",RD[[#This Row],[IS1POA_BS1 (KWh/m2)]:[IS7POA_BS2 (KWh/m2)]]),"")</f>
        <v/>
      </c>
      <c r="DA122" s="204" t="str">
        <f>IFERROR(AVERAGEIF(RD[[#This Row],[IS1GHI_BS1 (KWh/m2)]:[IS1GHI_BS1 (KWh/m2)2]],"&lt;&gt;0",RD[[#This Row],[IS1GHI_BS1 (KWh/m2)]:[IS1GHI_BS1 (KWh/m2)2]]),"")</f>
        <v/>
      </c>
      <c r="DB122" s="204" t="str">
        <f>IFERROR(AVERAGEIF(RD[[#This Row],[IS1AT1 (°C)]:[IS7AT2 (°C)]],"&lt;&gt;0",RD[[#This Row],[IS1AT1 (°C)]:[IS7AT2 (°C)]]),"")</f>
        <v/>
      </c>
      <c r="DC122" s="204" t="str">
        <f>IFERROR(AVERAGEIF(RD[[#This Row],[IS1MT1 (°C)]:[IS7MT2 (°C)]],"&lt;&gt;0",RD[[#This Row],[IS1MT1 (°C)]:[IS7MT2 (°C)]]),"")</f>
        <v/>
      </c>
      <c r="DD122" s="204" t="str">
        <f>IFERROR(AVERAGEIF(RD[[#This Row],[IS1RH1 (%)]:[IS7RH2 (%)]],"&lt;&gt;0",RD[[#This Row],[IS1RH1 (%)]:[IS7RH2 (%)]]),"")</f>
        <v/>
      </c>
      <c r="DE122" s="204" t="str">
        <f>IFERROR(AVERAGEIF(RD[[#This Row],[IS1Rain1 (mm)]:[IS7Rain2 (mm)]],"&lt;&gt;0",RD[[#This Row],[IS1Rain1 (mm)]:[IS7Rain2 (mm)]]),"")</f>
        <v/>
      </c>
      <c r="DF122" s="204" t="str">
        <f>IFERROR(AVERAGEIF(RD[[#This Row],[WS_Solar1_Avg (m/s)]:[IS7_WS_Solar1_Avg (m/s)]],"&lt;&gt;0",RD[[#This Row],[WS_Solar1_Avg (m/s)]:[IS7_WS_Solar1_Avg (m/s)]]),"")</f>
        <v/>
      </c>
      <c r="DG122" s="204" t="str">
        <f>IFERROR(AVERAGEIF(RD[[#This Row],[WS_Solar1_Max (m/s)]:[IS7_WS_Solar1_Max (m/s)]],"&lt;&gt;0",RD[[#This Row],[WS_Solar1_Max (m/s)]:[IS7_WS_Solar1_Max (m/s)]]),"")</f>
        <v/>
      </c>
      <c r="DH122" s="204">
        <f>SUM(RD[[#This Row],[IS1Inv1M1]:[IS4Inv4M2]])</f>
        <v>0</v>
      </c>
      <c r="DI122" s="205">
        <f>SUM(RD[[#This Row],[IS7Inv1M1]]+RD[[#This Row],[IS7Inv2M1]])</f>
        <v>0</v>
      </c>
      <c r="DJ122" s="204">
        <f>SUM(RD[[#This Row],[IS5Inv1M1]:[IS5Inv2M2]])</f>
        <v>0</v>
      </c>
      <c r="DK122" s="204">
        <f>SUM(RD[[#This Row],[IS8Inv1M1]:[IS9Inv2M2]])</f>
        <v>0</v>
      </c>
      <c r="DL122" s="60">
        <f>SUM(RD[[#This Row],[IS6Inv1M1]:[IS6Inv2M2]])</f>
        <v>0</v>
      </c>
      <c r="DM122" s="286">
        <f>SUM(RD[[#This Row],[IS10Inv1M1]:[IS11Inv1M4]],RD[[#This Row],[IS14Inv1M1]:[IS14Inv2M4]])</f>
        <v>0</v>
      </c>
      <c r="DN122" s="286">
        <f>SUM(RD[[#This Row],[IS12Inv1M1]:[IS12Inv1M4]])</f>
        <v>0</v>
      </c>
      <c r="DO122" s="286">
        <f>SUM(RD[[#This Row],[IS13Inv1M1]:[IS13Inv2M2]])</f>
        <v>0</v>
      </c>
      <c r="DP122" s="204">
        <f>SUM(RD[[#This Row],[O2R15]:[O2R26]])</f>
        <v>0</v>
      </c>
      <c r="DQ122" s="164"/>
      <c r="DR122" s="168"/>
      <c r="DS122" s="164"/>
      <c r="DT122" s="164"/>
      <c r="DU122" s="168"/>
      <c r="DV122" s="168"/>
      <c r="DW122" s="164"/>
      <c r="DX122" s="134"/>
      <c r="DY122" s="134"/>
      <c r="DZ122" s="134"/>
      <c r="EA122" s="134"/>
      <c r="EB122" s="315"/>
      <c r="EC122" s="315"/>
      <c r="ED122" s="315"/>
      <c r="EE122" s="241"/>
      <c r="EF122" s="315"/>
      <c r="EG122" s="240"/>
      <c r="EH122" s="146">
        <f>IF((RD[[#This Row],[33 kV_F3_Ex
Incomer1]]-DQ121)*1000&lt;0,0,(RD[[#This Row],[33 kV_F3_Ex
Incomer1]]-DQ121)*1000)</f>
        <v>0</v>
      </c>
      <c r="EI122" s="242"/>
      <c r="EJ122" s="146"/>
      <c r="EK122" s="146"/>
      <c r="EL122" s="146"/>
      <c r="EM122" s="146"/>
      <c r="EN122" s="146"/>
      <c r="EO122" s="146"/>
      <c r="EP122" s="146">
        <f>IF((RD[[#This Row],[33 kV_F7_Ex
Incomer5]]-DY121)*1000&lt;0,0,(RD[[#This Row],[33 kV_F7_Ex
Incomer5]]-DY121)*1000)</f>
        <v>0</v>
      </c>
      <c r="EQ122" s="146">
        <f>IF((RD[[#This Row],[33 kV_F7_Im
Incomer5]]-DZ121)*1000&lt;0,0,(RD[[#This Row],[33 kV_F7_Im
Incomer5]]-DZ121)*1000)</f>
        <v>0</v>
      </c>
      <c r="ER122" s="146"/>
      <c r="ES122" s="158">
        <f>IF((RD[[#This Row],[33kV_OG1_Ex_]]-EB121)*1&lt;0,0,(RD[[#This Row],[33kV_OG1_Ex_]]-EB121)*1)</f>
        <v>0</v>
      </c>
      <c r="ET122" s="242">
        <f>IFERROR(IF((RD[[#This Row],[33kV_OG1_Im]]-EC121)*1000&lt;=0,0,(RD[[#This Row],[33kV_OG1_Im]]-EC121)*1000),0)</f>
        <v>0</v>
      </c>
      <c r="EU122" s="146" t="str">
        <f>IF((RD[[#This Row],[132kV_TX1_EX]]-ED121)*720&lt;=0,"",(RD[[#This Row],[132kV_TX1_EX]]-ED121)*720)</f>
        <v/>
      </c>
      <c r="EV122" s="242">
        <f>IF((RD[[#This Row],[132 kV_Tx1_Im]]-EE121)*800000&lt;=0,0,(RD[[#This Row],[132 kV_Tx1_Im]]-EE121)*800000)</f>
        <v>0</v>
      </c>
      <c r="EW122" s="242">
        <f>IF((RD[[#This Row],[132kV_L1_Ex]]-EF121)*1600000&lt;=0,0,(RD[[#This Row],[132kV_L1_Ex]]-EF121)*1600000)</f>
        <v>0</v>
      </c>
      <c r="EX122" s="146">
        <f>IF((RD[[#This Row],[132kV_L1_Im]]-EG121)*720&lt;=0,0,(RD[[#This Row],[132kV_L1_Im]]-EG121)*720)</f>
        <v>0</v>
      </c>
      <c r="EY122" s="242">
        <f>IFERROR(RD[[#This Row],[33kV_OG1_Ex (MWh)]]+RD[[#This Row],[33kV_OG1_Im (MWh)]],"")</f>
        <v>0</v>
      </c>
      <c r="EZ122" s="148">
        <f>RD[[#This Row],[33kV_OG1_Ex (MWh)]]-RD[[#This Row],[33kV_OG1_Im (MWh)]]</f>
        <v>0</v>
      </c>
      <c r="FA122" s="148">
        <f>IFERROR(RD[[#This Row],[132kV_L1_Ex(MWh)]]-RD[[#This Row],[132kV_L1_Im(MWh)]],"")</f>
        <v>0</v>
      </c>
      <c r="FB122" s="297" t="str">
        <f>IFERROR(RD[[#This Row],[33kV_Ex(MWh)]]/RD[[#This Row],[Inv Total Gneration (MWh)]]-1,"")</f>
        <v/>
      </c>
      <c r="FC122" s="243">
        <f>IFERROR((RD[[#This Row],[Sunset Time (POA&lt;20 W/m2)]]-RD[[#This Row],[Sunrise Time (POA&gt;20 W/m2)]])*24,0)</f>
        <v>0</v>
      </c>
      <c r="FD122" s="244"/>
      <c r="FE122"/>
      <c r="FG122" s="144" t="str">
        <f>IFERROR(RD[[#This Row],[E_AC (WPR)]]/RD[[#This Row],[E_DC (WPR)]],"")</f>
        <v/>
      </c>
    </row>
    <row r="123" spans="1:163">
      <c r="A123" s="133">
        <f t="shared" si="167"/>
        <v>45863</v>
      </c>
      <c r="B123" s="138">
        <f>YEAR(RD[[#This Row],[Date]])+IF(MONTH(RD[[#This Row],[Date]])&gt;=4,1,0)</f>
        <v>2026</v>
      </c>
      <c r="C123" s="138">
        <f>YEAR(RD[[#This Row],[Date]])</f>
        <v>2025</v>
      </c>
      <c r="D123" s="139">
        <f t="shared" si="170"/>
        <v>45839</v>
      </c>
      <c r="E123" s="138">
        <f>DAY(EOMONTH(RD[[#This Row],[Date]],0))</f>
        <v>31</v>
      </c>
      <c r="F123" s="152"/>
      <c r="G123" s="162"/>
      <c r="H123" s="124"/>
      <c r="I123" s="268"/>
      <c r="J123" s="124"/>
      <c r="K123" s="124"/>
      <c r="L123" s="124"/>
      <c r="M123" s="124"/>
      <c r="N123" s="124"/>
      <c r="O123" s="124"/>
      <c r="P123" s="124"/>
      <c r="Q123" s="124"/>
      <c r="R123" s="124"/>
      <c r="S123" s="266"/>
      <c r="T123" s="124"/>
      <c r="U123" s="124"/>
      <c r="V123" s="124"/>
      <c r="W123" s="124"/>
      <c r="X123" s="294"/>
      <c r="Y123" s="203"/>
      <c r="Z123" s="203"/>
      <c r="AA123" s="203"/>
      <c r="AB123" s="294"/>
      <c r="AC123" s="203"/>
      <c r="AD123" s="203"/>
      <c r="AE123" s="203"/>
      <c r="AF123" s="294"/>
      <c r="AG123" s="203"/>
      <c r="AH123" s="203"/>
      <c r="AI123" s="294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  <c r="BA123" s="142"/>
      <c r="BB123" s="142"/>
      <c r="BC123" s="142"/>
      <c r="BD123" s="142"/>
      <c r="BE123" s="142"/>
      <c r="BF123" s="142"/>
      <c r="BG123" s="142"/>
      <c r="BH123" s="142"/>
      <c r="BI123" s="142"/>
      <c r="BJ123" s="142"/>
      <c r="BK123" s="142"/>
      <c r="BL123" s="142"/>
      <c r="BM123" s="142"/>
      <c r="BN123" s="142"/>
      <c r="BO123" s="142"/>
      <c r="BP123" s="142"/>
      <c r="BQ123" s="142"/>
      <c r="BR123" s="142"/>
      <c r="BS123" s="142"/>
      <c r="BT123" s="142"/>
      <c r="BU123" s="142"/>
      <c r="BV123" s="203"/>
      <c r="BW123" s="203"/>
      <c r="BX123" s="203"/>
      <c r="BY123" s="203"/>
      <c r="BZ123" s="142"/>
      <c r="CA123" s="142"/>
      <c r="CB123" s="142"/>
      <c r="CC123" s="142"/>
      <c r="CD123" s="295"/>
      <c r="CE123" s="59"/>
      <c r="CF123" s="295"/>
      <c r="CG123" s="206"/>
      <c r="CH123" s="295"/>
      <c r="CI123" s="206"/>
      <c r="CJ123" s="296"/>
      <c r="CK123" s="59"/>
      <c r="CL123" s="295"/>
      <c r="CM123" s="206"/>
      <c r="CN123" s="295"/>
      <c r="CO123" s="206"/>
      <c r="CP123" s="295"/>
      <c r="CQ123" s="206"/>
      <c r="CR123" s="295"/>
      <c r="CS123" s="59"/>
      <c r="CT123" s="295"/>
      <c r="CU123" s="206"/>
      <c r="CV123" s="295"/>
      <c r="CW123" s="258"/>
      <c r="CX123" s="204" t="str">
        <f>IFERROR(AVERAGEIF(RD[[#This Row],[IS1POA1 (KWh/m2)]:[IS7POA2 (KWh/m2)]],"&lt;&gt;0",RD[[#This Row],[IS1POA1 (KWh/m2)]:[IS7POA2 (KWh/m2)]]),"")</f>
        <v/>
      </c>
      <c r="CY123" s="204" t="str">
        <f>IFERROR(AVERAGEIF(RD[[#This Row],[IS1GHI1 (KWh/m2)]:[IS7GHI2 (KWh/m2)]],"&lt;&gt;0",RD[[#This Row],[IS1GHI1 (KWh/m2)]:[IS7GHI2 (KWh/m2)]]),"")</f>
        <v/>
      </c>
      <c r="CZ123" s="204" t="str">
        <f>IFERROR(AVERAGEIF(RD[[#This Row],[IS1POA_BS1 (KWh/m2)]:[IS7POA_BS2 (KWh/m2)]],"&lt;&gt;0",RD[[#This Row],[IS1POA_BS1 (KWh/m2)]:[IS7POA_BS2 (KWh/m2)]]),"")</f>
        <v/>
      </c>
      <c r="DA123" s="204" t="str">
        <f>IFERROR(AVERAGEIF(RD[[#This Row],[IS1GHI_BS1 (KWh/m2)]:[IS1GHI_BS1 (KWh/m2)2]],"&lt;&gt;0",RD[[#This Row],[IS1GHI_BS1 (KWh/m2)]:[IS1GHI_BS1 (KWh/m2)2]]),"")</f>
        <v/>
      </c>
      <c r="DB123" s="204" t="str">
        <f>IFERROR(AVERAGEIF(RD[[#This Row],[IS1AT1 (°C)]:[IS7AT2 (°C)]],"&lt;&gt;0",RD[[#This Row],[IS1AT1 (°C)]:[IS7AT2 (°C)]]),"")</f>
        <v/>
      </c>
      <c r="DC123" s="204" t="str">
        <f>IFERROR(AVERAGEIF(RD[[#This Row],[IS1MT1 (°C)]:[IS7MT2 (°C)]],"&lt;&gt;0",RD[[#This Row],[IS1MT1 (°C)]:[IS7MT2 (°C)]]),"")</f>
        <v/>
      </c>
      <c r="DD123" s="204" t="str">
        <f>IFERROR(AVERAGEIF(RD[[#This Row],[IS1RH1 (%)]:[IS7RH2 (%)]],"&lt;&gt;0",RD[[#This Row],[IS1RH1 (%)]:[IS7RH2 (%)]]),"")</f>
        <v/>
      </c>
      <c r="DE123" s="204" t="str">
        <f>IFERROR(AVERAGEIF(RD[[#This Row],[IS1Rain1 (mm)]:[IS7Rain2 (mm)]],"&lt;&gt;0",RD[[#This Row],[IS1Rain1 (mm)]:[IS7Rain2 (mm)]]),"")</f>
        <v/>
      </c>
      <c r="DF123" s="204" t="str">
        <f>IFERROR(AVERAGEIF(RD[[#This Row],[WS_Solar1_Avg (m/s)]:[IS7_WS_Solar1_Avg (m/s)]],"&lt;&gt;0",RD[[#This Row],[WS_Solar1_Avg (m/s)]:[IS7_WS_Solar1_Avg (m/s)]]),"")</f>
        <v/>
      </c>
      <c r="DG123" s="204" t="str">
        <f>IFERROR(AVERAGEIF(RD[[#This Row],[WS_Solar1_Max (m/s)]:[IS7_WS_Solar1_Max (m/s)]],"&lt;&gt;0",RD[[#This Row],[WS_Solar1_Max (m/s)]:[IS7_WS_Solar1_Max (m/s)]]),"")</f>
        <v/>
      </c>
      <c r="DH123" s="204">
        <f>SUM(RD[[#This Row],[IS1Inv1M1]:[IS4Inv4M2]])</f>
        <v>0</v>
      </c>
      <c r="DI123" s="205">
        <f>SUM(RD[[#This Row],[IS7Inv1M1]]+RD[[#This Row],[IS7Inv2M1]])</f>
        <v>0</v>
      </c>
      <c r="DJ123" s="204">
        <f>SUM(RD[[#This Row],[IS5Inv1M1]:[IS5Inv2M2]])</f>
        <v>0</v>
      </c>
      <c r="DK123" s="204">
        <f>SUM(RD[[#This Row],[IS8Inv1M1]:[IS9Inv2M2]])</f>
        <v>0</v>
      </c>
      <c r="DL123" s="60">
        <f>SUM(RD[[#This Row],[IS6Inv1M1]:[IS6Inv2M2]])</f>
        <v>0</v>
      </c>
      <c r="DM123" s="286">
        <f>SUM(RD[[#This Row],[IS10Inv1M1]:[IS11Inv1M4]],RD[[#This Row],[IS14Inv1M1]:[IS14Inv2M4]])</f>
        <v>0</v>
      </c>
      <c r="DN123" s="286">
        <f>SUM(RD[[#This Row],[IS12Inv1M1]:[IS12Inv1M4]])</f>
        <v>0</v>
      </c>
      <c r="DO123" s="286">
        <f>SUM(RD[[#This Row],[IS13Inv1M1]:[IS13Inv2M2]])</f>
        <v>0</v>
      </c>
      <c r="DP123" s="204">
        <f>SUM(RD[[#This Row],[O2R15]:[O2R26]])</f>
        <v>0</v>
      </c>
      <c r="DQ123" s="164"/>
      <c r="DR123" s="168"/>
      <c r="DS123" s="164"/>
      <c r="DT123" s="164"/>
      <c r="DU123" s="168"/>
      <c r="DV123" s="168"/>
      <c r="DW123" s="164"/>
      <c r="DX123" s="134"/>
      <c r="DY123" s="134"/>
      <c r="DZ123" s="134"/>
      <c r="EA123" s="134"/>
      <c r="EB123" s="315"/>
      <c r="EC123" s="315"/>
      <c r="ED123" s="315"/>
      <c r="EE123" s="241"/>
      <c r="EF123" s="315"/>
      <c r="EG123" s="240"/>
      <c r="EH123" s="146">
        <f>IF((RD[[#This Row],[33 kV_F3_Ex
Incomer1]]-DQ122)*1000&lt;0,0,(RD[[#This Row],[33 kV_F3_Ex
Incomer1]]-DQ122)*1000)</f>
        <v>0</v>
      </c>
      <c r="EI123" s="242"/>
      <c r="EJ123" s="146"/>
      <c r="EK123" s="146"/>
      <c r="EL123" s="146"/>
      <c r="EM123" s="146"/>
      <c r="EN123" s="146"/>
      <c r="EO123" s="146"/>
      <c r="EP123" s="146">
        <f>IF((RD[[#This Row],[33 kV_F7_Ex
Incomer5]]-DY122)*1000&lt;0,0,(RD[[#This Row],[33 kV_F7_Ex
Incomer5]]-DY122)*1000)</f>
        <v>0</v>
      </c>
      <c r="EQ123" s="146">
        <f>IF((RD[[#This Row],[33 kV_F7_Im
Incomer5]]-DZ122)*1000&lt;0,0,(RD[[#This Row],[33 kV_F7_Im
Incomer5]]-DZ122)*1000)</f>
        <v>0</v>
      </c>
      <c r="ER123" s="146"/>
      <c r="ES123" s="158">
        <f>IF((RD[[#This Row],[33kV_OG1_Ex_]]-EB122)*1&lt;0,0,(RD[[#This Row],[33kV_OG1_Ex_]]-EB122)*1)</f>
        <v>0</v>
      </c>
      <c r="ET123" s="242">
        <f>IFERROR(IF((RD[[#This Row],[33kV_OG1_Im]]-EC122)*1000&lt;=0,0,(RD[[#This Row],[33kV_OG1_Im]]-EC122)*1000),0)</f>
        <v>0</v>
      </c>
      <c r="EU123" s="242">
        <f>(RD[[#This Row],[132kV_TX1_EX]]-EE120)</f>
        <v>0</v>
      </c>
      <c r="EV123" s="242">
        <f>IF((RD[[#This Row],[132 kV_Tx1_Im]]-EE122)*800000&lt;=0,0,(RD[[#This Row],[132 kV_Tx1_Im]]-EE122)*800000)</f>
        <v>0</v>
      </c>
      <c r="EW123" s="242">
        <f>IF((RD[[#This Row],[132kV_L1_Ex]]-EF122)*1600000&lt;=0,0,(RD[[#This Row],[132kV_L1_Ex]]-EF122)*1600000)</f>
        <v>0</v>
      </c>
      <c r="EX123" s="146">
        <f>IF((RD[[#This Row],[132kV_L1_Im]]-EG122)*720&lt;=0,0,(RD[[#This Row],[132kV_L1_Im]]-EG122)*720)</f>
        <v>0</v>
      </c>
      <c r="EY123" s="242">
        <f>IFERROR(RD[[#This Row],[33kV_OG1_Ex (MWh)]]+RD[[#This Row],[33kV_OG1_Im (MWh)]],"")</f>
        <v>0</v>
      </c>
      <c r="EZ123" s="148">
        <f>RD[[#This Row],[33kV_OG1_Ex (MWh)]]-RD[[#This Row],[33kV_OG1_Im (MWh)]]</f>
        <v>0</v>
      </c>
      <c r="FA123" s="148">
        <f>IFERROR(RD[[#This Row],[132kV_L1_Ex(MWh)]]-RD[[#This Row],[132kV_L1_Im(MWh)]],"")</f>
        <v>0</v>
      </c>
      <c r="FB123" s="297" t="str">
        <f>IFERROR(RD[[#This Row],[33kV_Ex(MWh)]]/RD[[#This Row],[Inv Total Gneration (MWh)]]-1,"")</f>
        <v/>
      </c>
      <c r="FC123" s="243">
        <f>IFERROR((RD[[#This Row],[Sunset Time (POA&lt;20 W/m2)]]-RD[[#This Row],[Sunrise Time (POA&gt;20 W/m2)]])*24,0)</f>
        <v>0</v>
      </c>
      <c r="FD123" s="244"/>
      <c r="FE123"/>
      <c r="FG123" s="144" t="str">
        <f>IFERROR(RD[[#This Row],[E_AC (WPR)]]/RD[[#This Row],[E_DC (WPR)]],"")</f>
        <v/>
      </c>
    </row>
    <row r="124" spans="1:163">
      <c r="A124" s="133">
        <f t="shared" si="167"/>
        <v>45864</v>
      </c>
      <c r="B124" s="138">
        <f>YEAR(RD[[#This Row],[Date]])+IF(MONTH(RD[[#This Row],[Date]])&gt;=4,1,0)</f>
        <v>2026</v>
      </c>
      <c r="C124" s="138">
        <f>YEAR(RD[[#This Row],[Date]])</f>
        <v>2025</v>
      </c>
      <c r="D124" s="139">
        <f t="shared" si="170"/>
        <v>45839</v>
      </c>
      <c r="E124" s="138">
        <f>DAY(EOMONTH(RD[[#This Row],[Date]],0))</f>
        <v>31</v>
      </c>
      <c r="F124" s="152"/>
      <c r="G124" s="162"/>
      <c r="H124" s="124"/>
      <c r="I124" s="268"/>
      <c r="J124" s="124"/>
      <c r="K124" s="124"/>
      <c r="L124" s="124"/>
      <c r="M124" s="124"/>
      <c r="N124" s="124"/>
      <c r="O124" s="124"/>
      <c r="P124" s="124"/>
      <c r="Q124" s="124"/>
      <c r="R124" s="124"/>
      <c r="S124" s="266"/>
      <c r="T124" s="124"/>
      <c r="U124" s="124"/>
      <c r="V124" s="124"/>
      <c r="W124" s="124"/>
      <c r="X124" s="294"/>
      <c r="Y124" s="203"/>
      <c r="Z124" s="203"/>
      <c r="AA124" s="203"/>
      <c r="AB124" s="294"/>
      <c r="AC124" s="203"/>
      <c r="AD124" s="203"/>
      <c r="AE124" s="203"/>
      <c r="AF124" s="294"/>
      <c r="AG124" s="203"/>
      <c r="AH124" s="203"/>
      <c r="AI124" s="294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  <c r="BA124" s="142"/>
      <c r="BB124" s="142"/>
      <c r="BC124" s="142"/>
      <c r="BD124" s="142"/>
      <c r="BE124" s="142"/>
      <c r="BF124" s="142"/>
      <c r="BG124" s="142"/>
      <c r="BH124" s="142"/>
      <c r="BI124" s="142"/>
      <c r="BJ124" s="142"/>
      <c r="BK124" s="142"/>
      <c r="BL124" s="142"/>
      <c r="BM124" s="142"/>
      <c r="BN124" s="142"/>
      <c r="BO124" s="142"/>
      <c r="BP124" s="142"/>
      <c r="BQ124" s="142"/>
      <c r="BR124" s="142"/>
      <c r="BS124" s="142"/>
      <c r="BT124" s="142"/>
      <c r="BU124" s="142"/>
      <c r="BV124" s="203"/>
      <c r="BW124" s="203"/>
      <c r="BX124" s="203"/>
      <c r="BY124" s="203"/>
      <c r="BZ124" s="142"/>
      <c r="CA124" s="142"/>
      <c r="CB124" s="142"/>
      <c r="CC124" s="142"/>
      <c r="CD124" s="295"/>
      <c r="CE124" s="59"/>
      <c r="CF124" s="295"/>
      <c r="CG124" s="206"/>
      <c r="CH124" s="295"/>
      <c r="CI124" s="206"/>
      <c r="CJ124" s="296"/>
      <c r="CK124" s="59"/>
      <c r="CL124" s="295"/>
      <c r="CM124" s="206"/>
      <c r="CN124" s="295"/>
      <c r="CO124" s="206"/>
      <c r="CP124" s="295"/>
      <c r="CQ124" s="206"/>
      <c r="CR124" s="295"/>
      <c r="CS124" s="59"/>
      <c r="CT124" s="295"/>
      <c r="CU124" s="206"/>
      <c r="CV124" s="295"/>
      <c r="CW124" s="258"/>
      <c r="CX124" s="204" t="str">
        <f>IFERROR(AVERAGEIF(RD[[#This Row],[IS1POA1 (KWh/m2)]:[IS7POA2 (KWh/m2)]],"&lt;&gt;0",RD[[#This Row],[IS1POA1 (KWh/m2)]:[IS7POA2 (KWh/m2)]]),"")</f>
        <v/>
      </c>
      <c r="CY124" s="204" t="str">
        <f>IFERROR(AVERAGEIF(RD[[#This Row],[IS1GHI1 (KWh/m2)]:[IS7GHI2 (KWh/m2)]],"&lt;&gt;0",RD[[#This Row],[IS1GHI1 (KWh/m2)]:[IS7GHI2 (KWh/m2)]]),"")</f>
        <v/>
      </c>
      <c r="CZ124" s="204" t="str">
        <f>IFERROR(AVERAGEIF(RD[[#This Row],[IS1POA_BS1 (KWh/m2)]:[IS7POA_BS2 (KWh/m2)]],"&lt;&gt;0",RD[[#This Row],[IS1POA_BS1 (KWh/m2)]:[IS7POA_BS2 (KWh/m2)]]),"")</f>
        <v/>
      </c>
      <c r="DA124" s="204" t="str">
        <f>IFERROR(AVERAGEIF(RD[[#This Row],[IS1GHI_BS1 (KWh/m2)]:[IS1GHI_BS1 (KWh/m2)2]],"&lt;&gt;0",RD[[#This Row],[IS1GHI_BS1 (KWh/m2)]:[IS1GHI_BS1 (KWh/m2)2]]),"")</f>
        <v/>
      </c>
      <c r="DB124" s="204" t="str">
        <f>IFERROR(AVERAGEIF(RD[[#This Row],[IS1AT1 (°C)]:[IS7AT2 (°C)]],"&lt;&gt;0",RD[[#This Row],[IS1AT1 (°C)]:[IS7AT2 (°C)]]),"")</f>
        <v/>
      </c>
      <c r="DC124" s="204" t="str">
        <f>IFERROR(AVERAGEIF(RD[[#This Row],[IS1MT1 (°C)]:[IS7MT2 (°C)]],"&lt;&gt;0",RD[[#This Row],[IS1MT1 (°C)]:[IS7MT2 (°C)]]),"")</f>
        <v/>
      </c>
      <c r="DD124" s="204" t="str">
        <f>IFERROR(AVERAGEIF(RD[[#This Row],[IS1RH1 (%)]:[IS7RH2 (%)]],"&lt;&gt;0",RD[[#This Row],[IS1RH1 (%)]:[IS7RH2 (%)]]),"")</f>
        <v/>
      </c>
      <c r="DE124" s="204" t="str">
        <f>IFERROR(AVERAGEIF(RD[[#This Row],[IS1Rain1 (mm)]:[IS7Rain2 (mm)]],"&lt;&gt;0",RD[[#This Row],[IS1Rain1 (mm)]:[IS7Rain2 (mm)]]),"")</f>
        <v/>
      </c>
      <c r="DF124" s="204" t="str">
        <f>IFERROR(AVERAGEIF(RD[[#This Row],[WS_Solar1_Avg (m/s)]:[IS7_WS_Solar1_Avg (m/s)]],"&lt;&gt;0",RD[[#This Row],[WS_Solar1_Avg (m/s)]:[IS7_WS_Solar1_Avg (m/s)]]),"")</f>
        <v/>
      </c>
      <c r="DG124" s="204" t="str">
        <f>IFERROR(AVERAGEIF(RD[[#This Row],[WS_Solar1_Max (m/s)]:[IS7_WS_Solar1_Max (m/s)]],"&lt;&gt;0",RD[[#This Row],[WS_Solar1_Max (m/s)]:[IS7_WS_Solar1_Max (m/s)]]),"")</f>
        <v/>
      </c>
      <c r="DH124" s="204">
        <f>SUM(RD[[#This Row],[IS1Inv1M1]:[IS4Inv4M2]])</f>
        <v>0</v>
      </c>
      <c r="DI124" s="205">
        <f>SUM(RD[[#This Row],[IS7Inv1M1]]+RD[[#This Row],[IS7Inv2M1]])</f>
        <v>0</v>
      </c>
      <c r="DJ124" s="204">
        <f>SUM(RD[[#This Row],[IS5Inv1M1]:[IS5Inv2M2]])</f>
        <v>0</v>
      </c>
      <c r="DK124" s="204">
        <f>SUM(RD[[#This Row],[IS8Inv1M1]:[IS9Inv2M2]])</f>
        <v>0</v>
      </c>
      <c r="DL124" s="60">
        <f>SUM(RD[[#This Row],[IS6Inv1M1]:[IS6Inv2M2]])</f>
        <v>0</v>
      </c>
      <c r="DM124" s="286">
        <f>SUM(RD[[#This Row],[IS10Inv1M1]:[IS11Inv1M4]],RD[[#This Row],[IS14Inv1M1]:[IS14Inv2M4]])</f>
        <v>0</v>
      </c>
      <c r="DN124" s="286">
        <f>SUM(RD[[#This Row],[IS12Inv1M1]:[IS12Inv1M4]])</f>
        <v>0</v>
      </c>
      <c r="DO124" s="286">
        <f>SUM(RD[[#This Row],[IS13Inv1M1]:[IS13Inv2M2]])</f>
        <v>0</v>
      </c>
      <c r="DP124" s="204">
        <f>SUM(RD[[#This Row],[O2R15]:[O2R26]])</f>
        <v>0</v>
      </c>
      <c r="DQ124" s="164"/>
      <c r="DR124" s="168"/>
      <c r="DS124" s="164"/>
      <c r="DT124" s="164"/>
      <c r="DU124" s="168"/>
      <c r="DV124" s="168"/>
      <c r="DW124" s="164"/>
      <c r="DX124" s="134"/>
      <c r="DY124" s="134"/>
      <c r="DZ124" s="134"/>
      <c r="EA124" s="134"/>
      <c r="EB124" s="315"/>
      <c r="EC124" s="315"/>
      <c r="ED124" s="315"/>
      <c r="EE124" s="241"/>
      <c r="EF124" s="315"/>
      <c r="EG124" s="240"/>
      <c r="EH124" s="146">
        <f>IF((RD[[#This Row],[33 kV_F3_Ex
Incomer1]]-DQ123)*1000&lt;0,0,(RD[[#This Row],[33 kV_F3_Ex
Incomer1]]-DQ123)*1000)</f>
        <v>0</v>
      </c>
      <c r="EI124" s="242"/>
      <c r="EJ124" s="146"/>
      <c r="EK124" s="146"/>
      <c r="EL124" s="146"/>
      <c r="EM124" s="146"/>
      <c r="EN124" s="146"/>
      <c r="EO124" s="146"/>
      <c r="EP124" s="146">
        <f>IF((RD[[#This Row],[33 kV_F7_Ex
Incomer5]]-DY123)*1000&lt;0,0,(RD[[#This Row],[33 kV_F7_Ex
Incomer5]]-DY123)*1000)</f>
        <v>0</v>
      </c>
      <c r="EQ124" s="146">
        <f>IF((RD[[#This Row],[33 kV_F7_Im
Incomer5]]-DZ123)*1000&lt;0,0,(RD[[#This Row],[33 kV_F7_Im
Incomer5]]-DZ123)*1000)</f>
        <v>0</v>
      </c>
      <c r="ER124" s="146"/>
      <c r="ES124" s="158">
        <f>IF((RD[[#This Row],[33kV_OG1_Ex_]]-EB123)*1&lt;0,0,(RD[[#This Row],[33kV_OG1_Ex_]]-EB123)*1)</f>
        <v>0</v>
      </c>
      <c r="ET124" s="242">
        <f>IFERROR(IF((RD[[#This Row],[33kV_OG1_Im]]-EC123)*1000&lt;=0,0,(RD[[#This Row],[33kV_OG1_Im]]-EC123)*1000),0)</f>
        <v>0</v>
      </c>
      <c r="EU124" s="242">
        <f>(RD[[#This Row],[132kV_TX1_EX]]-EE121)</f>
        <v>0</v>
      </c>
      <c r="EV124" s="242">
        <f>IF((RD[[#This Row],[132 kV_Tx1_Im]]-EE123)*800000&lt;=0,0,(RD[[#This Row],[132 kV_Tx1_Im]]-EE123)*800000)</f>
        <v>0</v>
      </c>
      <c r="EW124" s="242">
        <f>IF((RD[[#This Row],[132kV_L1_Ex]]-EF123)*1600000&lt;=0,0,(RD[[#This Row],[132kV_L1_Ex]]-EF123)*1600000)</f>
        <v>0</v>
      </c>
      <c r="EX124" s="146">
        <f>IF((RD[[#This Row],[132kV_L1_Im]]-EG123)*720&lt;=0,0,(RD[[#This Row],[132kV_L1_Im]]-EG123)*720)</f>
        <v>0</v>
      </c>
      <c r="EY124" s="242">
        <f>IFERROR(RD[[#This Row],[33kV_OG1_Ex (MWh)]]+RD[[#This Row],[33kV_OG1_Im (MWh)]],"")</f>
        <v>0</v>
      </c>
      <c r="EZ124" s="148">
        <f>RD[[#This Row],[33kV_OG1_Ex (MWh)]]-RD[[#This Row],[33kV_OG1_Im (MWh)]]</f>
        <v>0</v>
      </c>
      <c r="FA124" s="148">
        <f>IFERROR(RD[[#This Row],[132kV_L1_Ex(MWh)]]-RD[[#This Row],[132kV_L1_Im(MWh)]],"")</f>
        <v>0</v>
      </c>
      <c r="FB124" s="297" t="str">
        <f>IFERROR(RD[[#This Row],[33kV_Ex(MWh)]]/RD[[#This Row],[Inv Total Gneration (MWh)]]-1,"")</f>
        <v/>
      </c>
      <c r="FC124" s="243">
        <f>IFERROR((RD[[#This Row],[Sunset Time (POA&lt;20 W/m2)]]-RD[[#This Row],[Sunrise Time (POA&gt;20 W/m2)]])*24,0)</f>
        <v>0</v>
      </c>
      <c r="FD124" s="244"/>
      <c r="FE124"/>
      <c r="FG124" s="144" t="str">
        <f>IFERROR(RD[[#This Row],[E_AC (WPR)]]/RD[[#This Row],[E_DC (WPR)]],"")</f>
        <v/>
      </c>
    </row>
    <row r="125" spans="1:163">
      <c r="A125" s="133">
        <f t="shared" si="167"/>
        <v>45865</v>
      </c>
      <c r="B125" s="138">
        <f>YEAR(RD[[#This Row],[Date]])+IF(MONTH(RD[[#This Row],[Date]])&gt;=4,1,0)</f>
        <v>2026</v>
      </c>
      <c r="C125" s="138">
        <f>YEAR(RD[[#This Row],[Date]])</f>
        <v>2025</v>
      </c>
      <c r="D125" s="139">
        <f t="shared" si="170"/>
        <v>45839</v>
      </c>
      <c r="E125" s="138">
        <f>DAY(EOMONTH(RD[[#This Row],[Date]],0))</f>
        <v>31</v>
      </c>
      <c r="F125" s="152"/>
      <c r="G125" s="162"/>
      <c r="H125" s="124"/>
      <c r="I125" s="268"/>
      <c r="J125" s="124"/>
      <c r="K125" s="124"/>
      <c r="L125" s="124"/>
      <c r="M125" s="124"/>
      <c r="N125" s="124"/>
      <c r="O125" s="124"/>
      <c r="P125" s="124"/>
      <c r="Q125" s="124"/>
      <c r="R125" s="124"/>
      <c r="S125" s="266"/>
      <c r="T125" s="124"/>
      <c r="U125" s="124"/>
      <c r="V125" s="124"/>
      <c r="W125" s="124"/>
      <c r="X125" s="294"/>
      <c r="Y125" s="203"/>
      <c r="Z125" s="203"/>
      <c r="AA125" s="203"/>
      <c r="AB125" s="294"/>
      <c r="AC125" s="203"/>
      <c r="AD125" s="203"/>
      <c r="AE125" s="203"/>
      <c r="AF125" s="294"/>
      <c r="AG125" s="203"/>
      <c r="AH125" s="203"/>
      <c r="AI125" s="294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  <c r="BA125" s="142"/>
      <c r="BB125" s="142"/>
      <c r="BC125" s="142"/>
      <c r="BD125" s="142"/>
      <c r="BE125" s="142"/>
      <c r="BF125" s="142"/>
      <c r="BG125" s="142"/>
      <c r="BH125" s="142"/>
      <c r="BI125" s="142"/>
      <c r="BJ125" s="142"/>
      <c r="BK125" s="142"/>
      <c r="BL125" s="142"/>
      <c r="BM125" s="142"/>
      <c r="BN125" s="142"/>
      <c r="BO125" s="142"/>
      <c r="BP125" s="142"/>
      <c r="BQ125" s="142"/>
      <c r="BR125" s="142"/>
      <c r="BS125" s="142"/>
      <c r="BT125" s="142"/>
      <c r="BU125" s="142"/>
      <c r="BV125" s="203"/>
      <c r="BW125" s="203"/>
      <c r="BX125" s="203"/>
      <c r="BY125" s="203"/>
      <c r="BZ125" s="142"/>
      <c r="CA125" s="142"/>
      <c r="CB125" s="142"/>
      <c r="CC125" s="142"/>
      <c r="CD125" s="295"/>
      <c r="CE125" s="59"/>
      <c r="CF125" s="295"/>
      <c r="CG125" s="206"/>
      <c r="CH125" s="295"/>
      <c r="CI125" s="206"/>
      <c r="CJ125" s="296"/>
      <c r="CK125" s="59"/>
      <c r="CL125" s="295"/>
      <c r="CM125" s="206"/>
      <c r="CN125" s="295"/>
      <c r="CO125" s="206"/>
      <c r="CP125" s="295"/>
      <c r="CQ125" s="206"/>
      <c r="CR125" s="295"/>
      <c r="CS125" s="59"/>
      <c r="CT125" s="295"/>
      <c r="CU125" s="206"/>
      <c r="CV125" s="295"/>
      <c r="CW125" s="258"/>
      <c r="CX125" s="204" t="str">
        <f>IFERROR(AVERAGEIF(RD[[#This Row],[IS1POA1 (KWh/m2)]:[IS7POA2 (KWh/m2)]],"&lt;&gt;0",RD[[#This Row],[IS1POA1 (KWh/m2)]:[IS7POA2 (KWh/m2)]]),"")</f>
        <v/>
      </c>
      <c r="CY125" s="204" t="str">
        <f>IFERROR(AVERAGEIF(RD[[#This Row],[IS1GHI1 (KWh/m2)]:[IS7GHI2 (KWh/m2)]],"&lt;&gt;0",RD[[#This Row],[IS1GHI1 (KWh/m2)]:[IS7GHI2 (KWh/m2)]]),"")</f>
        <v/>
      </c>
      <c r="CZ125" s="204" t="str">
        <f>IFERROR(AVERAGEIF(RD[[#This Row],[IS1POA_BS1 (KWh/m2)]:[IS7POA_BS2 (KWh/m2)]],"&lt;&gt;0",RD[[#This Row],[IS1POA_BS1 (KWh/m2)]:[IS7POA_BS2 (KWh/m2)]]),"")</f>
        <v/>
      </c>
      <c r="DA125" s="204" t="str">
        <f>IFERROR(AVERAGEIF(RD[[#This Row],[IS1GHI_BS1 (KWh/m2)]:[IS1GHI_BS1 (KWh/m2)2]],"&lt;&gt;0",RD[[#This Row],[IS1GHI_BS1 (KWh/m2)]:[IS1GHI_BS1 (KWh/m2)2]]),"")</f>
        <v/>
      </c>
      <c r="DB125" s="204" t="str">
        <f>IFERROR(AVERAGEIF(RD[[#This Row],[IS1AT1 (°C)]:[IS7AT2 (°C)]],"&lt;&gt;0",RD[[#This Row],[IS1AT1 (°C)]:[IS7AT2 (°C)]]),"")</f>
        <v/>
      </c>
      <c r="DC125" s="204" t="str">
        <f>IFERROR(AVERAGEIF(RD[[#This Row],[IS1MT1 (°C)]:[IS7MT2 (°C)]],"&lt;&gt;0",RD[[#This Row],[IS1MT1 (°C)]:[IS7MT2 (°C)]]),"")</f>
        <v/>
      </c>
      <c r="DD125" s="204" t="str">
        <f>IFERROR(AVERAGEIF(RD[[#This Row],[IS1RH1 (%)]:[IS7RH2 (%)]],"&lt;&gt;0",RD[[#This Row],[IS1RH1 (%)]:[IS7RH2 (%)]]),"")</f>
        <v/>
      </c>
      <c r="DE125" s="204" t="str">
        <f>IFERROR(AVERAGEIF(RD[[#This Row],[IS1Rain1 (mm)]:[IS7Rain2 (mm)]],"&lt;&gt;0",RD[[#This Row],[IS1Rain1 (mm)]:[IS7Rain2 (mm)]]),"")</f>
        <v/>
      </c>
      <c r="DF125" s="204" t="str">
        <f>IFERROR(AVERAGEIF(RD[[#This Row],[WS_Solar1_Avg (m/s)]:[IS7_WS_Solar1_Avg (m/s)]],"&lt;&gt;0",RD[[#This Row],[WS_Solar1_Avg (m/s)]:[IS7_WS_Solar1_Avg (m/s)]]),"")</f>
        <v/>
      </c>
      <c r="DG125" s="204" t="str">
        <f>IFERROR(AVERAGEIF(RD[[#This Row],[WS_Solar1_Max (m/s)]:[IS7_WS_Solar1_Max (m/s)]],"&lt;&gt;0",RD[[#This Row],[WS_Solar1_Max (m/s)]:[IS7_WS_Solar1_Max (m/s)]]),"")</f>
        <v/>
      </c>
      <c r="DH125" s="204">
        <f>SUM(RD[[#This Row],[IS1Inv1M1]:[IS4Inv4M2]])</f>
        <v>0</v>
      </c>
      <c r="DI125" s="205">
        <f>SUM(RD[[#This Row],[IS7Inv1M1]]+RD[[#This Row],[IS7Inv2M1]])</f>
        <v>0</v>
      </c>
      <c r="DJ125" s="204">
        <f>SUM(RD[[#This Row],[IS5Inv1M1]:[IS5Inv2M2]])</f>
        <v>0</v>
      </c>
      <c r="DK125" s="204">
        <f>SUM(RD[[#This Row],[IS8Inv1M1]:[IS9Inv2M2]])</f>
        <v>0</v>
      </c>
      <c r="DL125" s="60">
        <f>SUM(RD[[#This Row],[IS6Inv1M1]:[IS6Inv2M2]])</f>
        <v>0</v>
      </c>
      <c r="DM125" s="286">
        <f>SUM(RD[[#This Row],[IS10Inv1M1]:[IS11Inv1M4]],RD[[#This Row],[IS14Inv1M1]:[IS14Inv2M4]])</f>
        <v>0</v>
      </c>
      <c r="DN125" s="286">
        <f>SUM(RD[[#This Row],[IS12Inv1M1]:[IS12Inv1M4]])</f>
        <v>0</v>
      </c>
      <c r="DO125" s="286">
        <f>SUM(RD[[#This Row],[IS13Inv1M1]:[IS13Inv2M2]])</f>
        <v>0</v>
      </c>
      <c r="DP125" s="204">
        <f>SUM(RD[[#This Row],[O2R15]:[O2R26]])</f>
        <v>0</v>
      </c>
      <c r="DQ125" s="164"/>
      <c r="DR125" s="168"/>
      <c r="DS125" s="241"/>
      <c r="DT125" s="315"/>
      <c r="DU125" s="134"/>
      <c r="DV125" s="168"/>
      <c r="DW125" s="164"/>
      <c r="DX125" s="134"/>
      <c r="DY125" s="134"/>
      <c r="DZ125" s="134"/>
      <c r="EA125" s="134"/>
      <c r="EB125" s="315"/>
      <c r="EC125" s="315"/>
      <c r="ED125" s="315"/>
      <c r="EE125" s="315"/>
      <c r="EF125" s="315"/>
      <c r="EG125" s="240"/>
      <c r="EH125" s="146">
        <f>IF((RD[[#This Row],[33 kV_F3_Ex
Incomer1]]-DQ124)*1000&lt;0,0,(RD[[#This Row],[33 kV_F3_Ex
Incomer1]]-DQ124)*1000)</f>
        <v>0</v>
      </c>
      <c r="EI125" s="242"/>
      <c r="EJ125" s="146"/>
      <c r="EK125" s="146"/>
      <c r="EL125" s="146"/>
      <c r="EM125" s="146"/>
      <c r="EN125" s="146"/>
      <c r="EO125" s="146"/>
      <c r="EP125" s="146">
        <f>IF((RD[[#This Row],[33 kV_F7_Ex
Incomer5]]-DY124)*1000&lt;0,0,(RD[[#This Row],[33 kV_F7_Ex
Incomer5]]-DY124)*1000)</f>
        <v>0</v>
      </c>
      <c r="EQ125" s="146">
        <f>IF((RD[[#This Row],[33 kV_F7_Im
Incomer5]]-DZ124)*1000&lt;0,0,(RD[[#This Row],[33 kV_F7_Im
Incomer5]]-DZ124)*1000)</f>
        <v>0</v>
      </c>
      <c r="ER125" s="146"/>
      <c r="ES125" s="158">
        <f>IF((RD[[#This Row],[33kV_OG1_Ex_]]-EB124)*1&lt;0,0,(RD[[#This Row],[33kV_OG1_Ex_]]-EB124)*1)</f>
        <v>0</v>
      </c>
      <c r="ET125" s="242">
        <f>IFERROR(IF((RD[[#This Row],[33kV_OG1_Im]]-EC124)*1000&lt;=0,0,(RD[[#This Row],[33kV_OG1_Im]]-EC124)*1000),0)</f>
        <v>0</v>
      </c>
      <c r="EU125" s="242">
        <f>(RD[[#This Row],[132kV_TX1_EX]]-EE122)</f>
        <v>0</v>
      </c>
      <c r="EV125" s="242">
        <f>IF((RD[[#This Row],[132 kV_Tx1_Im]]-EE124)*800000&lt;=0,0,(RD[[#This Row],[132 kV_Tx1_Im]]-EE124)*800000)</f>
        <v>0</v>
      </c>
      <c r="EW125" s="242">
        <f>IF((RD[[#This Row],[132kV_L1_Ex]]-EF124)*1600000&lt;=0,0,(RD[[#This Row],[132kV_L1_Ex]]-EF124)*1600000)</f>
        <v>0</v>
      </c>
      <c r="EX125" s="146">
        <f>IF((RD[[#This Row],[132kV_L1_Im]]-EG124)*720&lt;=0,0,(RD[[#This Row],[132kV_L1_Im]]-EG124)*720)</f>
        <v>0</v>
      </c>
      <c r="EY125" s="242">
        <f>IFERROR(RD[[#This Row],[33kV_OG1_Ex (MWh)]]+RD[[#This Row],[33kV_OG1_Im (MWh)]],"")</f>
        <v>0</v>
      </c>
      <c r="EZ125" s="148">
        <f>RD[[#This Row],[33kV_OG1_Ex (MWh)]]-RD[[#This Row],[33kV_OG1_Im (MWh)]]</f>
        <v>0</v>
      </c>
      <c r="FA125" s="148">
        <f>IFERROR(RD[[#This Row],[132kV_L1_Ex(MWh)]]-RD[[#This Row],[132kV_L1_Im(MWh)]],"")</f>
        <v>0</v>
      </c>
      <c r="FB125" s="297" t="str">
        <f>IFERROR(RD[[#This Row],[33kV_Ex(MWh)]]/RD[[#This Row],[Inv Total Gneration (MWh)]]-1,"")</f>
        <v/>
      </c>
      <c r="FC125" s="243">
        <f>IFERROR((RD[[#This Row],[Sunset Time (POA&lt;20 W/m2)]]-RD[[#This Row],[Sunrise Time (POA&gt;20 W/m2)]])*24,0)</f>
        <v>0</v>
      </c>
      <c r="FD125" s="244"/>
      <c r="FE125"/>
      <c r="FG125" s="144" t="str">
        <f>IFERROR(RD[[#This Row],[E_AC (WPR)]]/RD[[#This Row],[E_DC (WPR)]],"")</f>
        <v/>
      </c>
    </row>
    <row r="126" spans="1:163">
      <c r="A126" s="133">
        <f t="shared" si="167"/>
        <v>45866</v>
      </c>
      <c r="B126" s="138">
        <f>YEAR(RD[[#This Row],[Date]])+IF(MONTH(RD[[#This Row],[Date]])&gt;=4,1,0)</f>
        <v>2026</v>
      </c>
      <c r="C126" s="138">
        <f>YEAR(RD[[#This Row],[Date]])</f>
        <v>2025</v>
      </c>
      <c r="D126" s="139">
        <f t="shared" si="170"/>
        <v>45839</v>
      </c>
      <c r="E126" s="138">
        <f>DAY(EOMONTH(RD[[#This Row],[Date]],0))</f>
        <v>31</v>
      </c>
      <c r="F126" s="300"/>
      <c r="G126" s="301"/>
      <c r="H126" s="300"/>
      <c r="I126" s="302"/>
      <c r="J126" s="300"/>
      <c r="K126" s="300"/>
      <c r="L126" s="300"/>
      <c r="M126" s="300"/>
      <c r="N126" s="300"/>
      <c r="O126" s="300"/>
      <c r="P126" s="300"/>
      <c r="Q126" s="300"/>
      <c r="R126" s="300"/>
      <c r="S126" s="302"/>
      <c r="T126" s="300"/>
      <c r="U126" s="300"/>
      <c r="V126" s="300"/>
      <c r="W126" s="300"/>
      <c r="X126" s="294"/>
      <c r="Y126" s="203"/>
      <c r="Z126" s="203"/>
      <c r="AA126" s="203"/>
      <c r="AB126" s="294"/>
      <c r="AC126" s="203"/>
      <c r="AD126" s="203"/>
      <c r="AE126" s="203"/>
      <c r="AF126" s="294"/>
      <c r="AG126" s="203"/>
      <c r="AH126" s="203"/>
      <c r="AI126" s="294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  <c r="BA126" s="142"/>
      <c r="BB126" s="142"/>
      <c r="BC126" s="142"/>
      <c r="BD126" s="142"/>
      <c r="BE126" s="142"/>
      <c r="BF126" s="142"/>
      <c r="BG126" s="142"/>
      <c r="BH126" s="142"/>
      <c r="BI126" s="142"/>
      <c r="BJ126" s="142"/>
      <c r="BK126" s="142"/>
      <c r="BL126" s="142"/>
      <c r="BM126" s="142"/>
      <c r="BN126" s="142"/>
      <c r="BO126" s="142"/>
      <c r="BP126" s="142"/>
      <c r="BQ126" s="142"/>
      <c r="BR126" s="142"/>
      <c r="BS126" s="142"/>
      <c r="BT126" s="142"/>
      <c r="BU126" s="142"/>
      <c r="BV126" s="203"/>
      <c r="BW126" s="203"/>
      <c r="BX126" s="203"/>
      <c r="BY126" s="203"/>
      <c r="BZ126" s="142"/>
      <c r="CA126" s="142"/>
      <c r="CB126" s="142"/>
      <c r="CC126" s="142"/>
      <c r="CD126" s="295"/>
      <c r="CE126" s="59"/>
      <c r="CF126" s="295"/>
      <c r="CG126" s="206"/>
      <c r="CH126" s="295"/>
      <c r="CI126" s="206"/>
      <c r="CJ126" s="296"/>
      <c r="CK126" s="59"/>
      <c r="CL126" s="295"/>
      <c r="CM126" s="206"/>
      <c r="CN126" s="295"/>
      <c r="CO126" s="206"/>
      <c r="CP126" s="295"/>
      <c r="CQ126" s="206"/>
      <c r="CR126" s="295"/>
      <c r="CS126" s="59"/>
      <c r="CT126" s="295"/>
      <c r="CU126" s="206"/>
      <c r="CV126" s="295"/>
      <c r="CW126" s="258"/>
      <c r="CX126" s="204" t="str">
        <f>IFERROR(AVERAGEIF(RD[[#This Row],[IS1POA1 (KWh/m2)]:[IS7POA2 (KWh/m2)]],"&lt;&gt;0",RD[[#This Row],[IS1POA1 (KWh/m2)]:[IS7POA2 (KWh/m2)]]),"")</f>
        <v/>
      </c>
      <c r="CY126" s="204" t="str">
        <f>IFERROR(AVERAGEIF(RD[[#This Row],[IS1GHI1 (KWh/m2)]:[IS7GHI2 (KWh/m2)]],"&lt;&gt;0",RD[[#This Row],[IS1GHI1 (KWh/m2)]:[IS7GHI2 (KWh/m2)]]),"")</f>
        <v/>
      </c>
      <c r="CZ126" s="204" t="str">
        <f>IFERROR(AVERAGEIF(RD[[#This Row],[IS1POA_BS1 (KWh/m2)]:[IS7POA_BS2 (KWh/m2)]],"&lt;&gt;0",RD[[#This Row],[IS1POA_BS1 (KWh/m2)]:[IS7POA_BS2 (KWh/m2)]]),"")</f>
        <v/>
      </c>
      <c r="DA126" s="204" t="str">
        <f>IFERROR(AVERAGEIF(RD[[#This Row],[IS1GHI_BS1 (KWh/m2)]:[IS1GHI_BS1 (KWh/m2)2]],"&lt;&gt;0",RD[[#This Row],[IS1GHI_BS1 (KWh/m2)]:[IS1GHI_BS1 (KWh/m2)2]]),"")</f>
        <v/>
      </c>
      <c r="DB126" s="204" t="str">
        <f>IFERROR(AVERAGEIF(RD[[#This Row],[IS1AT1 (°C)]:[IS7AT2 (°C)]],"&lt;&gt;0",RD[[#This Row],[IS1AT1 (°C)]:[IS7AT2 (°C)]]),"")</f>
        <v/>
      </c>
      <c r="DC126" s="204" t="str">
        <f>IFERROR(AVERAGEIF(RD[[#This Row],[IS1MT1 (°C)]:[IS7MT2 (°C)]],"&lt;&gt;0",RD[[#This Row],[IS1MT1 (°C)]:[IS7MT2 (°C)]]),"")</f>
        <v/>
      </c>
      <c r="DD126" s="204" t="str">
        <f>IFERROR(AVERAGEIF(RD[[#This Row],[IS1RH1 (%)]:[IS7RH2 (%)]],"&lt;&gt;0",RD[[#This Row],[IS1RH1 (%)]:[IS7RH2 (%)]]),"")</f>
        <v/>
      </c>
      <c r="DE126" s="204" t="str">
        <f>IFERROR(AVERAGEIF(RD[[#This Row],[IS1Rain1 (mm)]:[IS7Rain2 (mm)]],"&lt;&gt;0",RD[[#This Row],[IS1Rain1 (mm)]:[IS7Rain2 (mm)]]),"")</f>
        <v/>
      </c>
      <c r="DF126" s="204" t="str">
        <f>IFERROR(AVERAGEIF(RD[[#This Row],[WS_Solar1_Avg (m/s)]:[IS7_WS_Solar1_Avg (m/s)]],"&lt;&gt;0",RD[[#This Row],[WS_Solar1_Avg (m/s)]:[IS7_WS_Solar1_Avg (m/s)]]),"")</f>
        <v/>
      </c>
      <c r="DG126" s="204" t="str">
        <f>IFERROR(AVERAGEIF(RD[[#This Row],[WS_Solar1_Max (m/s)]:[IS7_WS_Solar1_Max (m/s)]],"&lt;&gt;0",RD[[#This Row],[WS_Solar1_Max (m/s)]:[IS7_WS_Solar1_Max (m/s)]]),"")</f>
        <v/>
      </c>
      <c r="DH126" s="204">
        <f>SUM(RD[[#This Row],[IS1Inv1M1]:[IS4Inv4M2]])</f>
        <v>0</v>
      </c>
      <c r="DI126" s="205">
        <f>SUM(RD[[#This Row],[IS7Inv1M1]]+RD[[#This Row],[IS7Inv2M1]])</f>
        <v>0</v>
      </c>
      <c r="DJ126" s="204">
        <f>SUM(RD[[#This Row],[IS5Inv1M1]:[IS5Inv2M2]])</f>
        <v>0</v>
      </c>
      <c r="DK126" s="204">
        <f>SUM(RD[[#This Row],[IS8Inv1M1]:[IS9Inv2M2]])</f>
        <v>0</v>
      </c>
      <c r="DL126" s="60">
        <f>SUM(RD[[#This Row],[IS6Inv1M1]:[IS6Inv2M2]])</f>
        <v>0</v>
      </c>
      <c r="DM126" s="286">
        <f>SUM(RD[[#This Row],[IS10Inv1M1]:[IS11Inv1M4]],RD[[#This Row],[IS14Inv1M1]:[IS14Inv2M4]])</f>
        <v>0</v>
      </c>
      <c r="DN126" s="286">
        <f>SUM(RD[[#This Row],[IS12Inv1M1]:[IS12Inv1M4]])</f>
        <v>0</v>
      </c>
      <c r="DO126" s="286">
        <f>SUM(RD[[#This Row],[IS13Inv1M1]:[IS13Inv2M2]])</f>
        <v>0</v>
      </c>
      <c r="DP126" s="204">
        <f>SUM(RD[[#This Row],[O2R15]:[O2R26]])</f>
        <v>0</v>
      </c>
      <c r="DQ126" s="164"/>
      <c r="DR126" s="168"/>
      <c r="DS126" s="241"/>
      <c r="DT126" s="315"/>
      <c r="DU126" s="134"/>
      <c r="DV126" s="134"/>
      <c r="DW126" s="164"/>
      <c r="DX126" s="134"/>
      <c r="DY126" s="134"/>
      <c r="DZ126" s="134"/>
      <c r="EA126" s="134"/>
      <c r="EB126" s="315"/>
      <c r="EC126" s="315"/>
      <c r="ED126" s="315"/>
      <c r="EE126" s="315"/>
      <c r="EF126" s="315"/>
      <c r="EG126" s="240"/>
      <c r="EH126" s="146">
        <f>IF((RD[[#This Row],[33 kV_F3_Ex
Incomer1]]-DQ125)*1000&lt;0,0,(RD[[#This Row],[33 kV_F3_Ex
Incomer1]]-DQ125)*1000)</f>
        <v>0</v>
      </c>
      <c r="EI126" s="242"/>
      <c r="EJ126" s="146"/>
      <c r="EK126" s="146"/>
      <c r="EL126" s="146"/>
      <c r="EM126" s="146"/>
      <c r="EN126" s="146"/>
      <c r="EO126" s="146"/>
      <c r="EP126" s="146">
        <f>IF((RD[[#This Row],[33 kV_F7_Ex
Incomer5]]-DY125)*1000&lt;0,0,(RD[[#This Row],[33 kV_F7_Ex
Incomer5]]-DY125)*1000)</f>
        <v>0</v>
      </c>
      <c r="EQ126" s="146">
        <f>IF((RD[[#This Row],[33 kV_F7_Im
Incomer5]]-DZ125)*1000&lt;0,0,(RD[[#This Row],[33 kV_F7_Im
Incomer5]]-DZ125)*1000)</f>
        <v>0</v>
      </c>
      <c r="ER126" s="146"/>
      <c r="ES126" s="316">
        <f>IF((RD[[#This Row],[33kV_OG1_Ex_]]-EB125)*1000&lt;=0,0,(RD[[#This Row],[33kV_OG1_Ex_]]-EB125)*1000)</f>
        <v>0</v>
      </c>
      <c r="ET126" s="242">
        <f>IFERROR(IF((RD[[#This Row],[33kV_OG1_Im]]-EC125)*1000&lt;=0,0,(RD[[#This Row],[33kV_OG1_Im]]-EC125)*1000),0)</f>
        <v>0</v>
      </c>
      <c r="EU126" s="242">
        <f>(RD[[#This Row],[132kV_TX1_EX]]-EE123)</f>
        <v>0</v>
      </c>
      <c r="EV126" s="242">
        <f>IF((RD[[#This Row],[132 kV_Tx1_Im]]-EE125)*800000&lt;=0,0,(RD[[#This Row],[132 kV_Tx1_Im]]-EE125)*800000)</f>
        <v>0</v>
      </c>
      <c r="EW126" s="242">
        <f>IF((RD[[#This Row],[132kV_L1_Ex]]-EF125)*1600000&lt;=0,0,(RD[[#This Row],[132kV_L1_Ex]]-EF125)*1600000)</f>
        <v>0</v>
      </c>
      <c r="EX126" s="146">
        <f>IF((RD[[#This Row],[132kV_L1_Im]]-EG125)*720&lt;=0,0,(RD[[#This Row],[132kV_L1_Im]]-EG125)*720)</f>
        <v>0</v>
      </c>
      <c r="EY126" s="242">
        <f>IFERROR(RD[[#This Row],[33kV_OG1_Ex (MWh)]]+RD[[#This Row],[33kV_OG1_Im (MWh)]],"")</f>
        <v>0</v>
      </c>
      <c r="EZ126" s="148">
        <f>RD[[#This Row],[33kV_OG1_Ex (MWh)]]-RD[[#This Row],[33kV_OG1_Im (MWh)]]</f>
        <v>0</v>
      </c>
      <c r="FA126" s="148">
        <f>IFERROR(RD[[#This Row],[132kV_L1_Ex(MWh)]]-RD[[#This Row],[132kV_L1_Im(MWh)]],"")</f>
        <v>0</v>
      </c>
      <c r="FB126" s="297" t="str">
        <f>IFERROR(RD[[#This Row],[33kV_Ex(MWh)]]/RD[[#This Row],[Inv Total Gneration (MWh)]]-1,"")</f>
        <v/>
      </c>
      <c r="FC126" s="243">
        <f>IFERROR((RD[[#This Row],[Sunset Time (POA&lt;20 W/m2)]]-RD[[#This Row],[Sunrise Time (POA&gt;20 W/m2)]])*24,0)</f>
        <v>0</v>
      </c>
      <c r="FD126" s="244"/>
      <c r="FE126"/>
      <c r="FG126" s="144" t="str">
        <f>IFERROR(RD[[#This Row],[E_AC (WPR)]]/RD[[#This Row],[E_DC (WPR)]],"")</f>
        <v/>
      </c>
    </row>
    <row r="127" spans="1:163">
      <c r="A127" s="133">
        <f t="shared" si="167"/>
        <v>45867</v>
      </c>
      <c r="B127" s="138">
        <f>YEAR(RD[[#This Row],[Date]])+IF(MONTH(RD[[#This Row],[Date]])&gt;=4,1,0)</f>
        <v>2026</v>
      </c>
      <c r="C127" s="138">
        <f>YEAR(RD[[#This Row],[Date]])</f>
        <v>2025</v>
      </c>
      <c r="D127" s="139">
        <f t="shared" si="170"/>
        <v>45839</v>
      </c>
      <c r="E127" s="138">
        <f>DAY(EOMONTH(RD[[#This Row],[Date]],0))</f>
        <v>31</v>
      </c>
      <c r="F127" s="300"/>
      <c r="G127" s="301"/>
      <c r="H127" s="300"/>
      <c r="I127" s="302"/>
      <c r="J127" s="300"/>
      <c r="K127" s="300"/>
      <c r="L127" s="300"/>
      <c r="M127" s="300"/>
      <c r="N127" s="300"/>
      <c r="O127" s="300"/>
      <c r="P127" s="300"/>
      <c r="Q127" s="300"/>
      <c r="R127" s="300"/>
      <c r="S127" s="302"/>
      <c r="T127" s="300"/>
      <c r="U127" s="300"/>
      <c r="V127" s="300"/>
      <c r="W127" s="300"/>
      <c r="X127" s="294"/>
      <c r="Y127" s="203"/>
      <c r="Z127" s="203"/>
      <c r="AA127" s="203"/>
      <c r="AB127" s="294"/>
      <c r="AC127" s="203"/>
      <c r="AD127" s="203"/>
      <c r="AE127" s="203"/>
      <c r="AF127" s="294"/>
      <c r="AG127" s="203"/>
      <c r="AH127" s="203"/>
      <c r="AI127" s="294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  <c r="BA127" s="142"/>
      <c r="BB127" s="142"/>
      <c r="BC127" s="142"/>
      <c r="BD127" s="142"/>
      <c r="BE127" s="142"/>
      <c r="BF127" s="142"/>
      <c r="BG127" s="142"/>
      <c r="BH127" s="142"/>
      <c r="BI127" s="142"/>
      <c r="BJ127" s="142"/>
      <c r="BK127" s="142"/>
      <c r="BL127" s="142"/>
      <c r="BM127" s="142"/>
      <c r="BN127" s="142"/>
      <c r="BO127" s="142"/>
      <c r="BP127" s="142"/>
      <c r="BQ127" s="142"/>
      <c r="BR127" s="142"/>
      <c r="BS127" s="142"/>
      <c r="BT127" s="142"/>
      <c r="BU127" s="142"/>
      <c r="BV127" s="203"/>
      <c r="BW127" s="203"/>
      <c r="BX127" s="203"/>
      <c r="BY127" s="203"/>
      <c r="BZ127" s="142"/>
      <c r="CA127" s="142"/>
      <c r="CB127" s="142"/>
      <c r="CC127" s="142"/>
      <c r="CD127" s="295"/>
      <c r="CE127" s="59"/>
      <c r="CF127" s="295"/>
      <c r="CG127" s="206"/>
      <c r="CH127" s="295"/>
      <c r="CI127" s="206"/>
      <c r="CJ127" s="296"/>
      <c r="CK127" s="59"/>
      <c r="CL127" s="295"/>
      <c r="CM127" s="206"/>
      <c r="CN127" s="295"/>
      <c r="CO127" s="206"/>
      <c r="CP127" s="295"/>
      <c r="CQ127" s="206"/>
      <c r="CR127" s="295"/>
      <c r="CS127" s="59"/>
      <c r="CT127" s="295"/>
      <c r="CU127" s="206"/>
      <c r="CV127" s="295"/>
      <c r="CW127" s="258"/>
      <c r="CX127" s="204" t="str">
        <f>IFERROR(AVERAGEIF(RD[[#This Row],[IS1POA1 (KWh/m2)]:[IS7POA2 (KWh/m2)]],"&lt;&gt;0",RD[[#This Row],[IS1POA1 (KWh/m2)]:[IS7POA2 (KWh/m2)]]),"")</f>
        <v/>
      </c>
      <c r="CY127" s="204" t="str">
        <f>IFERROR(AVERAGEIF(RD[[#This Row],[IS1GHI1 (KWh/m2)]:[IS7GHI2 (KWh/m2)]],"&lt;&gt;0",RD[[#This Row],[IS1GHI1 (KWh/m2)]:[IS7GHI2 (KWh/m2)]]),"")</f>
        <v/>
      </c>
      <c r="CZ127" s="204" t="str">
        <f>IFERROR(AVERAGEIF(RD[[#This Row],[IS1POA_BS1 (KWh/m2)]:[IS7POA_BS2 (KWh/m2)]],"&lt;&gt;0",RD[[#This Row],[IS1POA_BS1 (KWh/m2)]:[IS7POA_BS2 (KWh/m2)]]),"")</f>
        <v/>
      </c>
      <c r="DA127" s="204" t="str">
        <f>IFERROR(AVERAGEIF(RD[[#This Row],[IS1GHI_BS1 (KWh/m2)]:[IS1GHI_BS1 (KWh/m2)2]],"&lt;&gt;0",RD[[#This Row],[IS1GHI_BS1 (KWh/m2)]:[IS1GHI_BS1 (KWh/m2)2]]),"")</f>
        <v/>
      </c>
      <c r="DB127" s="204" t="str">
        <f>IFERROR(AVERAGEIF(RD[[#This Row],[IS1AT1 (°C)]:[IS7AT2 (°C)]],"&lt;&gt;0",RD[[#This Row],[IS1AT1 (°C)]:[IS7AT2 (°C)]]),"")</f>
        <v/>
      </c>
      <c r="DC127" s="204" t="str">
        <f>IFERROR(AVERAGEIF(RD[[#This Row],[IS1MT1 (°C)]:[IS7MT2 (°C)]],"&lt;&gt;0",RD[[#This Row],[IS1MT1 (°C)]:[IS7MT2 (°C)]]),"")</f>
        <v/>
      </c>
      <c r="DD127" s="204" t="str">
        <f>IFERROR(AVERAGEIF(RD[[#This Row],[IS1RH1 (%)]:[IS7RH2 (%)]],"&lt;&gt;0",RD[[#This Row],[IS1RH1 (%)]:[IS7RH2 (%)]]),"")</f>
        <v/>
      </c>
      <c r="DE127" s="204" t="str">
        <f>IFERROR(AVERAGEIF(RD[[#This Row],[IS1Rain1 (mm)]:[IS7Rain2 (mm)]],"&lt;&gt;0",RD[[#This Row],[IS1Rain1 (mm)]:[IS7Rain2 (mm)]]),"")</f>
        <v/>
      </c>
      <c r="DF127" s="204" t="str">
        <f>IFERROR(AVERAGEIF(RD[[#This Row],[WS_Solar1_Avg (m/s)]:[IS7_WS_Solar1_Avg (m/s)]],"&lt;&gt;0",RD[[#This Row],[WS_Solar1_Avg (m/s)]:[IS7_WS_Solar1_Avg (m/s)]]),"")</f>
        <v/>
      </c>
      <c r="DG127" s="204" t="str">
        <f>IFERROR(AVERAGEIF(RD[[#This Row],[WS_Solar1_Max (m/s)]:[IS7_WS_Solar1_Max (m/s)]],"&lt;&gt;0",RD[[#This Row],[WS_Solar1_Max (m/s)]:[IS7_WS_Solar1_Max (m/s)]]),"")</f>
        <v/>
      </c>
      <c r="DH127" s="204">
        <f>SUM(RD[[#This Row],[IS1Inv1M1]:[IS4Inv4M2]])</f>
        <v>0</v>
      </c>
      <c r="DI127" s="205">
        <f>SUM(RD[[#This Row],[IS7Inv1M1]]+RD[[#This Row],[IS7Inv2M1]])</f>
        <v>0</v>
      </c>
      <c r="DJ127" s="204">
        <f>SUM(RD[[#This Row],[IS5Inv1M1]:[IS5Inv2M2]])</f>
        <v>0</v>
      </c>
      <c r="DK127" s="204">
        <f>SUM(RD[[#This Row],[IS8Inv1M1]:[IS9Inv2M2]])</f>
        <v>0</v>
      </c>
      <c r="DL127" s="60">
        <f>SUM(RD[[#This Row],[IS6Inv1M1]:[IS6Inv2M2]])</f>
        <v>0</v>
      </c>
      <c r="DM127" s="286">
        <f>SUM(RD[[#This Row],[IS10Inv1M1]:[IS11Inv1M4]],RD[[#This Row],[IS14Inv1M1]:[IS14Inv2M4]])</f>
        <v>0</v>
      </c>
      <c r="DN127" s="286">
        <f>SUM(RD[[#This Row],[IS12Inv1M1]:[IS12Inv1M4]])</f>
        <v>0</v>
      </c>
      <c r="DO127" s="286">
        <f>SUM(RD[[#This Row],[IS13Inv1M1]:[IS13Inv2M2]])</f>
        <v>0</v>
      </c>
      <c r="DP127" s="204">
        <f>SUM(RD[[#This Row],[O2R15]:[O2R26]])</f>
        <v>0</v>
      </c>
      <c r="DQ127" s="315"/>
      <c r="DR127" s="134"/>
      <c r="DS127" s="241"/>
      <c r="DT127" s="315"/>
      <c r="DU127" s="134"/>
      <c r="DV127" s="134"/>
      <c r="DW127" s="315"/>
      <c r="DX127" s="134"/>
      <c r="DY127" s="134"/>
      <c r="DZ127" s="134"/>
      <c r="EA127" s="134"/>
      <c r="EB127" s="315"/>
      <c r="EC127" s="315"/>
      <c r="ED127" s="315"/>
      <c r="EE127" s="315"/>
      <c r="EF127" s="315"/>
      <c r="EG127" s="240"/>
      <c r="EH127" s="146">
        <f>IF((RD[[#This Row],[33 kV_F3_Ex
Incomer1]]-DQ126)*1000&lt;0,0,(RD[[#This Row],[33 kV_F3_Ex
Incomer1]]-DQ126)*1000)</f>
        <v>0</v>
      </c>
      <c r="EI127" s="242"/>
      <c r="EJ127" s="146"/>
      <c r="EK127" s="146"/>
      <c r="EL127" s="146"/>
      <c r="EM127" s="146"/>
      <c r="EN127" s="146"/>
      <c r="EO127" s="146"/>
      <c r="EP127" s="146">
        <f>IF((RD[[#This Row],[33 kV_F7_Ex
Incomer5]]-DY126)*1000&lt;0,0,(RD[[#This Row],[33 kV_F7_Ex
Incomer5]]-DY126)*1000)</f>
        <v>0</v>
      </c>
      <c r="EQ127" s="146">
        <f>IF((RD[[#This Row],[33 kV_F7_Im
Incomer5]]-DZ126)*1000&lt;0,0,(RD[[#This Row],[33 kV_F7_Im
Incomer5]]-DZ126)*1000)</f>
        <v>0</v>
      </c>
      <c r="ER127" s="146"/>
      <c r="ES127" s="316">
        <f>IF((RD[[#This Row],[33kV_OG1_Ex_]]-EB126)*1000&lt;=0,0,(RD[[#This Row],[33kV_OG1_Ex_]]-EB126)*1000)</f>
        <v>0</v>
      </c>
      <c r="ET127" s="242">
        <f>IFERROR(IF((RD[[#This Row],[33kV_OG1_Im]]-EC126)*1000&lt;=0,0,(RD[[#This Row],[33kV_OG1_Im]]-EC126)*1000),0)</f>
        <v>0</v>
      </c>
      <c r="EU127" s="242">
        <f>(RD[[#This Row],[132kV_TX1_EX]]-EE124)</f>
        <v>0</v>
      </c>
      <c r="EV127" s="242">
        <f>IF((RD[[#This Row],[132 kV_Tx1_Im]]-EE126)*800000&lt;=0,0,(RD[[#This Row],[132 kV_Tx1_Im]]-EE126)*800000)</f>
        <v>0</v>
      </c>
      <c r="EW127" s="242">
        <f>IF((RD[[#This Row],[132kV_L1_Ex]]-EF126)*1600000&lt;=0,0,(RD[[#This Row],[132kV_L1_Ex]]-EF126)*1600000)</f>
        <v>0</v>
      </c>
      <c r="EX127" s="242" t="str">
        <f>IF((RD[[#This Row],[132kV_L1_Im]]-EG126)*1600000&lt;=0,"",(RD[[#This Row],[132kV_L1_Im]]-EG126)*1600000)</f>
        <v/>
      </c>
      <c r="EY127" s="242">
        <f>IFERROR(RD[[#This Row],[33kV_OG1_Ex (MWh)]]+RD[[#This Row],[33kV_OG1_Im (MWh)]],"")</f>
        <v>0</v>
      </c>
      <c r="EZ127" s="148">
        <f>RD[[#This Row],[33kV_OG1_Ex (MWh)]]-RD[[#This Row],[33kV_OG1_Im (MWh)]]</f>
        <v>0</v>
      </c>
      <c r="FA127" s="148" t="str">
        <f>IFERROR(RD[[#This Row],[132kV_L1_Ex(MWh)]]-RD[[#This Row],[132kV_L1_Im(MWh)]],"")</f>
        <v/>
      </c>
      <c r="FB127" s="297" t="str">
        <f>IFERROR(RD[[#This Row],[33kV_Ex(MWh)]]/RD[[#This Row],[Inv Total Gneration (MWh)]]-1,"")</f>
        <v/>
      </c>
      <c r="FC127" s="243">
        <f>IFERROR((RD[[#This Row],[Sunset Time (POA&lt;20 W/m2)]]-RD[[#This Row],[Sunrise Time (POA&gt;20 W/m2)]])*24,0)</f>
        <v>0</v>
      </c>
      <c r="FD127" s="244"/>
      <c r="FE127"/>
      <c r="FG127" s="144" t="str">
        <f>IFERROR(RD[[#This Row],[E_AC (WPR)]]/RD[[#This Row],[E_DC (WPR)]],"")</f>
        <v/>
      </c>
    </row>
    <row r="128" spans="1:163">
      <c r="A128" s="133">
        <f t="shared" si="167"/>
        <v>45868</v>
      </c>
      <c r="B128" s="138">
        <f>YEAR(RD[[#This Row],[Date]])+IF(MONTH(RD[[#This Row],[Date]])&gt;=4,1,0)</f>
        <v>2026</v>
      </c>
      <c r="C128" s="138">
        <f>YEAR(RD[[#This Row],[Date]])</f>
        <v>2025</v>
      </c>
      <c r="D128" s="139">
        <f t="shared" si="170"/>
        <v>45839</v>
      </c>
      <c r="E128" s="138">
        <f>DAY(EOMONTH(RD[[#This Row],[Date]],0))</f>
        <v>31</v>
      </c>
      <c r="F128" s="300"/>
      <c r="G128" s="301"/>
      <c r="H128" s="300"/>
      <c r="I128" s="302"/>
      <c r="J128" s="300"/>
      <c r="K128" s="300"/>
      <c r="L128" s="300"/>
      <c r="M128" s="300"/>
      <c r="N128" s="300"/>
      <c r="O128" s="300"/>
      <c r="P128" s="300"/>
      <c r="Q128" s="300"/>
      <c r="R128" s="300"/>
      <c r="S128" s="302"/>
      <c r="T128" s="300"/>
      <c r="U128" s="300"/>
      <c r="V128" s="300"/>
      <c r="W128" s="300"/>
      <c r="X128" s="294"/>
      <c r="Y128" s="203"/>
      <c r="Z128" s="203"/>
      <c r="AA128" s="203"/>
      <c r="AB128" s="294"/>
      <c r="AC128" s="203"/>
      <c r="AD128" s="203"/>
      <c r="AE128" s="203"/>
      <c r="AF128" s="294"/>
      <c r="AG128" s="203"/>
      <c r="AH128" s="203"/>
      <c r="AI128" s="294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  <c r="BA128" s="142"/>
      <c r="BB128" s="142"/>
      <c r="BC128" s="142"/>
      <c r="BD128" s="142"/>
      <c r="BE128" s="142"/>
      <c r="BF128" s="142"/>
      <c r="BG128" s="142"/>
      <c r="BH128" s="142"/>
      <c r="BI128" s="142"/>
      <c r="BJ128" s="142"/>
      <c r="BK128" s="142"/>
      <c r="BL128" s="142"/>
      <c r="BM128" s="142"/>
      <c r="BN128" s="142"/>
      <c r="BO128" s="142"/>
      <c r="BP128" s="142"/>
      <c r="BQ128" s="142"/>
      <c r="BR128" s="142"/>
      <c r="BS128" s="142"/>
      <c r="BT128" s="142"/>
      <c r="BU128" s="142"/>
      <c r="BV128" s="203"/>
      <c r="BW128" s="203"/>
      <c r="BX128" s="203"/>
      <c r="BY128" s="203"/>
      <c r="BZ128" s="142"/>
      <c r="CA128" s="142"/>
      <c r="CB128" s="142"/>
      <c r="CC128" s="142"/>
      <c r="CD128" s="295"/>
      <c r="CE128" s="59"/>
      <c r="CF128" s="295"/>
      <c r="CG128" s="206"/>
      <c r="CH128" s="295"/>
      <c r="CI128" s="206"/>
      <c r="CJ128" s="296"/>
      <c r="CK128" s="59"/>
      <c r="CL128" s="295"/>
      <c r="CM128" s="206"/>
      <c r="CN128" s="295"/>
      <c r="CO128" s="206"/>
      <c r="CP128" s="295"/>
      <c r="CQ128" s="206"/>
      <c r="CR128" s="295"/>
      <c r="CS128" s="59"/>
      <c r="CT128" s="295"/>
      <c r="CU128" s="206"/>
      <c r="CV128" s="295"/>
      <c r="CW128" s="258"/>
      <c r="CX128" s="204" t="str">
        <f>IFERROR(AVERAGEIF(RD[[#This Row],[IS1POA1 (KWh/m2)]:[IS7POA2 (KWh/m2)]],"&lt;&gt;0",RD[[#This Row],[IS1POA1 (KWh/m2)]:[IS7POA2 (KWh/m2)]]),"")</f>
        <v/>
      </c>
      <c r="CY128" s="204" t="str">
        <f>IFERROR(AVERAGEIF(RD[[#This Row],[IS1GHI1 (KWh/m2)]:[IS7GHI2 (KWh/m2)]],"&lt;&gt;0",RD[[#This Row],[IS1GHI1 (KWh/m2)]:[IS7GHI2 (KWh/m2)]]),"")</f>
        <v/>
      </c>
      <c r="CZ128" s="204" t="str">
        <f>IFERROR(AVERAGEIF(RD[[#This Row],[IS1POA_BS1 (KWh/m2)]:[IS7POA_BS2 (KWh/m2)]],"&lt;&gt;0",RD[[#This Row],[IS1POA_BS1 (KWh/m2)]:[IS7POA_BS2 (KWh/m2)]]),"")</f>
        <v/>
      </c>
      <c r="DA128" s="204" t="str">
        <f>IFERROR(AVERAGEIF(RD[[#This Row],[IS1GHI_BS1 (KWh/m2)]:[IS1GHI_BS1 (KWh/m2)2]],"&lt;&gt;0",RD[[#This Row],[IS1GHI_BS1 (KWh/m2)]:[IS1GHI_BS1 (KWh/m2)2]]),"")</f>
        <v/>
      </c>
      <c r="DB128" s="204" t="str">
        <f>IFERROR(AVERAGEIF(RD[[#This Row],[IS1AT1 (°C)]:[IS7AT2 (°C)]],"&lt;&gt;0",RD[[#This Row],[IS1AT1 (°C)]:[IS7AT2 (°C)]]),"")</f>
        <v/>
      </c>
      <c r="DC128" s="204" t="str">
        <f>IFERROR(AVERAGEIF(RD[[#This Row],[IS1MT1 (°C)]:[IS7MT2 (°C)]],"&lt;&gt;0",RD[[#This Row],[IS1MT1 (°C)]:[IS7MT2 (°C)]]),"")</f>
        <v/>
      </c>
      <c r="DD128" s="204" t="str">
        <f>IFERROR(AVERAGEIF(RD[[#This Row],[IS1RH1 (%)]:[IS7RH2 (%)]],"&lt;&gt;0",RD[[#This Row],[IS1RH1 (%)]:[IS7RH2 (%)]]),"")</f>
        <v/>
      </c>
      <c r="DE128" s="204" t="str">
        <f>IFERROR(AVERAGEIF(RD[[#This Row],[IS1Rain1 (mm)]:[IS7Rain2 (mm)]],"&lt;&gt;0",RD[[#This Row],[IS1Rain1 (mm)]:[IS7Rain2 (mm)]]),"")</f>
        <v/>
      </c>
      <c r="DF128" s="204" t="str">
        <f>IFERROR(AVERAGEIF(RD[[#This Row],[WS_Solar1_Avg (m/s)]:[IS7_WS_Solar1_Avg (m/s)]],"&lt;&gt;0",RD[[#This Row],[WS_Solar1_Avg (m/s)]:[IS7_WS_Solar1_Avg (m/s)]]),"")</f>
        <v/>
      </c>
      <c r="DG128" s="204" t="str">
        <f>IFERROR(AVERAGEIF(RD[[#This Row],[WS_Solar1_Max (m/s)]:[IS7_WS_Solar1_Max (m/s)]],"&lt;&gt;0",RD[[#This Row],[WS_Solar1_Max (m/s)]:[IS7_WS_Solar1_Max (m/s)]]),"")</f>
        <v/>
      </c>
      <c r="DH128" s="204">
        <f>SUM(RD[[#This Row],[IS1Inv1M1]:[IS4Inv4M2]])</f>
        <v>0</v>
      </c>
      <c r="DI128" s="205">
        <f>SUM(RD[[#This Row],[IS7Inv1M1]]+RD[[#This Row],[IS7Inv2M1]])</f>
        <v>0</v>
      </c>
      <c r="DJ128" s="204">
        <f>SUM(RD[[#This Row],[IS5Inv1M1]:[IS5Inv2M2]])</f>
        <v>0</v>
      </c>
      <c r="DK128" s="204">
        <f>SUM(RD[[#This Row],[IS8Inv1M1]:[IS9Inv2M2]])</f>
        <v>0</v>
      </c>
      <c r="DL128" s="60">
        <f>SUM(RD[[#This Row],[IS6Inv1M1]:[IS6Inv2M2]])</f>
        <v>0</v>
      </c>
      <c r="DM128" s="286">
        <f>SUM(RD[[#This Row],[IS10Inv1M1]:[IS11Inv1M4]],RD[[#This Row],[IS14Inv1M1]:[IS14Inv2M4]])</f>
        <v>0</v>
      </c>
      <c r="DN128" s="286">
        <f>SUM(RD[[#This Row],[IS12Inv1M1]:[IS12Inv1M4]])</f>
        <v>0</v>
      </c>
      <c r="DO128" s="286">
        <f>SUM(RD[[#This Row],[IS13Inv1M1]:[IS13Inv2M2]])</f>
        <v>0</v>
      </c>
      <c r="DP128" s="204">
        <f>SUM(RD[[#This Row],[O2R15]:[O2R26]])</f>
        <v>0</v>
      </c>
      <c r="DQ128" s="315"/>
      <c r="DR128" s="134"/>
      <c r="DS128" s="241"/>
      <c r="DT128" s="315"/>
      <c r="DU128" s="134"/>
      <c r="DV128" s="134"/>
      <c r="DW128" s="315"/>
      <c r="DX128" s="134"/>
      <c r="DY128" s="134"/>
      <c r="DZ128" s="134"/>
      <c r="EA128" s="134"/>
      <c r="EB128" s="315"/>
      <c r="EC128" s="315"/>
      <c r="ED128" s="315"/>
      <c r="EE128" s="315"/>
      <c r="EF128" s="315"/>
      <c r="EG128" s="240"/>
      <c r="EH128" s="146">
        <f>IF((RD[[#This Row],[33 kV_F3_Ex
Incomer1]]-DQ127)*1000&lt;0,0,(RD[[#This Row],[33 kV_F3_Ex
Incomer1]]-DQ127)*1000)</f>
        <v>0</v>
      </c>
      <c r="EI128" s="242"/>
      <c r="EJ128" s="146"/>
      <c r="EK128" s="146"/>
      <c r="EL128" s="146"/>
      <c r="EM128" s="146"/>
      <c r="EN128" s="146"/>
      <c r="EO128" s="146"/>
      <c r="EP128" s="146">
        <f>IF((RD[[#This Row],[33 kV_F7_Ex
Incomer5]]-DY127)*1000&lt;0,0,(RD[[#This Row],[33 kV_F7_Ex
Incomer5]]-DY127)*1000)</f>
        <v>0</v>
      </c>
      <c r="EQ128" s="146">
        <f>IF((RD[[#This Row],[33 kV_F7_Im
Incomer5]]-DZ127)*1000&lt;0,0,(RD[[#This Row],[33 kV_F7_Im
Incomer5]]-DZ127)*1000)</f>
        <v>0</v>
      </c>
      <c r="ER128" s="146"/>
      <c r="ES128" s="316">
        <f>IF((RD[[#This Row],[33kV_OG1_Ex_]]-EB127)*1000&lt;=0,0,(RD[[#This Row],[33kV_OG1_Ex_]]-EB127)*1000)</f>
        <v>0</v>
      </c>
      <c r="ET128" s="242">
        <f>IFERROR(IF((RD[[#This Row],[33kV_OG1_Im]]-EC127)*1000&lt;=0,0,(RD[[#This Row],[33kV_OG1_Im]]-EC127)*1000),0)</f>
        <v>0</v>
      </c>
      <c r="EU128" s="242">
        <f>(RD[[#This Row],[132kV_TX1_EX]]-EE125)</f>
        <v>0</v>
      </c>
      <c r="EV128" s="242">
        <f>IF((RD[[#This Row],[132 kV_Tx1_Im]]-EE127)*800000&lt;=0,0,(RD[[#This Row],[132 kV_Tx1_Im]]-EE127)*800000)</f>
        <v>0</v>
      </c>
      <c r="EW128" s="242">
        <f>IF((RD[[#This Row],[132kV_L1_Ex]]-EF127)*1600000&lt;=0,0,(RD[[#This Row],[132kV_L1_Ex]]-EF127)*1600000)</f>
        <v>0</v>
      </c>
      <c r="EX128" s="242" t="str">
        <f>IF((RD[[#This Row],[132kV_L1_Im]]-EG127)*1600000&lt;=0,"",(RD[[#This Row],[132kV_L1_Im]]-EG127)*1600000)</f>
        <v/>
      </c>
      <c r="EY128" s="242">
        <f>IFERROR(RD[[#This Row],[33kV_OG1_Ex (MWh)]]+RD[[#This Row],[33kV_OG1_Im (MWh)]],"")</f>
        <v>0</v>
      </c>
      <c r="EZ128" s="148">
        <f>RD[[#This Row],[33kV_OG1_Ex (MWh)]]-RD[[#This Row],[33kV_OG1_Im (MWh)]]</f>
        <v>0</v>
      </c>
      <c r="FA128" s="148" t="str">
        <f>IFERROR(RD[[#This Row],[132kV_L1_Ex(MWh)]]-RD[[#This Row],[132kV_L1_Im(MWh)]],"")</f>
        <v/>
      </c>
      <c r="FB128" s="297" t="str">
        <f>IFERROR(RD[[#This Row],[33kV_Ex(MWh)]]/RD[[#This Row],[Inv Total Gneration (MWh)]]-1,"")</f>
        <v/>
      </c>
      <c r="FC128" s="243">
        <f>IFERROR((RD[[#This Row],[Sunset Time (POA&lt;20 W/m2)]]-RD[[#This Row],[Sunrise Time (POA&gt;20 W/m2)]])*24,0)</f>
        <v>0</v>
      </c>
      <c r="FD128" s="244"/>
      <c r="FE128"/>
      <c r="FG128" s="144" t="str">
        <f>IFERROR(RD[[#This Row],[E_AC (WPR)]]/RD[[#This Row],[E_DC (WPR)]],"")</f>
        <v/>
      </c>
    </row>
    <row r="129" spans="1:163">
      <c r="A129" s="133">
        <f t="shared" si="167"/>
        <v>45869</v>
      </c>
      <c r="B129" s="138">
        <f>YEAR(RD[[#This Row],[Date]])+IF(MONTH(RD[[#This Row],[Date]])&gt;=4,1,0)</f>
        <v>2026</v>
      </c>
      <c r="C129" s="138">
        <f>YEAR(RD[[#This Row],[Date]])</f>
        <v>2025</v>
      </c>
      <c r="D129" s="139">
        <f t="shared" si="170"/>
        <v>45839</v>
      </c>
      <c r="E129" s="138">
        <f>DAY(EOMONTH(RD[[#This Row],[Date]],0))</f>
        <v>31</v>
      </c>
      <c r="F129" s="300"/>
      <c r="G129" s="301"/>
      <c r="H129" s="300"/>
      <c r="I129" s="302"/>
      <c r="J129" s="300"/>
      <c r="K129" s="300"/>
      <c r="L129" s="300"/>
      <c r="M129" s="300"/>
      <c r="N129" s="300"/>
      <c r="O129" s="300"/>
      <c r="P129" s="300"/>
      <c r="Q129" s="300"/>
      <c r="R129" s="300"/>
      <c r="S129" s="302"/>
      <c r="T129" s="300"/>
      <c r="U129" s="300"/>
      <c r="V129" s="300"/>
      <c r="W129" s="300"/>
      <c r="X129" s="294"/>
      <c r="Y129" s="203"/>
      <c r="Z129" s="203"/>
      <c r="AA129" s="203"/>
      <c r="AB129" s="294"/>
      <c r="AC129" s="203"/>
      <c r="AD129" s="203"/>
      <c r="AE129" s="203"/>
      <c r="AF129" s="294"/>
      <c r="AG129" s="203"/>
      <c r="AH129" s="203"/>
      <c r="AI129" s="294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  <c r="BA129" s="142"/>
      <c r="BB129" s="142"/>
      <c r="BC129" s="142"/>
      <c r="BD129" s="142"/>
      <c r="BE129" s="142"/>
      <c r="BF129" s="142"/>
      <c r="BG129" s="142"/>
      <c r="BH129" s="142"/>
      <c r="BI129" s="142"/>
      <c r="BJ129" s="142"/>
      <c r="BK129" s="142"/>
      <c r="BL129" s="142"/>
      <c r="BM129" s="142"/>
      <c r="BN129" s="142"/>
      <c r="BO129" s="142"/>
      <c r="BP129" s="142"/>
      <c r="BQ129" s="142"/>
      <c r="BR129" s="142"/>
      <c r="BS129" s="142"/>
      <c r="BT129" s="142"/>
      <c r="BU129" s="142"/>
      <c r="BV129" s="203"/>
      <c r="BW129" s="203"/>
      <c r="BX129" s="203"/>
      <c r="BY129" s="203"/>
      <c r="BZ129" s="142"/>
      <c r="CA129" s="142"/>
      <c r="CB129" s="142"/>
      <c r="CC129" s="142"/>
      <c r="CD129" s="295"/>
      <c r="CE129" s="59"/>
      <c r="CF129" s="295"/>
      <c r="CG129" s="206"/>
      <c r="CH129" s="295"/>
      <c r="CI129" s="206"/>
      <c r="CJ129" s="296"/>
      <c r="CK129" s="59"/>
      <c r="CL129" s="295"/>
      <c r="CM129" s="206"/>
      <c r="CN129" s="295"/>
      <c r="CO129" s="206"/>
      <c r="CP129" s="295"/>
      <c r="CQ129" s="206"/>
      <c r="CR129" s="295"/>
      <c r="CS129" s="59"/>
      <c r="CT129" s="295"/>
      <c r="CU129" s="206"/>
      <c r="CV129" s="295"/>
      <c r="CW129" s="258"/>
      <c r="CX129" s="204" t="str">
        <f>IFERROR(AVERAGEIF(RD[[#This Row],[IS1POA1 (KWh/m2)]:[IS7POA2 (KWh/m2)]],"&lt;&gt;0",RD[[#This Row],[IS1POA1 (KWh/m2)]:[IS7POA2 (KWh/m2)]]),"")</f>
        <v/>
      </c>
      <c r="CY129" s="204" t="str">
        <f>IFERROR(AVERAGEIF(RD[[#This Row],[IS1GHI1 (KWh/m2)]:[IS7GHI2 (KWh/m2)]],"&lt;&gt;0",RD[[#This Row],[IS1GHI1 (KWh/m2)]:[IS7GHI2 (KWh/m2)]]),"")</f>
        <v/>
      </c>
      <c r="CZ129" s="204" t="str">
        <f>IFERROR(AVERAGEIF(RD[[#This Row],[IS1POA_BS1 (KWh/m2)]:[IS7POA_BS2 (KWh/m2)]],"&lt;&gt;0",RD[[#This Row],[IS1POA_BS1 (KWh/m2)]:[IS7POA_BS2 (KWh/m2)]]),"")</f>
        <v/>
      </c>
      <c r="DA129" s="204" t="str">
        <f>IFERROR(AVERAGEIF(RD[[#This Row],[IS1GHI_BS1 (KWh/m2)]:[IS1GHI_BS1 (KWh/m2)2]],"&lt;&gt;0",RD[[#This Row],[IS1GHI_BS1 (KWh/m2)]:[IS1GHI_BS1 (KWh/m2)2]]),"")</f>
        <v/>
      </c>
      <c r="DB129" s="204" t="str">
        <f>IFERROR(AVERAGEIF(RD[[#This Row],[IS1AT1 (°C)]:[IS7AT2 (°C)]],"&lt;&gt;0",RD[[#This Row],[IS1AT1 (°C)]:[IS7AT2 (°C)]]),"")</f>
        <v/>
      </c>
      <c r="DC129" s="204" t="str">
        <f>IFERROR(AVERAGEIF(RD[[#This Row],[IS1MT1 (°C)]:[IS7MT2 (°C)]],"&lt;&gt;0",RD[[#This Row],[IS1MT1 (°C)]:[IS7MT2 (°C)]]),"")</f>
        <v/>
      </c>
      <c r="DD129" s="204" t="str">
        <f>IFERROR(AVERAGEIF(RD[[#This Row],[IS1RH1 (%)]:[IS7RH2 (%)]],"&lt;&gt;0",RD[[#This Row],[IS1RH1 (%)]:[IS7RH2 (%)]]),"")</f>
        <v/>
      </c>
      <c r="DE129" s="204" t="str">
        <f>IFERROR(AVERAGEIF(RD[[#This Row],[IS1Rain1 (mm)]:[IS7Rain2 (mm)]],"&lt;&gt;0",RD[[#This Row],[IS1Rain1 (mm)]:[IS7Rain2 (mm)]]),"")</f>
        <v/>
      </c>
      <c r="DF129" s="204" t="str">
        <f>IFERROR(AVERAGEIF(RD[[#This Row],[WS_Solar1_Avg (m/s)]:[IS7_WS_Solar1_Avg (m/s)]],"&lt;&gt;0",RD[[#This Row],[WS_Solar1_Avg (m/s)]:[IS7_WS_Solar1_Avg (m/s)]]),"")</f>
        <v/>
      </c>
      <c r="DG129" s="204" t="str">
        <f>IFERROR(AVERAGEIF(RD[[#This Row],[WS_Solar1_Max (m/s)]:[IS7_WS_Solar1_Max (m/s)]],"&lt;&gt;0",RD[[#This Row],[WS_Solar1_Max (m/s)]:[IS7_WS_Solar1_Max (m/s)]]),"")</f>
        <v/>
      </c>
      <c r="DH129" s="204">
        <f>SUM(RD[[#This Row],[IS1Inv1M1]:[IS4Inv4M2]])</f>
        <v>0</v>
      </c>
      <c r="DI129" s="205">
        <f>SUM(RD[[#This Row],[IS7Inv1M1]]+RD[[#This Row],[IS7Inv2M1]])</f>
        <v>0</v>
      </c>
      <c r="DJ129" s="204">
        <f>SUM(RD[[#This Row],[IS5Inv1M1]:[IS5Inv2M2]])</f>
        <v>0</v>
      </c>
      <c r="DK129" s="204">
        <f>SUM(RD[[#This Row],[IS8Inv1M1]:[IS9Inv2M2]])</f>
        <v>0</v>
      </c>
      <c r="DL129" s="60">
        <f>SUM(RD[[#This Row],[IS6Inv1M1]:[IS6Inv2M2]])</f>
        <v>0</v>
      </c>
      <c r="DM129" s="286">
        <f>SUM(RD[[#This Row],[IS10Inv1M1]:[IS11Inv1M4]],RD[[#This Row],[IS14Inv1M1]:[IS14Inv2M4]])</f>
        <v>0</v>
      </c>
      <c r="DN129" s="286">
        <f>SUM(RD[[#This Row],[IS12Inv1M1]:[IS12Inv1M4]])</f>
        <v>0</v>
      </c>
      <c r="DO129" s="286">
        <f>SUM(RD[[#This Row],[IS13Inv1M1]:[IS13Inv2M2]])</f>
        <v>0</v>
      </c>
      <c r="DP129" s="204">
        <f>SUM(RD[[#This Row],[O2R15]:[O2R26]])</f>
        <v>0</v>
      </c>
      <c r="DQ129" s="315"/>
      <c r="DR129" s="134"/>
      <c r="DS129" s="241"/>
      <c r="DT129" s="315"/>
      <c r="DU129" s="134"/>
      <c r="DV129" s="134"/>
      <c r="DW129" s="315"/>
      <c r="DX129" s="134"/>
      <c r="DY129" s="134"/>
      <c r="DZ129" s="134"/>
      <c r="EA129" s="134"/>
      <c r="EB129" s="315"/>
      <c r="EC129" s="315"/>
      <c r="ED129" s="315"/>
      <c r="EE129" s="315"/>
      <c r="EF129" s="315"/>
      <c r="EG129" s="240"/>
      <c r="EH129" s="146">
        <f>IF((RD[[#This Row],[33 kV_F3_Ex
Incomer1]]-DQ128)*1000&lt;0,0,(RD[[#This Row],[33 kV_F3_Ex
Incomer1]]-DQ128)*1000)</f>
        <v>0</v>
      </c>
      <c r="EI129" s="242"/>
      <c r="EJ129" s="146"/>
      <c r="EK129" s="146"/>
      <c r="EL129" s="146"/>
      <c r="EM129" s="146"/>
      <c r="EN129" s="146"/>
      <c r="EO129" s="146"/>
      <c r="EP129" s="146">
        <f>IF((RD[[#This Row],[33 kV_F7_Ex
Incomer5]]-DY128)*1000&lt;0,0,(RD[[#This Row],[33 kV_F7_Ex
Incomer5]]-DY128)*1000)</f>
        <v>0</v>
      </c>
      <c r="EQ129" s="146">
        <f>IF((RD[[#This Row],[33 kV_F7_Im
Incomer5]]-DZ128)*1000&lt;0,0,(RD[[#This Row],[33 kV_F7_Im
Incomer5]]-DZ128)*1000)</f>
        <v>0</v>
      </c>
      <c r="ER129" s="146"/>
      <c r="ES129" s="316">
        <f>IF((RD[[#This Row],[33kV_OG1_Ex_]]-EB128)*1000&lt;=0,0,(RD[[#This Row],[33kV_OG1_Ex_]]-EB128)*1000)</f>
        <v>0</v>
      </c>
      <c r="ET129" s="242">
        <f>IFERROR(IF((RD[[#This Row],[33kV_OG1_Im]]-EC128)*1000&lt;=0,0,(RD[[#This Row],[33kV_OG1_Im]]-EC128)*1000),0)</f>
        <v>0</v>
      </c>
      <c r="EU129" s="242">
        <f>(RD[[#This Row],[132kV_TX1_EX]]-EE126)</f>
        <v>0</v>
      </c>
      <c r="EV129" s="242">
        <f>IF((RD[[#This Row],[132 kV_Tx1_Im]]-EE128)*800000&lt;=0,0,(RD[[#This Row],[132 kV_Tx1_Im]]-EE128)*800000)</f>
        <v>0</v>
      </c>
      <c r="EW129" s="242">
        <f>IF((RD[[#This Row],[132kV_L1_Ex]]-EF128)*1600000&lt;=0,0,(RD[[#This Row],[132kV_L1_Ex]]-EF128)*1600000)</f>
        <v>0</v>
      </c>
      <c r="EX129" s="242" t="str">
        <f>IF((RD[[#This Row],[132kV_L1_Im]]-EG128)*1600000&lt;=0,"",(RD[[#This Row],[132kV_L1_Im]]-EG128)*1600000)</f>
        <v/>
      </c>
      <c r="EY129" s="242">
        <f>IFERROR(RD[[#This Row],[33kV_OG1_Ex (MWh)]]+RD[[#This Row],[33kV_OG1_Im (MWh)]],"")</f>
        <v>0</v>
      </c>
      <c r="EZ129" s="148">
        <f>RD[[#This Row],[33kV_OG1_Ex (MWh)]]-RD[[#This Row],[33kV_OG1_Im (MWh)]]</f>
        <v>0</v>
      </c>
      <c r="FA129" s="148" t="str">
        <f>IFERROR(RD[[#This Row],[132kV_L1_Ex(MWh)]]-RD[[#This Row],[132kV_L1_Im(MWh)]],"")</f>
        <v/>
      </c>
      <c r="FB129" s="297" t="str">
        <f>IFERROR(RD[[#This Row],[33kV_Ex(MWh)]]/RD[[#This Row],[Inv Total Gneration (MWh)]]-1,"")</f>
        <v/>
      </c>
      <c r="FC129" s="243">
        <f>IFERROR((RD[[#This Row],[Sunset Time (POA&lt;20 W/m2)]]-RD[[#This Row],[Sunrise Time (POA&gt;20 W/m2)]])*24,0)</f>
        <v>0</v>
      </c>
      <c r="FD129" s="244"/>
      <c r="FE129"/>
      <c r="FG129" s="144" t="str">
        <f>IFERROR(RD[[#This Row],[E_AC (WPR)]]/RD[[#This Row],[E_DC (WPR)]],"")</f>
        <v/>
      </c>
    </row>
    <row r="130" spans="1:163">
      <c r="A130" s="133">
        <f t="shared" si="167"/>
        <v>45870</v>
      </c>
      <c r="B130" s="138">
        <f>YEAR(RD[[#This Row],[Date]])+IF(MONTH(RD[[#This Row],[Date]])&gt;=4,1,0)</f>
        <v>2026</v>
      </c>
      <c r="C130" s="138">
        <f>YEAR(RD[[#This Row],[Date]])</f>
        <v>2025</v>
      </c>
      <c r="D130" s="139">
        <f t="shared" si="170"/>
        <v>45870</v>
      </c>
      <c r="E130" s="138">
        <f>DAY(EOMONTH(RD[[#This Row],[Date]],0))</f>
        <v>31</v>
      </c>
      <c r="F130" s="300"/>
      <c r="G130" s="301"/>
      <c r="H130" s="300"/>
      <c r="I130" s="302"/>
      <c r="J130" s="300"/>
      <c r="K130" s="300"/>
      <c r="L130" s="300"/>
      <c r="M130" s="300"/>
      <c r="N130" s="300"/>
      <c r="O130" s="300"/>
      <c r="P130" s="300"/>
      <c r="Q130" s="300"/>
      <c r="R130" s="300"/>
      <c r="S130" s="302"/>
      <c r="T130" s="300"/>
      <c r="U130" s="300"/>
      <c r="V130" s="300"/>
      <c r="W130" s="300"/>
      <c r="X130" s="294"/>
      <c r="Y130" s="203"/>
      <c r="Z130" s="203"/>
      <c r="AA130" s="203"/>
      <c r="AB130" s="294"/>
      <c r="AC130" s="203"/>
      <c r="AD130" s="203"/>
      <c r="AE130" s="203"/>
      <c r="AF130" s="294"/>
      <c r="AG130" s="203"/>
      <c r="AH130" s="203"/>
      <c r="AI130" s="294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  <c r="BA130" s="142"/>
      <c r="BB130" s="142"/>
      <c r="BC130" s="142"/>
      <c r="BD130" s="142"/>
      <c r="BE130" s="142"/>
      <c r="BF130" s="142"/>
      <c r="BG130" s="142"/>
      <c r="BH130" s="142"/>
      <c r="BI130" s="142"/>
      <c r="BJ130" s="142"/>
      <c r="BK130" s="142"/>
      <c r="BL130" s="142"/>
      <c r="BM130" s="142"/>
      <c r="BN130" s="142"/>
      <c r="BO130" s="142"/>
      <c r="BP130" s="142"/>
      <c r="BQ130" s="142"/>
      <c r="BR130" s="142"/>
      <c r="BS130" s="142"/>
      <c r="BT130" s="142"/>
      <c r="BU130" s="142"/>
      <c r="BV130" s="203"/>
      <c r="BW130" s="203"/>
      <c r="BX130" s="203"/>
      <c r="BY130" s="203"/>
      <c r="BZ130" s="142"/>
      <c r="CA130" s="142"/>
      <c r="CB130" s="142"/>
      <c r="CC130" s="142"/>
      <c r="CD130" s="295"/>
      <c r="CE130" s="59"/>
      <c r="CF130" s="295"/>
      <c r="CG130" s="206"/>
      <c r="CH130" s="295"/>
      <c r="CI130" s="206"/>
      <c r="CJ130" s="296"/>
      <c r="CK130" s="59"/>
      <c r="CL130" s="295"/>
      <c r="CM130" s="206"/>
      <c r="CN130" s="295"/>
      <c r="CO130" s="206"/>
      <c r="CP130" s="295"/>
      <c r="CQ130" s="206"/>
      <c r="CR130" s="295"/>
      <c r="CS130" s="59"/>
      <c r="CT130" s="295"/>
      <c r="CU130" s="206"/>
      <c r="CV130" s="295"/>
      <c r="CW130" s="258"/>
      <c r="CX130" s="204" t="str">
        <f>IFERROR(AVERAGEIF(RD[[#This Row],[IS1POA1 (KWh/m2)]:[IS7POA2 (KWh/m2)]],"&lt;&gt;0",RD[[#This Row],[IS1POA1 (KWh/m2)]:[IS7POA2 (KWh/m2)]]),"")</f>
        <v/>
      </c>
      <c r="CY130" s="204" t="str">
        <f>IFERROR(AVERAGEIF(RD[[#This Row],[IS1GHI1 (KWh/m2)]:[IS7GHI2 (KWh/m2)]],"&lt;&gt;0",RD[[#This Row],[IS1GHI1 (KWh/m2)]:[IS7GHI2 (KWh/m2)]]),"")</f>
        <v/>
      </c>
      <c r="CZ130" s="204" t="str">
        <f>IFERROR(AVERAGEIF(RD[[#This Row],[IS1POA_BS1 (KWh/m2)]:[IS7POA_BS2 (KWh/m2)]],"&lt;&gt;0",RD[[#This Row],[IS1POA_BS1 (KWh/m2)]:[IS7POA_BS2 (KWh/m2)]]),"")</f>
        <v/>
      </c>
      <c r="DA130" s="204" t="str">
        <f>IFERROR(AVERAGEIF(RD[[#This Row],[IS1GHI_BS1 (KWh/m2)]:[IS1GHI_BS1 (KWh/m2)2]],"&lt;&gt;0",RD[[#This Row],[IS1GHI_BS1 (KWh/m2)]:[IS1GHI_BS1 (KWh/m2)2]]),"")</f>
        <v/>
      </c>
      <c r="DB130" s="204" t="str">
        <f>IFERROR(AVERAGEIF(RD[[#This Row],[IS1AT1 (°C)]:[IS7AT2 (°C)]],"&lt;&gt;0",RD[[#This Row],[IS1AT1 (°C)]:[IS7AT2 (°C)]]),"")</f>
        <v/>
      </c>
      <c r="DC130" s="204" t="str">
        <f>IFERROR(AVERAGEIF(RD[[#This Row],[IS1MT1 (°C)]:[IS7MT2 (°C)]],"&lt;&gt;0",RD[[#This Row],[IS1MT1 (°C)]:[IS7MT2 (°C)]]),"")</f>
        <v/>
      </c>
      <c r="DD130" s="204" t="str">
        <f>IFERROR(AVERAGEIF(RD[[#This Row],[IS1RH1 (%)]:[IS7RH2 (%)]],"&lt;&gt;0",RD[[#This Row],[IS1RH1 (%)]:[IS7RH2 (%)]]),"")</f>
        <v/>
      </c>
      <c r="DE130" s="204" t="str">
        <f>IFERROR(AVERAGEIF(RD[[#This Row],[IS1Rain1 (mm)]:[IS7Rain2 (mm)]],"&lt;&gt;0",RD[[#This Row],[IS1Rain1 (mm)]:[IS7Rain2 (mm)]]),"")</f>
        <v/>
      </c>
      <c r="DF130" s="204" t="str">
        <f>IFERROR(AVERAGEIF(RD[[#This Row],[WS_Solar1_Avg (m/s)]:[IS7_WS_Solar1_Avg (m/s)]],"&lt;&gt;0",RD[[#This Row],[WS_Solar1_Avg (m/s)]:[IS7_WS_Solar1_Avg (m/s)]]),"")</f>
        <v/>
      </c>
      <c r="DG130" s="204" t="str">
        <f>IFERROR(AVERAGEIF(RD[[#This Row],[WS_Solar1_Max (m/s)]:[IS7_WS_Solar1_Max (m/s)]],"&lt;&gt;0",RD[[#This Row],[WS_Solar1_Max (m/s)]:[IS7_WS_Solar1_Max (m/s)]]),"")</f>
        <v/>
      </c>
      <c r="DH130" s="204">
        <f>SUM(RD[[#This Row],[IS1Inv1M1]:[IS4Inv4M2]])</f>
        <v>0</v>
      </c>
      <c r="DI130" s="205">
        <f>SUM(RD[[#This Row],[IS7Inv1M1]]+RD[[#This Row],[IS7Inv2M1]])</f>
        <v>0</v>
      </c>
      <c r="DJ130" s="204">
        <f>SUM(RD[[#This Row],[IS5Inv1M1]:[IS5Inv2M2]])</f>
        <v>0</v>
      </c>
      <c r="DK130" s="204">
        <f>SUM(RD[[#This Row],[IS8Inv1M1]:[IS9Inv2M2]])</f>
        <v>0</v>
      </c>
      <c r="DL130" s="60">
        <f>SUM(RD[[#This Row],[IS6Inv1M1]:[IS6Inv2M2]])</f>
        <v>0</v>
      </c>
      <c r="DM130" s="286">
        <f>SUM(RD[[#This Row],[IS10Inv1M1]:[IS11Inv1M4]],RD[[#This Row],[IS14Inv1M1]:[IS14Inv2M4]])</f>
        <v>0</v>
      </c>
      <c r="DN130" s="286">
        <f>SUM(RD[[#This Row],[IS12Inv1M1]:[IS12Inv1M4]])</f>
        <v>0</v>
      </c>
      <c r="DO130" s="286">
        <f>SUM(RD[[#This Row],[IS13Inv1M1]:[IS13Inv2M2]])</f>
        <v>0</v>
      </c>
      <c r="DP130" s="204">
        <f>SUM(RD[[#This Row],[O2R15]:[O2R26]])</f>
        <v>0</v>
      </c>
      <c r="DQ130" s="315"/>
      <c r="DR130" s="134"/>
      <c r="DS130" s="241"/>
      <c r="DT130" s="315"/>
      <c r="DU130" s="134"/>
      <c r="DV130" s="134"/>
      <c r="DW130" s="315"/>
      <c r="DX130" s="134"/>
      <c r="DY130" s="134"/>
      <c r="DZ130" s="134"/>
      <c r="EA130" s="134"/>
      <c r="EB130" s="315"/>
      <c r="EC130" s="315"/>
      <c r="ED130" s="315"/>
      <c r="EE130" s="315"/>
      <c r="EF130" s="315"/>
      <c r="EG130" s="240"/>
      <c r="EH130" s="146">
        <f>IF((RD[[#This Row],[33 kV_F3_Ex
Incomer1]]-DQ129)*1000&lt;0,0,(RD[[#This Row],[33 kV_F3_Ex
Incomer1]]-DQ129)*1000)</f>
        <v>0</v>
      </c>
      <c r="EI130" s="242"/>
      <c r="EJ130" s="146"/>
      <c r="EK130" s="146"/>
      <c r="EL130" s="146"/>
      <c r="EM130" s="146"/>
      <c r="EN130" s="146"/>
      <c r="EO130" s="146"/>
      <c r="EP130" s="146">
        <f>IF((RD[[#This Row],[33 kV_F7_Ex
Incomer5]]-DY129)*1000&lt;0,0,(RD[[#This Row],[33 kV_F7_Ex
Incomer5]]-DY129)*1000)</f>
        <v>0</v>
      </c>
      <c r="EQ130" s="146">
        <f>IF((RD[[#This Row],[33 kV_F7_Im
Incomer5]]-DZ129)*1000&lt;0,0,(RD[[#This Row],[33 kV_F7_Im
Incomer5]]-DZ129)*1000)</f>
        <v>0</v>
      </c>
      <c r="ER130" s="146"/>
      <c r="ES130" s="316">
        <f>IF((RD[[#This Row],[33kV_OG1_Ex_]]-EB129)*1000&lt;=0,0,(RD[[#This Row],[33kV_OG1_Ex_]]-EB129)*1000)</f>
        <v>0</v>
      </c>
      <c r="ET130" s="242">
        <f>IFERROR(IF((RD[[#This Row],[33kV_OG1_Im]]-EC129)*1000&lt;=0,0,(RD[[#This Row],[33kV_OG1_Im]]-EC129)*1000),0)</f>
        <v>0</v>
      </c>
      <c r="EU130" s="242">
        <f>(RD[[#This Row],[132kV_TX1_EX]]-EE127)</f>
        <v>0</v>
      </c>
      <c r="EV130" s="242">
        <f>IF((RD[[#This Row],[132 kV_Tx1_Im]]-EE129)*800000&lt;=0,0,(RD[[#This Row],[132 kV_Tx1_Im]]-EE129)*800000)</f>
        <v>0</v>
      </c>
      <c r="EW130" s="242">
        <f>IF((RD[[#This Row],[132kV_L1_Ex]]-EF129)*1600000&lt;=0,0,(RD[[#This Row],[132kV_L1_Ex]]-EF129)*1600000)</f>
        <v>0</v>
      </c>
      <c r="EX130" s="242" t="str">
        <f>IF((RD[[#This Row],[132kV_L1_Im]]-EG129)*1600000&lt;=0,"",(RD[[#This Row],[132kV_L1_Im]]-EG129)*1600000)</f>
        <v/>
      </c>
      <c r="EY130" s="242">
        <f>IFERROR(RD[[#This Row],[33kV_OG1_Ex (MWh)]]+RD[[#This Row],[33kV_OG1_Im (MWh)]],"")</f>
        <v>0</v>
      </c>
      <c r="EZ130" s="148">
        <f>RD[[#This Row],[33kV_OG1_Ex (MWh)]]-RD[[#This Row],[33kV_OG1_Im (MWh)]]</f>
        <v>0</v>
      </c>
      <c r="FA130" s="148" t="str">
        <f>IFERROR(RD[[#This Row],[132kV_L1_Ex(MWh)]]-RD[[#This Row],[132kV_L1_Im(MWh)]],"")</f>
        <v/>
      </c>
      <c r="FB130" s="297" t="str">
        <f>IFERROR(RD[[#This Row],[33kV_Ex(MWh)]]/RD[[#This Row],[Inv Total Gneration (MWh)]]-1,"")</f>
        <v/>
      </c>
      <c r="FC130" s="243">
        <f>IFERROR((RD[[#This Row],[Sunset Time (POA&lt;20 W/m2)]]-RD[[#This Row],[Sunrise Time (POA&gt;20 W/m2)]])*24,0)</f>
        <v>0</v>
      </c>
      <c r="FD130" s="244"/>
      <c r="FE130"/>
      <c r="FG130" s="144" t="str">
        <f>IFERROR(RD[[#This Row],[E_AC (WPR)]]/RD[[#This Row],[E_DC (WPR)]],"")</f>
        <v/>
      </c>
    </row>
    <row r="131" spans="1:163">
      <c r="A131" s="133">
        <f t="shared" si="167"/>
        <v>45871</v>
      </c>
      <c r="B131" s="138">
        <f>YEAR(RD[[#This Row],[Date]])+IF(MONTH(RD[[#This Row],[Date]])&gt;=4,1,0)</f>
        <v>2026</v>
      </c>
      <c r="C131" s="138">
        <f>YEAR(RD[[#This Row],[Date]])</f>
        <v>2025</v>
      </c>
      <c r="D131" s="139">
        <f t="shared" si="170"/>
        <v>45870</v>
      </c>
      <c r="E131" s="138">
        <f>DAY(EOMONTH(RD[[#This Row],[Date]],0))</f>
        <v>31</v>
      </c>
      <c r="F131" s="300"/>
      <c r="G131" s="301"/>
      <c r="H131" s="300"/>
      <c r="I131" s="302"/>
      <c r="J131" s="300"/>
      <c r="K131" s="300"/>
      <c r="L131" s="300"/>
      <c r="M131" s="300"/>
      <c r="N131" s="300"/>
      <c r="O131" s="300"/>
      <c r="P131" s="300"/>
      <c r="Q131" s="300"/>
      <c r="R131" s="300"/>
      <c r="S131" s="302"/>
      <c r="T131" s="300"/>
      <c r="U131" s="300"/>
      <c r="V131" s="300"/>
      <c r="W131" s="300"/>
      <c r="X131" s="294"/>
      <c r="Y131" s="203"/>
      <c r="Z131" s="203"/>
      <c r="AA131" s="203"/>
      <c r="AB131" s="294"/>
      <c r="AC131" s="203"/>
      <c r="AD131" s="203"/>
      <c r="AE131" s="203"/>
      <c r="AF131" s="294"/>
      <c r="AG131" s="203"/>
      <c r="AH131" s="203"/>
      <c r="AI131" s="294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  <c r="BA131" s="142"/>
      <c r="BB131" s="142"/>
      <c r="BC131" s="142"/>
      <c r="BD131" s="142"/>
      <c r="BE131" s="142"/>
      <c r="BF131" s="142"/>
      <c r="BG131" s="142"/>
      <c r="BH131" s="142"/>
      <c r="BI131" s="142"/>
      <c r="BJ131" s="142"/>
      <c r="BK131" s="142"/>
      <c r="BL131" s="142"/>
      <c r="BM131" s="142"/>
      <c r="BN131" s="142"/>
      <c r="BO131" s="142"/>
      <c r="BP131" s="142"/>
      <c r="BQ131" s="142"/>
      <c r="BR131" s="142"/>
      <c r="BS131" s="142"/>
      <c r="BT131" s="142"/>
      <c r="BU131" s="142"/>
      <c r="BV131" s="203"/>
      <c r="BW131" s="203"/>
      <c r="BX131" s="203"/>
      <c r="BY131" s="203"/>
      <c r="BZ131" s="142"/>
      <c r="CA131" s="142"/>
      <c r="CB131" s="142"/>
      <c r="CC131" s="142"/>
      <c r="CD131" s="295"/>
      <c r="CE131" s="59"/>
      <c r="CF131" s="295"/>
      <c r="CG131" s="206"/>
      <c r="CH131" s="295"/>
      <c r="CI131" s="206"/>
      <c r="CJ131" s="296"/>
      <c r="CK131" s="59"/>
      <c r="CL131" s="295"/>
      <c r="CM131" s="206"/>
      <c r="CN131" s="295"/>
      <c r="CO131" s="206"/>
      <c r="CP131" s="295"/>
      <c r="CQ131" s="206"/>
      <c r="CR131" s="295"/>
      <c r="CS131" s="59"/>
      <c r="CT131" s="295"/>
      <c r="CU131" s="206"/>
      <c r="CV131" s="295"/>
      <c r="CW131" s="258"/>
      <c r="CX131" s="204" t="str">
        <f>IFERROR(AVERAGEIF(RD[[#This Row],[IS1POA1 (KWh/m2)]:[IS7POA2 (KWh/m2)]],"&lt;&gt;0",RD[[#This Row],[IS1POA1 (KWh/m2)]:[IS7POA2 (KWh/m2)]]),"")</f>
        <v/>
      </c>
      <c r="CY131" s="204" t="str">
        <f>IFERROR(AVERAGEIF(RD[[#This Row],[IS1GHI1 (KWh/m2)]:[IS7GHI2 (KWh/m2)]],"&lt;&gt;0",RD[[#This Row],[IS1GHI1 (KWh/m2)]:[IS7GHI2 (KWh/m2)]]),"")</f>
        <v/>
      </c>
      <c r="CZ131" s="204" t="str">
        <f>IFERROR(AVERAGEIF(RD[[#This Row],[IS1POA_BS1 (KWh/m2)]:[IS7POA_BS2 (KWh/m2)]],"&lt;&gt;0",RD[[#This Row],[IS1POA_BS1 (KWh/m2)]:[IS7POA_BS2 (KWh/m2)]]),"")</f>
        <v/>
      </c>
      <c r="DA131" s="204" t="str">
        <f>IFERROR(AVERAGEIF(RD[[#This Row],[IS1GHI_BS1 (KWh/m2)]:[IS1GHI_BS1 (KWh/m2)2]],"&lt;&gt;0",RD[[#This Row],[IS1GHI_BS1 (KWh/m2)]:[IS1GHI_BS1 (KWh/m2)2]]),"")</f>
        <v/>
      </c>
      <c r="DB131" s="204" t="str">
        <f>IFERROR(AVERAGEIF(RD[[#This Row],[IS1AT1 (°C)]:[IS7AT2 (°C)]],"&lt;&gt;0",RD[[#This Row],[IS1AT1 (°C)]:[IS7AT2 (°C)]]),"")</f>
        <v/>
      </c>
      <c r="DC131" s="204" t="str">
        <f>IFERROR(AVERAGEIF(RD[[#This Row],[IS1MT1 (°C)]:[IS7MT2 (°C)]],"&lt;&gt;0",RD[[#This Row],[IS1MT1 (°C)]:[IS7MT2 (°C)]]),"")</f>
        <v/>
      </c>
      <c r="DD131" s="204" t="str">
        <f>IFERROR(AVERAGEIF(RD[[#This Row],[IS1RH1 (%)]:[IS7RH2 (%)]],"&lt;&gt;0",RD[[#This Row],[IS1RH1 (%)]:[IS7RH2 (%)]]),"")</f>
        <v/>
      </c>
      <c r="DE131" s="204" t="str">
        <f>IFERROR(AVERAGEIF(RD[[#This Row],[IS1Rain1 (mm)]:[IS7Rain2 (mm)]],"&lt;&gt;0",RD[[#This Row],[IS1Rain1 (mm)]:[IS7Rain2 (mm)]]),"")</f>
        <v/>
      </c>
      <c r="DF131" s="204" t="str">
        <f>IFERROR(AVERAGEIF(RD[[#This Row],[WS_Solar1_Avg (m/s)]:[IS7_WS_Solar1_Avg (m/s)]],"&lt;&gt;0",RD[[#This Row],[WS_Solar1_Avg (m/s)]:[IS7_WS_Solar1_Avg (m/s)]]),"")</f>
        <v/>
      </c>
      <c r="DG131" s="204" t="str">
        <f>IFERROR(AVERAGEIF(RD[[#This Row],[WS_Solar1_Max (m/s)]:[IS7_WS_Solar1_Max (m/s)]],"&lt;&gt;0",RD[[#This Row],[WS_Solar1_Max (m/s)]:[IS7_WS_Solar1_Max (m/s)]]),"")</f>
        <v/>
      </c>
      <c r="DH131" s="204">
        <f>SUM(RD[[#This Row],[IS1Inv1M1]:[IS4Inv4M2]])</f>
        <v>0</v>
      </c>
      <c r="DI131" s="205">
        <f>SUM(RD[[#This Row],[IS7Inv1M1]]+RD[[#This Row],[IS7Inv2M1]])</f>
        <v>0</v>
      </c>
      <c r="DJ131" s="204">
        <f>SUM(RD[[#This Row],[IS5Inv1M1]:[IS5Inv2M2]])</f>
        <v>0</v>
      </c>
      <c r="DK131" s="204">
        <f>SUM(RD[[#This Row],[IS8Inv1M1]:[IS9Inv2M2]])</f>
        <v>0</v>
      </c>
      <c r="DL131" s="60">
        <f>SUM(RD[[#This Row],[IS6Inv1M1]:[IS6Inv2M2]])</f>
        <v>0</v>
      </c>
      <c r="DM131" s="286">
        <f>SUM(RD[[#This Row],[IS10Inv1M1]:[IS11Inv1M4]],RD[[#This Row],[IS14Inv1M1]:[IS14Inv2M4]])</f>
        <v>0</v>
      </c>
      <c r="DN131" s="286">
        <f>SUM(RD[[#This Row],[IS12Inv1M1]:[IS12Inv1M4]])</f>
        <v>0</v>
      </c>
      <c r="DO131" s="286">
        <f>SUM(RD[[#This Row],[IS13Inv1M1]:[IS13Inv2M2]])</f>
        <v>0</v>
      </c>
      <c r="DP131" s="204">
        <f>SUM(RD[[#This Row],[O2R15]:[O2R26]])</f>
        <v>0</v>
      </c>
      <c r="DQ131" s="315"/>
      <c r="DR131" s="134"/>
      <c r="DS131" s="241"/>
      <c r="DT131" s="315"/>
      <c r="DU131" s="134"/>
      <c r="DV131" s="134"/>
      <c r="DW131" s="315"/>
      <c r="DX131" s="134"/>
      <c r="DY131" s="134"/>
      <c r="DZ131" s="134"/>
      <c r="EA131" s="134"/>
      <c r="EB131" s="315"/>
      <c r="EC131" s="315"/>
      <c r="ED131" s="315"/>
      <c r="EE131" s="315"/>
      <c r="EF131" s="315"/>
      <c r="EG131" s="240"/>
      <c r="EH131" s="146">
        <f>IF((RD[[#This Row],[33 kV_F3_Ex
Incomer1]]-DQ130)*1000&lt;0,0,(RD[[#This Row],[33 kV_F3_Ex
Incomer1]]-DQ130)*1000)</f>
        <v>0</v>
      </c>
      <c r="EI131" s="242"/>
      <c r="EJ131" s="146"/>
      <c r="EK131" s="146"/>
      <c r="EL131" s="146"/>
      <c r="EM131" s="146"/>
      <c r="EN131" s="146"/>
      <c r="EO131" s="146"/>
      <c r="EP131" s="146">
        <f>IF((RD[[#This Row],[33 kV_F7_Ex
Incomer5]]-DY130)*1000&lt;0,0,(RD[[#This Row],[33 kV_F7_Ex
Incomer5]]-DY130)*1000)</f>
        <v>0</v>
      </c>
      <c r="EQ131" s="146">
        <f>IF((RD[[#This Row],[33 kV_F7_Im
Incomer5]]-DZ130)*1000&lt;0,0,(RD[[#This Row],[33 kV_F7_Im
Incomer5]]-DZ130)*1000)</f>
        <v>0</v>
      </c>
      <c r="ER131" s="146"/>
      <c r="ES131" s="316">
        <f>IF((RD[[#This Row],[33kV_OG1_Ex_]]-EB130)*1000&lt;=0,0,(RD[[#This Row],[33kV_OG1_Ex_]]-EB130)*1000)</f>
        <v>0</v>
      </c>
      <c r="ET131" s="242">
        <f>IFERROR(IF((RD[[#This Row],[33kV_OG1_Im]]-EC130)*1000&lt;=0,0,(RD[[#This Row],[33kV_OG1_Im]]-EC130)*1000),0)</f>
        <v>0</v>
      </c>
      <c r="EU131" s="242">
        <f>(RD[[#This Row],[132kV_TX1_EX]]-EE128)</f>
        <v>0</v>
      </c>
      <c r="EV131" s="242">
        <f>IF((RD[[#This Row],[132 kV_Tx1_Im]]-EE130)*800000&lt;=0,0,(RD[[#This Row],[132 kV_Tx1_Im]]-EE130)*800000)</f>
        <v>0</v>
      </c>
      <c r="EW131" s="242">
        <f>IF((RD[[#This Row],[132kV_L1_Ex]]-EF130)*1600000&lt;=0,0,(RD[[#This Row],[132kV_L1_Ex]]-EF130)*1600000)</f>
        <v>0</v>
      </c>
      <c r="EX131" s="242" t="str">
        <f>IF((RD[[#This Row],[132kV_L1_Im]]-EG130)*1600000&lt;=0,"",(RD[[#This Row],[132kV_L1_Im]]-EG130)*1600000)</f>
        <v/>
      </c>
      <c r="EY131" s="242">
        <f>IFERROR(RD[[#This Row],[33kV_OG1_Ex (MWh)]]+RD[[#This Row],[33kV_OG1_Im (MWh)]],"")</f>
        <v>0</v>
      </c>
      <c r="EZ131" s="148">
        <f>RD[[#This Row],[33kV_OG1_Ex (MWh)]]-RD[[#This Row],[33kV_OG1_Im (MWh)]]</f>
        <v>0</v>
      </c>
      <c r="FA131" s="148" t="str">
        <f>IFERROR(RD[[#This Row],[132kV_L1_Ex(MWh)]]-RD[[#This Row],[132kV_L1_Im(MWh)]],"")</f>
        <v/>
      </c>
      <c r="FB131" s="297" t="str">
        <f>IFERROR(RD[[#This Row],[33kV_Ex(MWh)]]/RD[[#This Row],[Inv Total Gneration (MWh)]]-1,"")</f>
        <v/>
      </c>
      <c r="FC131" s="243">
        <f>IFERROR((RD[[#This Row],[Sunset Time (POA&lt;20 W/m2)]]-RD[[#This Row],[Sunrise Time (POA&gt;20 W/m2)]])*24,0)</f>
        <v>0</v>
      </c>
      <c r="FD131" s="244"/>
      <c r="FE131"/>
      <c r="FG131" s="144" t="str">
        <f>IFERROR(RD[[#This Row],[E_AC (WPR)]]/RD[[#This Row],[E_DC (WPR)]],"")</f>
        <v/>
      </c>
    </row>
    <row r="132" spans="1:163">
      <c r="A132" s="133">
        <f t="shared" si="167"/>
        <v>45872</v>
      </c>
      <c r="B132" s="138">
        <f>YEAR(RD[[#This Row],[Date]])+IF(MONTH(RD[[#This Row],[Date]])&gt;=4,1,0)</f>
        <v>2026</v>
      </c>
      <c r="C132" s="138">
        <f>YEAR(RD[[#This Row],[Date]])</f>
        <v>2025</v>
      </c>
      <c r="D132" s="139">
        <f t="shared" si="170"/>
        <v>45870</v>
      </c>
      <c r="E132" s="138">
        <f>DAY(EOMONTH(RD[[#This Row],[Date]],0))</f>
        <v>31</v>
      </c>
      <c r="F132" s="300"/>
      <c r="G132" s="301"/>
      <c r="H132" s="300"/>
      <c r="I132" s="302"/>
      <c r="J132" s="300"/>
      <c r="K132" s="300"/>
      <c r="L132" s="300"/>
      <c r="M132" s="300"/>
      <c r="N132" s="300"/>
      <c r="O132" s="300"/>
      <c r="P132" s="300"/>
      <c r="Q132" s="300"/>
      <c r="R132" s="300"/>
      <c r="S132" s="302"/>
      <c r="T132" s="300"/>
      <c r="U132" s="300"/>
      <c r="V132" s="300"/>
      <c r="W132" s="300"/>
      <c r="X132" s="294"/>
      <c r="Y132" s="203"/>
      <c r="Z132" s="203"/>
      <c r="AA132" s="203"/>
      <c r="AB132" s="294"/>
      <c r="AC132" s="203"/>
      <c r="AD132" s="203"/>
      <c r="AE132" s="203"/>
      <c r="AF132" s="294"/>
      <c r="AG132" s="203"/>
      <c r="AH132" s="203"/>
      <c r="AI132" s="294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  <c r="BA132" s="142"/>
      <c r="BB132" s="142"/>
      <c r="BC132" s="142"/>
      <c r="BD132" s="142"/>
      <c r="BE132" s="142"/>
      <c r="BF132" s="142"/>
      <c r="BG132" s="142"/>
      <c r="BH132" s="142"/>
      <c r="BI132" s="142"/>
      <c r="BJ132" s="142"/>
      <c r="BK132" s="142"/>
      <c r="BL132" s="142"/>
      <c r="BM132" s="142"/>
      <c r="BN132" s="142"/>
      <c r="BO132" s="142"/>
      <c r="BP132" s="142"/>
      <c r="BQ132" s="142"/>
      <c r="BR132" s="142"/>
      <c r="BS132" s="142"/>
      <c r="BT132" s="142"/>
      <c r="BU132" s="142"/>
      <c r="BV132" s="203"/>
      <c r="BW132" s="203"/>
      <c r="BX132" s="203"/>
      <c r="BY132" s="203"/>
      <c r="BZ132" s="142"/>
      <c r="CA132" s="142"/>
      <c r="CB132" s="142"/>
      <c r="CC132" s="142"/>
      <c r="CD132" s="295"/>
      <c r="CE132" s="59"/>
      <c r="CF132" s="295"/>
      <c r="CG132" s="206"/>
      <c r="CH132" s="295"/>
      <c r="CI132" s="206"/>
      <c r="CJ132" s="296"/>
      <c r="CK132" s="59"/>
      <c r="CL132" s="295"/>
      <c r="CM132" s="206"/>
      <c r="CN132" s="295"/>
      <c r="CO132" s="206"/>
      <c r="CP132" s="295"/>
      <c r="CQ132" s="206"/>
      <c r="CR132" s="295"/>
      <c r="CS132" s="59"/>
      <c r="CT132" s="295"/>
      <c r="CU132" s="206"/>
      <c r="CV132" s="295"/>
      <c r="CW132" s="258"/>
      <c r="CX132" s="204" t="str">
        <f>IFERROR(AVERAGEIF(RD[[#This Row],[IS1POA1 (KWh/m2)]:[IS7POA2 (KWh/m2)]],"&lt;&gt;0",RD[[#This Row],[IS1POA1 (KWh/m2)]:[IS7POA2 (KWh/m2)]]),"")</f>
        <v/>
      </c>
      <c r="CY132" s="204" t="str">
        <f>IFERROR(AVERAGEIF(RD[[#This Row],[IS1GHI1 (KWh/m2)]:[IS7GHI2 (KWh/m2)]],"&lt;&gt;0",RD[[#This Row],[IS1GHI1 (KWh/m2)]:[IS7GHI2 (KWh/m2)]]),"")</f>
        <v/>
      </c>
      <c r="CZ132" s="204" t="str">
        <f>IFERROR(AVERAGEIF(RD[[#This Row],[IS1POA_BS1 (KWh/m2)]:[IS7POA_BS2 (KWh/m2)]],"&lt;&gt;0",RD[[#This Row],[IS1POA_BS1 (KWh/m2)]:[IS7POA_BS2 (KWh/m2)]]),"")</f>
        <v/>
      </c>
      <c r="DA132" s="204" t="str">
        <f>IFERROR(AVERAGEIF(RD[[#This Row],[IS1GHI_BS1 (KWh/m2)]:[IS1GHI_BS1 (KWh/m2)2]],"&lt;&gt;0",RD[[#This Row],[IS1GHI_BS1 (KWh/m2)]:[IS1GHI_BS1 (KWh/m2)2]]),"")</f>
        <v/>
      </c>
      <c r="DB132" s="204" t="str">
        <f>IFERROR(AVERAGEIF(RD[[#This Row],[IS1AT1 (°C)]:[IS7AT2 (°C)]],"&lt;&gt;0",RD[[#This Row],[IS1AT1 (°C)]:[IS7AT2 (°C)]]),"")</f>
        <v/>
      </c>
      <c r="DC132" s="204" t="str">
        <f>IFERROR(AVERAGEIF(RD[[#This Row],[IS1MT1 (°C)]:[IS7MT2 (°C)]],"&lt;&gt;0",RD[[#This Row],[IS1MT1 (°C)]:[IS7MT2 (°C)]]),"")</f>
        <v/>
      </c>
      <c r="DD132" s="204" t="str">
        <f>IFERROR(AVERAGEIF(RD[[#This Row],[IS1RH1 (%)]:[IS7RH2 (%)]],"&lt;&gt;0",RD[[#This Row],[IS1RH1 (%)]:[IS7RH2 (%)]]),"")</f>
        <v/>
      </c>
      <c r="DE132" s="204" t="str">
        <f>IFERROR(AVERAGEIF(RD[[#This Row],[IS1Rain1 (mm)]:[IS7Rain2 (mm)]],"&lt;&gt;0",RD[[#This Row],[IS1Rain1 (mm)]:[IS7Rain2 (mm)]]),"")</f>
        <v/>
      </c>
      <c r="DF132" s="204" t="str">
        <f>IFERROR(AVERAGEIF(RD[[#This Row],[WS_Solar1_Avg (m/s)]:[IS7_WS_Solar1_Avg (m/s)]],"&lt;&gt;0",RD[[#This Row],[WS_Solar1_Avg (m/s)]:[IS7_WS_Solar1_Avg (m/s)]]),"")</f>
        <v/>
      </c>
      <c r="DG132" s="204" t="str">
        <f>IFERROR(AVERAGEIF(RD[[#This Row],[WS_Solar1_Max (m/s)]:[IS7_WS_Solar1_Max (m/s)]],"&lt;&gt;0",RD[[#This Row],[WS_Solar1_Max (m/s)]:[IS7_WS_Solar1_Max (m/s)]]),"")</f>
        <v/>
      </c>
      <c r="DH132" s="204">
        <f>SUM(RD[[#This Row],[IS1Inv1M1]:[IS4Inv4M2]])</f>
        <v>0</v>
      </c>
      <c r="DI132" s="205">
        <f>SUM(RD[[#This Row],[IS7Inv1M1]]+RD[[#This Row],[IS7Inv2M1]])</f>
        <v>0</v>
      </c>
      <c r="DJ132" s="204">
        <f>SUM(RD[[#This Row],[IS5Inv1M1]:[IS5Inv2M2]])</f>
        <v>0</v>
      </c>
      <c r="DK132" s="204">
        <f>SUM(RD[[#This Row],[IS8Inv1M1]:[IS9Inv2M2]])</f>
        <v>0</v>
      </c>
      <c r="DL132" s="60">
        <f>SUM(RD[[#This Row],[IS6Inv1M1]:[IS6Inv2M2]])</f>
        <v>0</v>
      </c>
      <c r="DM132" s="286">
        <f>SUM(RD[[#This Row],[IS10Inv1M1]:[IS11Inv1M4]],RD[[#This Row],[IS14Inv1M1]:[IS14Inv2M4]])</f>
        <v>0</v>
      </c>
      <c r="DN132" s="286">
        <f>SUM(RD[[#This Row],[IS12Inv1M1]:[IS12Inv1M4]])</f>
        <v>0</v>
      </c>
      <c r="DO132" s="286">
        <f>SUM(RD[[#This Row],[IS13Inv1M1]:[IS13Inv2M2]])</f>
        <v>0</v>
      </c>
      <c r="DP132" s="204">
        <f>SUM(RD[[#This Row],[O2R15]:[O2R26]])</f>
        <v>0</v>
      </c>
      <c r="DQ132" s="315"/>
      <c r="DR132" s="134"/>
      <c r="DS132" s="241"/>
      <c r="DT132" s="315"/>
      <c r="DU132" s="134"/>
      <c r="DV132" s="134"/>
      <c r="DW132" s="315"/>
      <c r="DX132" s="134"/>
      <c r="DY132" s="134"/>
      <c r="DZ132" s="134"/>
      <c r="EA132" s="134"/>
      <c r="EB132" s="315"/>
      <c r="EC132" s="315"/>
      <c r="ED132" s="315"/>
      <c r="EE132" s="315"/>
      <c r="EF132" s="315"/>
      <c r="EG132" s="240"/>
      <c r="EH132" s="146">
        <f>IF((RD[[#This Row],[33 kV_F3_Ex
Incomer1]]-DQ131)*1000&lt;0,0,(RD[[#This Row],[33 kV_F3_Ex
Incomer1]]-DQ131)*1000)</f>
        <v>0</v>
      </c>
      <c r="EI132" s="242"/>
      <c r="EJ132" s="146"/>
      <c r="EK132" s="146"/>
      <c r="EL132" s="146"/>
      <c r="EM132" s="146"/>
      <c r="EN132" s="146"/>
      <c r="EO132" s="146"/>
      <c r="EP132" s="146">
        <f>IF((RD[[#This Row],[33 kV_F7_Ex
Incomer5]]-DY131)*1000&lt;0,0,(RD[[#This Row],[33 kV_F7_Ex
Incomer5]]-DY131)*1000)</f>
        <v>0</v>
      </c>
      <c r="EQ132" s="146">
        <f>IF((RD[[#This Row],[33 kV_F7_Im
Incomer5]]-DZ131)*1000&lt;0,0,(RD[[#This Row],[33 kV_F7_Im
Incomer5]]-DZ131)*1000)</f>
        <v>0</v>
      </c>
      <c r="ER132" s="146"/>
      <c r="ES132" s="316">
        <f>IF((RD[[#This Row],[33kV_OG1_Ex_]]-EB131)*1000&lt;=0,0,(RD[[#This Row],[33kV_OG1_Ex_]]-EB131)*1000)</f>
        <v>0</v>
      </c>
      <c r="ET132" s="242">
        <f>IFERROR(IF((RD[[#This Row],[33kV_OG1_Im]]-EC131)*1000&lt;=0,0,(RD[[#This Row],[33kV_OG1_Im]]-EC131)*1000),0)</f>
        <v>0</v>
      </c>
      <c r="EU132" s="242">
        <f>(RD[[#This Row],[132kV_TX1_EX]]-EE129)</f>
        <v>0</v>
      </c>
      <c r="EV132" s="242">
        <f>IF((RD[[#This Row],[132 kV_Tx1_Im]]-EE131)*800000&lt;=0,0,(RD[[#This Row],[132 kV_Tx1_Im]]-EE131)*800000)</f>
        <v>0</v>
      </c>
      <c r="EW132" s="242">
        <f>IF((RD[[#This Row],[132kV_L1_Ex]]-EF131)*1600000&lt;=0,0,(RD[[#This Row],[132kV_L1_Ex]]-EF131)*1600000)</f>
        <v>0</v>
      </c>
      <c r="EX132" s="242" t="str">
        <f>IF((RD[[#This Row],[132kV_L1_Im]]-EG131)*1600000&lt;=0,"",(RD[[#This Row],[132kV_L1_Im]]-EG131)*1600000)</f>
        <v/>
      </c>
      <c r="EY132" s="242">
        <f>IFERROR(RD[[#This Row],[33kV_OG1_Ex (MWh)]]+RD[[#This Row],[33kV_OG1_Im (MWh)]],"")</f>
        <v>0</v>
      </c>
      <c r="EZ132" s="148">
        <f>RD[[#This Row],[33kV_OG1_Ex (MWh)]]-RD[[#This Row],[33kV_OG1_Im (MWh)]]</f>
        <v>0</v>
      </c>
      <c r="FA132" s="148" t="str">
        <f>IFERROR(RD[[#This Row],[132kV_L1_Ex(MWh)]]-RD[[#This Row],[132kV_L1_Im(MWh)]],"")</f>
        <v/>
      </c>
      <c r="FB132" s="297" t="str">
        <f>IFERROR(RD[[#This Row],[33kV_Ex(MWh)]]/RD[[#This Row],[Inv Total Gneration (MWh)]]-1,"")</f>
        <v/>
      </c>
      <c r="FC132" s="243">
        <f>IFERROR((RD[[#This Row],[Sunset Time (POA&lt;20 W/m2)]]-RD[[#This Row],[Sunrise Time (POA&gt;20 W/m2)]])*24,0)</f>
        <v>0</v>
      </c>
      <c r="FD132" s="244"/>
      <c r="FE132"/>
      <c r="FG132" s="144" t="str">
        <f>IFERROR(RD[[#This Row],[E_AC (WPR)]]/RD[[#This Row],[E_DC (WPR)]],"")</f>
        <v/>
      </c>
    </row>
    <row r="133" spans="1:163">
      <c r="A133" s="133">
        <f t="shared" si="167"/>
        <v>45873</v>
      </c>
      <c r="B133" s="138">
        <f>YEAR(RD[[#This Row],[Date]])+IF(MONTH(RD[[#This Row],[Date]])&gt;=4,1,0)</f>
        <v>2026</v>
      </c>
      <c r="C133" s="138">
        <f>YEAR(RD[[#This Row],[Date]])</f>
        <v>2025</v>
      </c>
      <c r="D133" s="139">
        <f t="shared" si="170"/>
        <v>45870</v>
      </c>
      <c r="E133" s="138">
        <f>DAY(EOMONTH(RD[[#This Row],[Date]],0))</f>
        <v>31</v>
      </c>
      <c r="F133" s="300"/>
      <c r="G133" s="301"/>
      <c r="H133" s="300"/>
      <c r="I133" s="302"/>
      <c r="J133" s="300"/>
      <c r="K133" s="300"/>
      <c r="L133" s="300"/>
      <c r="M133" s="300"/>
      <c r="N133" s="300"/>
      <c r="O133" s="300"/>
      <c r="P133" s="300"/>
      <c r="Q133" s="300"/>
      <c r="R133" s="300"/>
      <c r="S133" s="302"/>
      <c r="T133" s="300"/>
      <c r="U133" s="300"/>
      <c r="V133" s="300"/>
      <c r="W133" s="300"/>
      <c r="X133" s="294"/>
      <c r="Y133" s="203"/>
      <c r="Z133" s="203"/>
      <c r="AA133" s="203"/>
      <c r="AB133" s="294"/>
      <c r="AC133" s="203"/>
      <c r="AD133" s="203"/>
      <c r="AE133" s="203"/>
      <c r="AF133" s="294"/>
      <c r="AG133" s="203"/>
      <c r="AH133" s="203"/>
      <c r="AI133" s="294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  <c r="BA133" s="142"/>
      <c r="BB133" s="142"/>
      <c r="BC133" s="142"/>
      <c r="BD133" s="142"/>
      <c r="BE133" s="142"/>
      <c r="BF133" s="142"/>
      <c r="BG133" s="142"/>
      <c r="BH133" s="142"/>
      <c r="BI133" s="142"/>
      <c r="BJ133" s="142"/>
      <c r="BK133" s="142"/>
      <c r="BL133" s="142"/>
      <c r="BM133" s="142"/>
      <c r="BN133" s="142"/>
      <c r="BO133" s="142"/>
      <c r="BP133" s="142"/>
      <c r="BQ133" s="142"/>
      <c r="BR133" s="142"/>
      <c r="BS133" s="142"/>
      <c r="BT133" s="142"/>
      <c r="BU133" s="142"/>
      <c r="BV133" s="203"/>
      <c r="BW133" s="203"/>
      <c r="BX133" s="203"/>
      <c r="BY133" s="203"/>
      <c r="BZ133" s="142"/>
      <c r="CA133" s="142"/>
      <c r="CB133" s="142"/>
      <c r="CC133" s="142"/>
      <c r="CD133" s="295"/>
      <c r="CE133" s="59"/>
      <c r="CF133" s="295"/>
      <c r="CG133" s="206"/>
      <c r="CH133" s="295"/>
      <c r="CI133" s="206"/>
      <c r="CJ133" s="296"/>
      <c r="CK133" s="59"/>
      <c r="CL133" s="295"/>
      <c r="CM133" s="206"/>
      <c r="CN133" s="295"/>
      <c r="CO133" s="206"/>
      <c r="CP133" s="295"/>
      <c r="CQ133" s="206"/>
      <c r="CR133" s="295"/>
      <c r="CS133" s="59"/>
      <c r="CT133" s="295"/>
      <c r="CU133" s="206"/>
      <c r="CV133" s="295"/>
      <c r="CW133" s="258"/>
      <c r="CX133" s="204" t="str">
        <f>IFERROR(AVERAGEIF(RD[[#This Row],[IS1POA1 (KWh/m2)]:[IS7POA2 (KWh/m2)]],"&lt;&gt;0",RD[[#This Row],[IS1POA1 (KWh/m2)]:[IS7POA2 (KWh/m2)]]),"")</f>
        <v/>
      </c>
      <c r="CY133" s="204" t="str">
        <f>IFERROR(AVERAGEIF(RD[[#This Row],[IS1GHI1 (KWh/m2)]:[IS7GHI2 (KWh/m2)]],"&lt;&gt;0",RD[[#This Row],[IS1GHI1 (KWh/m2)]:[IS7GHI2 (KWh/m2)]]),"")</f>
        <v/>
      </c>
      <c r="CZ133" s="204" t="str">
        <f>IFERROR(AVERAGEIF(RD[[#This Row],[IS1POA_BS1 (KWh/m2)]:[IS7POA_BS2 (KWh/m2)]],"&lt;&gt;0",RD[[#This Row],[IS1POA_BS1 (KWh/m2)]:[IS7POA_BS2 (KWh/m2)]]),"")</f>
        <v/>
      </c>
      <c r="DA133" s="204" t="str">
        <f>IFERROR(AVERAGEIF(RD[[#This Row],[IS1GHI_BS1 (KWh/m2)]:[IS1GHI_BS1 (KWh/m2)2]],"&lt;&gt;0",RD[[#This Row],[IS1GHI_BS1 (KWh/m2)]:[IS1GHI_BS1 (KWh/m2)2]]),"")</f>
        <v/>
      </c>
      <c r="DB133" s="204" t="str">
        <f>IFERROR(AVERAGEIF(RD[[#This Row],[IS1AT1 (°C)]:[IS7AT2 (°C)]],"&lt;&gt;0",RD[[#This Row],[IS1AT1 (°C)]:[IS7AT2 (°C)]]),"")</f>
        <v/>
      </c>
      <c r="DC133" s="204" t="str">
        <f>IFERROR(AVERAGEIF(RD[[#This Row],[IS1MT1 (°C)]:[IS7MT2 (°C)]],"&lt;&gt;0",RD[[#This Row],[IS1MT1 (°C)]:[IS7MT2 (°C)]]),"")</f>
        <v/>
      </c>
      <c r="DD133" s="204" t="str">
        <f>IFERROR(AVERAGEIF(RD[[#This Row],[IS1RH1 (%)]:[IS7RH2 (%)]],"&lt;&gt;0",RD[[#This Row],[IS1RH1 (%)]:[IS7RH2 (%)]]),"")</f>
        <v/>
      </c>
      <c r="DE133" s="204" t="str">
        <f>IFERROR(AVERAGEIF(RD[[#This Row],[IS1Rain1 (mm)]:[IS7Rain2 (mm)]],"&lt;&gt;0",RD[[#This Row],[IS1Rain1 (mm)]:[IS7Rain2 (mm)]]),"")</f>
        <v/>
      </c>
      <c r="DF133" s="204" t="str">
        <f>IFERROR(AVERAGEIF(RD[[#This Row],[WS_Solar1_Avg (m/s)]:[IS7_WS_Solar1_Avg (m/s)]],"&lt;&gt;0",RD[[#This Row],[WS_Solar1_Avg (m/s)]:[IS7_WS_Solar1_Avg (m/s)]]),"")</f>
        <v/>
      </c>
      <c r="DG133" s="204" t="str">
        <f>IFERROR(AVERAGEIF(RD[[#This Row],[WS_Solar1_Max (m/s)]:[IS7_WS_Solar1_Max (m/s)]],"&lt;&gt;0",RD[[#This Row],[WS_Solar1_Max (m/s)]:[IS7_WS_Solar1_Max (m/s)]]),"")</f>
        <v/>
      </c>
      <c r="DH133" s="204">
        <f>SUM(RD[[#This Row],[IS1Inv1M1]:[IS4Inv4M2]])</f>
        <v>0</v>
      </c>
      <c r="DI133" s="205">
        <f>SUM(RD[[#This Row],[IS7Inv1M1]]+RD[[#This Row],[IS7Inv2M1]])</f>
        <v>0</v>
      </c>
      <c r="DJ133" s="204">
        <f>SUM(RD[[#This Row],[IS5Inv1M1]:[IS5Inv2M2]])</f>
        <v>0</v>
      </c>
      <c r="DK133" s="204">
        <f>SUM(RD[[#This Row],[IS8Inv1M1]:[IS9Inv2M2]])</f>
        <v>0</v>
      </c>
      <c r="DL133" s="60">
        <f>SUM(RD[[#This Row],[IS6Inv1M1]:[IS6Inv2M2]])</f>
        <v>0</v>
      </c>
      <c r="DM133" s="286">
        <f>SUM(RD[[#This Row],[IS10Inv1M1]:[IS11Inv1M4]],RD[[#This Row],[IS14Inv1M1]:[IS14Inv2M4]])</f>
        <v>0</v>
      </c>
      <c r="DN133" s="286">
        <f>SUM(RD[[#This Row],[IS12Inv1M1]:[IS12Inv1M4]])</f>
        <v>0</v>
      </c>
      <c r="DO133" s="286">
        <f>SUM(RD[[#This Row],[IS13Inv1M1]:[IS13Inv2M2]])</f>
        <v>0</v>
      </c>
      <c r="DP133" s="204">
        <f>SUM(RD[[#This Row],[O2R15]:[O2R26]])</f>
        <v>0</v>
      </c>
      <c r="DQ133" s="315"/>
      <c r="DR133" s="134"/>
      <c r="DS133" s="241"/>
      <c r="DT133" s="315"/>
      <c r="DU133" s="134"/>
      <c r="DV133" s="134"/>
      <c r="DW133" s="315"/>
      <c r="DX133" s="134"/>
      <c r="DY133" s="134"/>
      <c r="DZ133" s="134"/>
      <c r="EA133" s="134"/>
      <c r="EB133" s="315"/>
      <c r="EC133" s="315"/>
      <c r="ED133" s="315"/>
      <c r="EE133" s="315"/>
      <c r="EF133" s="315"/>
      <c r="EG133" s="240"/>
      <c r="EH133" s="146">
        <f>IF((RD[[#This Row],[33 kV_F3_Ex
Incomer1]]-DQ132)*1000&lt;0,0,(RD[[#This Row],[33 kV_F3_Ex
Incomer1]]-DQ132)*1000)</f>
        <v>0</v>
      </c>
      <c r="EI133" s="242"/>
      <c r="EJ133" s="146"/>
      <c r="EK133" s="146"/>
      <c r="EL133" s="146"/>
      <c r="EM133" s="146"/>
      <c r="EN133" s="146"/>
      <c r="EO133" s="146"/>
      <c r="EP133" s="146">
        <f>IF((RD[[#This Row],[33 kV_F7_Ex
Incomer5]]-DY132)*1000&lt;0,0,(RD[[#This Row],[33 kV_F7_Ex
Incomer5]]-DY132)*1000)</f>
        <v>0</v>
      </c>
      <c r="EQ133" s="146">
        <f>IF((RD[[#This Row],[33 kV_F7_Im
Incomer5]]-DZ132)*1000&lt;0,0,(RD[[#This Row],[33 kV_F7_Im
Incomer5]]-DZ132)*1000)</f>
        <v>0</v>
      </c>
      <c r="ER133" s="146"/>
      <c r="ES133" s="316">
        <f>IF((RD[[#This Row],[33kV_OG1_Ex_]]-EB132)*1000&lt;=0,0,(RD[[#This Row],[33kV_OG1_Ex_]]-EB132)*1000)</f>
        <v>0</v>
      </c>
      <c r="ET133" s="242">
        <f>IFERROR(IF((RD[[#This Row],[33kV_OG1_Im]]-EC132)*1000&lt;=0,0,(RD[[#This Row],[33kV_OG1_Im]]-EC132)*1000),0)</f>
        <v>0</v>
      </c>
      <c r="EU133" s="242">
        <f>(RD[[#This Row],[132kV_TX1_EX]]-EE130)</f>
        <v>0</v>
      </c>
      <c r="EV133" s="242">
        <f>IF((RD[[#This Row],[132 kV_Tx1_Im]]-EE132)*800000&lt;=0,0,(RD[[#This Row],[132 kV_Tx1_Im]]-EE132)*800000)</f>
        <v>0</v>
      </c>
      <c r="EW133" s="242">
        <f>IF((RD[[#This Row],[132kV_L1_Ex]]-EF132)*1600000&lt;=0,0,(RD[[#This Row],[132kV_L1_Ex]]-EF132)*1600000)</f>
        <v>0</v>
      </c>
      <c r="EX133" s="242" t="str">
        <f>IF((RD[[#This Row],[132kV_L1_Im]]-EG132)*1600000&lt;=0,"",(RD[[#This Row],[132kV_L1_Im]]-EG132)*1600000)</f>
        <v/>
      </c>
      <c r="EY133" s="242">
        <f>IFERROR(RD[[#This Row],[33kV_OG1_Ex (MWh)]]+RD[[#This Row],[33kV_OG1_Im (MWh)]],"")</f>
        <v>0</v>
      </c>
      <c r="EZ133" s="148">
        <f>RD[[#This Row],[33kV_OG1_Ex (MWh)]]-RD[[#This Row],[33kV_OG1_Im (MWh)]]</f>
        <v>0</v>
      </c>
      <c r="FA133" s="148" t="str">
        <f>IFERROR(RD[[#This Row],[132kV_L1_Ex(MWh)]]-RD[[#This Row],[132kV_L1_Im(MWh)]],"")</f>
        <v/>
      </c>
      <c r="FB133" s="297" t="str">
        <f>IFERROR(RD[[#This Row],[33kV_Ex(MWh)]]/RD[[#This Row],[Inv Total Gneration (MWh)]]-1,"")</f>
        <v/>
      </c>
      <c r="FC133" s="243">
        <f>IFERROR((RD[[#This Row],[Sunset Time (POA&lt;20 W/m2)]]-RD[[#This Row],[Sunrise Time (POA&gt;20 W/m2)]])*24,0)</f>
        <v>0</v>
      </c>
      <c r="FD133" s="244"/>
      <c r="FE133"/>
      <c r="FG133" s="144" t="str">
        <f>IFERROR(RD[[#This Row],[E_AC (WPR)]]/RD[[#This Row],[E_DC (WPR)]],"")</f>
        <v/>
      </c>
    </row>
    <row r="134" spans="1:163">
      <c r="A134" s="133">
        <f t="shared" si="167"/>
        <v>45874</v>
      </c>
      <c r="B134" s="138">
        <f>YEAR(RD[[#This Row],[Date]])+IF(MONTH(RD[[#This Row],[Date]])&gt;=4,1,0)</f>
        <v>2026</v>
      </c>
      <c r="C134" s="138">
        <f>YEAR(RD[[#This Row],[Date]])</f>
        <v>2025</v>
      </c>
      <c r="D134" s="139">
        <f t="shared" si="170"/>
        <v>45870</v>
      </c>
      <c r="E134" s="138">
        <f>DAY(EOMONTH(RD[[#This Row],[Date]],0))</f>
        <v>31</v>
      </c>
      <c r="F134" s="300"/>
      <c r="G134" s="301"/>
      <c r="H134" s="300"/>
      <c r="I134" s="302"/>
      <c r="J134" s="300"/>
      <c r="K134" s="300"/>
      <c r="L134" s="300"/>
      <c r="M134" s="300"/>
      <c r="N134" s="300"/>
      <c r="O134" s="300"/>
      <c r="P134" s="300"/>
      <c r="Q134" s="300"/>
      <c r="R134" s="300"/>
      <c r="S134" s="302"/>
      <c r="T134" s="300"/>
      <c r="U134" s="300"/>
      <c r="V134" s="300"/>
      <c r="W134" s="300"/>
      <c r="X134" s="294"/>
      <c r="Y134" s="203"/>
      <c r="Z134" s="203"/>
      <c r="AA134" s="203"/>
      <c r="AB134" s="294"/>
      <c r="AC134" s="203"/>
      <c r="AD134" s="203"/>
      <c r="AE134" s="203"/>
      <c r="AF134" s="294"/>
      <c r="AG134" s="203"/>
      <c r="AH134" s="203"/>
      <c r="AI134" s="294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  <c r="BA134" s="142"/>
      <c r="BB134" s="142"/>
      <c r="BC134" s="142"/>
      <c r="BD134" s="142"/>
      <c r="BE134" s="142"/>
      <c r="BF134" s="142"/>
      <c r="BG134" s="142"/>
      <c r="BH134" s="142"/>
      <c r="BI134" s="142"/>
      <c r="BJ134" s="142"/>
      <c r="BK134" s="142"/>
      <c r="BL134" s="142"/>
      <c r="BM134" s="142"/>
      <c r="BN134" s="142"/>
      <c r="BO134" s="142"/>
      <c r="BP134" s="142"/>
      <c r="BQ134" s="142"/>
      <c r="BR134" s="142"/>
      <c r="BS134" s="142"/>
      <c r="BT134" s="142"/>
      <c r="BU134" s="142"/>
      <c r="BV134" s="203"/>
      <c r="BW134" s="203"/>
      <c r="BX134" s="203"/>
      <c r="BY134" s="203"/>
      <c r="BZ134" s="142"/>
      <c r="CA134" s="142"/>
      <c r="CB134" s="142"/>
      <c r="CC134" s="142"/>
      <c r="CD134" s="295"/>
      <c r="CE134" s="59"/>
      <c r="CF134" s="295"/>
      <c r="CG134" s="206"/>
      <c r="CH134" s="295"/>
      <c r="CI134" s="206"/>
      <c r="CJ134" s="296"/>
      <c r="CK134" s="59"/>
      <c r="CL134" s="295"/>
      <c r="CM134" s="206"/>
      <c r="CN134" s="295"/>
      <c r="CO134" s="206"/>
      <c r="CP134" s="295"/>
      <c r="CQ134" s="206"/>
      <c r="CR134" s="295"/>
      <c r="CS134" s="59"/>
      <c r="CT134" s="295"/>
      <c r="CU134" s="206"/>
      <c r="CV134" s="295"/>
      <c r="CW134" s="258"/>
      <c r="CX134" s="204" t="str">
        <f>IFERROR(AVERAGEIF(RD[[#This Row],[IS1POA1 (KWh/m2)]:[IS7POA2 (KWh/m2)]],"&lt;&gt;0",RD[[#This Row],[IS1POA1 (KWh/m2)]:[IS7POA2 (KWh/m2)]]),"")</f>
        <v/>
      </c>
      <c r="CY134" s="204" t="str">
        <f>IFERROR(AVERAGEIF(RD[[#This Row],[IS1GHI1 (KWh/m2)]:[IS7GHI2 (KWh/m2)]],"&lt;&gt;0",RD[[#This Row],[IS1GHI1 (KWh/m2)]:[IS7GHI2 (KWh/m2)]]),"")</f>
        <v/>
      </c>
      <c r="CZ134" s="204" t="str">
        <f>IFERROR(AVERAGEIF(RD[[#This Row],[IS1POA_BS1 (KWh/m2)]:[IS7POA_BS2 (KWh/m2)]],"&lt;&gt;0",RD[[#This Row],[IS1POA_BS1 (KWh/m2)]:[IS7POA_BS2 (KWh/m2)]]),"")</f>
        <v/>
      </c>
      <c r="DA134" s="204" t="str">
        <f>IFERROR(AVERAGEIF(RD[[#This Row],[IS1GHI_BS1 (KWh/m2)]:[IS1GHI_BS1 (KWh/m2)2]],"&lt;&gt;0",RD[[#This Row],[IS1GHI_BS1 (KWh/m2)]:[IS1GHI_BS1 (KWh/m2)2]]),"")</f>
        <v/>
      </c>
      <c r="DB134" s="204" t="str">
        <f>IFERROR(AVERAGEIF(RD[[#This Row],[IS1AT1 (°C)]:[IS7AT2 (°C)]],"&lt;&gt;0",RD[[#This Row],[IS1AT1 (°C)]:[IS7AT2 (°C)]]),"")</f>
        <v/>
      </c>
      <c r="DC134" s="204" t="str">
        <f>IFERROR(AVERAGEIF(RD[[#This Row],[IS1MT1 (°C)]:[IS7MT2 (°C)]],"&lt;&gt;0",RD[[#This Row],[IS1MT1 (°C)]:[IS7MT2 (°C)]]),"")</f>
        <v/>
      </c>
      <c r="DD134" s="204" t="str">
        <f>IFERROR(AVERAGEIF(RD[[#This Row],[IS1RH1 (%)]:[IS7RH2 (%)]],"&lt;&gt;0",RD[[#This Row],[IS1RH1 (%)]:[IS7RH2 (%)]]),"")</f>
        <v/>
      </c>
      <c r="DE134" s="204" t="str">
        <f>IFERROR(AVERAGEIF(RD[[#This Row],[IS1Rain1 (mm)]:[IS7Rain2 (mm)]],"&lt;&gt;0",RD[[#This Row],[IS1Rain1 (mm)]:[IS7Rain2 (mm)]]),"")</f>
        <v/>
      </c>
      <c r="DF134" s="204" t="str">
        <f>IFERROR(AVERAGEIF(RD[[#This Row],[WS_Solar1_Avg (m/s)]:[IS7_WS_Solar1_Avg (m/s)]],"&lt;&gt;0",RD[[#This Row],[WS_Solar1_Avg (m/s)]:[IS7_WS_Solar1_Avg (m/s)]]),"")</f>
        <v/>
      </c>
      <c r="DG134" s="204" t="str">
        <f>IFERROR(AVERAGEIF(RD[[#This Row],[WS_Solar1_Max (m/s)]:[IS7_WS_Solar1_Max (m/s)]],"&lt;&gt;0",RD[[#This Row],[WS_Solar1_Max (m/s)]:[IS7_WS_Solar1_Max (m/s)]]),"")</f>
        <v/>
      </c>
      <c r="DH134" s="204">
        <f>SUM(RD[[#This Row],[IS1Inv1M1]:[IS4Inv4M2]])</f>
        <v>0</v>
      </c>
      <c r="DI134" s="205">
        <f>SUM(RD[[#This Row],[IS7Inv1M1]]+RD[[#This Row],[IS7Inv2M1]])</f>
        <v>0</v>
      </c>
      <c r="DJ134" s="204">
        <f>SUM(RD[[#This Row],[IS5Inv1M1]:[IS5Inv2M2]])</f>
        <v>0</v>
      </c>
      <c r="DK134" s="204">
        <f>SUM(RD[[#This Row],[IS8Inv1M1]:[IS9Inv2M2]])</f>
        <v>0</v>
      </c>
      <c r="DL134" s="60">
        <f>SUM(RD[[#This Row],[IS6Inv1M1]:[IS6Inv2M2]])</f>
        <v>0</v>
      </c>
      <c r="DM134" s="286">
        <f>SUM(RD[[#This Row],[IS10Inv1M1]:[IS11Inv1M4]],RD[[#This Row],[IS14Inv1M1]:[IS14Inv2M4]])</f>
        <v>0</v>
      </c>
      <c r="DN134" s="286">
        <f>SUM(RD[[#This Row],[IS12Inv1M1]:[IS12Inv1M4]])</f>
        <v>0</v>
      </c>
      <c r="DO134" s="286">
        <f>SUM(RD[[#This Row],[IS13Inv1M1]:[IS13Inv2M2]])</f>
        <v>0</v>
      </c>
      <c r="DP134" s="204">
        <f>SUM(RD[[#This Row],[O2R15]:[O2R26]])</f>
        <v>0</v>
      </c>
      <c r="DQ134" s="315"/>
      <c r="DR134" s="134"/>
      <c r="DS134" s="241"/>
      <c r="DT134" s="315"/>
      <c r="DU134" s="134"/>
      <c r="DV134" s="134"/>
      <c r="DW134" s="315"/>
      <c r="DX134" s="134"/>
      <c r="DY134" s="134"/>
      <c r="DZ134" s="134"/>
      <c r="EA134" s="134"/>
      <c r="EB134" s="315"/>
      <c r="EC134" s="315"/>
      <c r="ED134" s="315"/>
      <c r="EE134" s="315"/>
      <c r="EF134" s="315"/>
      <c r="EG134" s="240"/>
      <c r="EH134" s="146">
        <f>IF((RD[[#This Row],[33 kV_F3_Ex
Incomer1]]-DQ133)*1000&lt;0,0,(RD[[#This Row],[33 kV_F3_Ex
Incomer1]]-DQ133)*1000)</f>
        <v>0</v>
      </c>
      <c r="EI134" s="242"/>
      <c r="EJ134" s="146"/>
      <c r="EK134" s="146"/>
      <c r="EL134" s="146"/>
      <c r="EM134" s="146"/>
      <c r="EN134" s="146"/>
      <c r="EO134" s="146"/>
      <c r="EP134" s="146">
        <f>IF((RD[[#This Row],[33 kV_F7_Ex
Incomer5]]-DY133)*1000&lt;0,0,(RD[[#This Row],[33 kV_F7_Ex
Incomer5]]-DY133)*1000)</f>
        <v>0</v>
      </c>
      <c r="EQ134" s="146">
        <f>IF((RD[[#This Row],[33 kV_F7_Im
Incomer5]]-DZ133)*1000&lt;0,0,(RD[[#This Row],[33 kV_F7_Im
Incomer5]]-DZ133)*1000)</f>
        <v>0</v>
      </c>
      <c r="ER134" s="146"/>
      <c r="ES134" s="316">
        <f>IF((RD[[#This Row],[33kV_OG1_Ex_]]-EB133)*1000&lt;=0,0,(RD[[#This Row],[33kV_OG1_Ex_]]-EB133)*1000)</f>
        <v>0</v>
      </c>
      <c r="ET134" s="242">
        <f>IFERROR(IF((RD[[#This Row],[33kV_OG1_Im]]-EC133)*1000&lt;=0,0,(RD[[#This Row],[33kV_OG1_Im]]-EC133)*1000),0)</f>
        <v>0</v>
      </c>
      <c r="EU134" s="242">
        <f>(RD[[#This Row],[132kV_TX1_EX]]-EE131)</f>
        <v>0</v>
      </c>
      <c r="EV134" s="242">
        <f>IF((RD[[#This Row],[132 kV_Tx1_Im]]-EE133)*800000&lt;=0,0,(RD[[#This Row],[132 kV_Tx1_Im]]-EE133)*800000)</f>
        <v>0</v>
      </c>
      <c r="EW134" s="242">
        <f>IF((RD[[#This Row],[132kV_L1_Ex]]-EF133)*1600000&lt;=0,0,(RD[[#This Row],[132kV_L1_Ex]]-EF133)*1600000)</f>
        <v>0</v>
      </c>
      <c r="EX134" s="242" t="str">
        <f>IF((RD[[#This Row],[132kV_L1_Im]]-EG133)*1600000&lt;=0,"",(RD[[#This Row],[132kV_L1_Im]]-EG133)*1600000)</f>
        <v/>
      </c>
      <c r="EY134" s="242">
        <f>IFERROR(RD[[#This Row],[33kV_OG1_Ex (MWh)]]+RD[[#This Row],[33kV_OG1_Im (MWh)]],"")</f>
        <v>0</v>
      </c>
      <c r="EZ134" s="148">
        <f>RD[[#This Row],[33kV_OG1_Ex (MWh)]]-RD[[#This Row],[33kV_OG1_Im (MWh)]]</f>
        <v>0</v>
      </c>
      <c r="FA134" s="148" t="str">
        <f>IFERROR(RD[[#This Row],[132kV_L1_Ex(MWh)]]-RD[[#This Row],[132kV_L1_Im(MWh)]],"")</f>
        <v/>
      </c>
      <c r="FB134" s="297" t="str">
        <f>IFERROR(RD[[#This Row],[33kV_Ex(MWh)]]/RD[[#This Row],[Inv Total Gneration (MWh)]]-1,"")</f>
        <v/>
      </c>
      <c r="FC134" s="243">
        <f>IFERROR((RD[[#This Row],[Sunset Time (POA&lt;20 W/m2)]]-RD[[#This Row],[Sunrise Time (POA&gt;20 W/m2)]])*24,0)</f>
        <v>0</v>
      </c>
      <c r="FD134" s="244"/>
      <c r="FE134"/>
      <c r="FG134" s="144" t="str">
        <f>IFERROR(RD[[#This Row],[E_AC (WPR)]]/RD[[#This Row],[E_DC (WPR)]],"")</f>
        <v/>
      </c>
    </row>
    <row r="135" spans="1:163">
      <c r="A135" s="133">
        <f t="shared" si="167"/>
        <v>45875</v>
      </c>
      <c r="B135" s="138">
        <f>YEAR(RD[[#This Row],[Date]])+IF(MONTH(RD[[#This Row],[Date]])&gt;=4,1,0)</f>
        <v>2026</v>
      </c>
      <c r="C135" s="138">
        <f>YEAR(RD[[#This Row],[Date]])</f>
        <v>2025</v>
      </c>
      <c r="D135" s="139">
        <f t="shared" si="170"/>
        <v>45870</v>
      </c>
      <c r="E135" s="138">
        <f>DAY(EOMONTH(RD[[#This Row],[Date]],0))</f>
        <v>31</v>
      </c>
      <c r="F135" s="300"/>
      <c r="G135" s="301"/>
      <c r="H135" s="300"/>
      <c r="I135" s="302"/>
      <c r="J135" s="300"/>
      <c r="K135" s="300"/>
      <c r="L135" s="300"/>
      <c r="M135" s="300"/>
      <c r="N135" s="300"/>
      <c r="O135" s="300"/>
      <c r="P135" s="300"/>
      <c r="Q135" s="300"/>
      <c r="R135" s="300"/>
      <c r="S135" s="302"/>
      <c r="T135" s="300"/>
      <c r="U135" s="300"/>
      <c r="V135" s="300"/>
      <c r="W135" s="300"/>
      <c r="X135" s="294"/>
      <c r="Y135" s="203"/>
      <c r="Z135" s="203"/>
      <c r="AA135" s="203"/>
      <c r="AB135" s="294"/>
      <c r="AC135" s="203"/>
      <c r="AD135" s="203"/>
      <c r="AE135" s="203"/>
      <c r="AF135" s="294"/>
      <c r="AG135" s="203"/>
      <c r="AH135" s="203"/>
      <c r="AI135" s="294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  <c r="BA135" s="142"/>
      <c r="BB135" s="142"/>
      <c r="BC135" s="142"/>
      <c r="BD135" s="142"/>
      <c r="BE135" s="142"/>
      <c r="BF135" s="142"/>
      <c r="BG135" s="142"/>
      <c r="BH135" s="142"/>
      <c r="BI135" s="142"/>
      <c r="BJ135" s="142"/>
      <c r="BK135" s="142"/>
      <c r="BL135" s="142"/>
      <c r="BM135" s="142"/>
      <c r="BN135" s="142"/>
      <c r="BO135" s="142"/>
      <c r="BP135" s="142"/>
      <c r="BQ135" s="142"/>
      <c r="BR135" s="142"/>
      <c r="BS135" s="142"/>
      <c r="BT135" s="142"/>
      <c r="BU135" s="142"/>
      <c r="BV135" s="203"/>
      <c r="BW135" s="203"/>
      <c r="BX135" s="203"/>
      <c r="BY135" s="203"/>
      <c r="BZ135" s="142"/>
      <c r="CA135" s="142"/>
      <c r="CB135" s="142"/>
      <c r="CC135" s="142"/>
      <c r="CD135" s="295"/>
      <c r="CE135" s="59"/>
      <c r="CF135" s="295"/>
      <c r="CG135" s="206"/>
      <c r="CH135" s="295"/>
      <c r="CI135" s="206"/>
      <c r="CJ135" s="296"/>
      <c r="CK135" s="59"/>
      <c r="CL135" s="295"/>
      <c r="CM135" s="206"/>
      <c r="CN135" s="295"/>
      <c r="CO135" s="206"/>
      <c r="CP135" s="295"/>
      <c r="CQ135" s="206"/>
      <c r="CR135" s="295"/>
      <c r="CS135" s="59"/>
      <c r="CT135" s="295"/>
      <c r="CU135" s="206"/>
      <c r="CV135" s="295"/>
      <c r="CW135" s="258"/>
      <c r="CX135" s="204" t="str">
        <f>IFERROR(AVERAGEIF(RD[[#This Row],[IS1POA1 (KWh/m2)]:[IS7POA2 (KWh/m2)]],"&lt;&gt;0",RD[[#This Row],[IS1POA1 (KWh/m2)]:[IS7POA2 (KWh/m2)]]),"")</f>
        <v/>
      </c>
      <c r="CY135" s="204" t="str">
        <f>IFERROR(AVERAGEIF(RD[[#This Row],[IS1GHI1 (KWh/m2)]:[IS7GHI2 (KWh/m2)]],"&lt;&gt;0",RD[[#This Row],[IS1GHI1 (KWh/m2)]:[IS7GHI2 (KWh/m2)]]),"")</f>
        <v/>
      </c>
      <c r="CZ135" s="204" t="str">
        <f>IFERROR(AVERAGEIF(RD[[#This Row],[IS1POA_BS1 (KWh/m2)]:[IS7POA_BS2 (KWh/m2)]],"&lt;&gt;0",RD[[#This Row],[IS1POA_BS1 (KWh/m2)]:[IS7POA_BS2 (KWh/m2)]]),"")</f>
        <v/>
      </c>
      <c r="DA135" s="204" t="str">
        <f>IFERROR(AVERAGEIF(RD[[#This Row],[IS1GHI_BS1 (KWh/m2)]:[IS1GHI_BS1 (KWh/m2)2]],"&lt;&gt;0",RD[[#This Row],[IS1GHI_BS1 (KWh/m2)]:[IS1GHI_BS1 (KWh/m2)2]]),"")</f>
        <v/>
      </c>
      <c r="DB135" s="204" t="str">
        <f>IFERROR(AVERAGEIF(RD[[#This Row],[IS1AT1 (°C)]:[IS7AT2 (°C)]],"&lt;&gt;0",RD[[#This Row],[IS1AT1 (°C)]:[IS7AT2 (°C)]]),"")</f>
        <v/>
      </c>
      <c r="DC135" s="204" t="str">
        <f>IFERROR(AVERAGEIF(RD[[#This Row],[IS1MT1 (°C)]:[IS7MT2 (°C)]],"&lt;&gt;0",RD[[#This Row],[IS1MT1 (°C)]:[IS7MT2 (°C)]]),"")</f>
        <v/>
      </c>
      <c r="DD135" s="204" t="str">
        <f>IFERROR(AVERAGEIF(RD[[#This Row],[IS1RH1 (%)]:[IS7RH2 (%)]],"&lt;&gt;0",RD[[#This Row],[IS1RH1 (%)]:[IS7RH2 (%)]]),"")</f>
        <v/>
      </c>
      <c r="DE135" s="204" t="str">
        <f>IFERROR(AVERAGEIF(RD[[#This Row],[IS1Rain1 (mm)]:[IS7Rain2 (mm)]],"&lt;&gt;0",RD[[#This Row],[IS1Rain1 (mm)]:[IS7Rain2 (mm)]]),"")</f>
        <v/>
      </c>
      <c r="DF135" s="204" t="str">
        <f>IFERROR(AVERAGEIF(RD[[#This Row],[WS_Solar1_Avg (m/s)]:[IS7_WS_Solar1_Avg (m/s)]],"&lt;&gt;0",RD[[#This Row],[WS_Solar1_Avg (m/s)]:[IS7_WS_Solar1_Avg (m/s)]]),"")</f>
        <v/>
      </c>
      <c r="DG135" s="204" t="str">
        <f>IFERROR(AVERAGEIF(RD[[#This Row],[WS_Solar1_Max (m/s)]:[IS7_WS_Solar1_Max (m/s)]],"&lt;&gt;0",RD[[#This Row],[WS_Solar1_Max (m/s)]:[IS7_WS_Solar1_Max (m/s)]]),"")</f>
        <v/>
      </c>
      <c r="DH135" s="204">
        <f>SUM(RD[[#This Row],[IS1Inv1M1]:[IS4Inv4M2]])</f>
        <v>0</v>
      </c>
      <c r="DI135" s="205">
        <f>SUM(RD[[#This Row],[IS7Inv1M1]]+RD[[#This Row],[IS7Inv2M1]])</f>
        <v>0</v>
      </c>
      <c r="DJ135" s="204">
        <f>SUM(RD[[#This Row],[IS5Inv1M1]:[IS5Inv2M2]])</f>
        <v>0</v>
      </c>
      <c r="DK135" s="204">
        <f>SUM(RD[[#This Row],[IS8Inv1M1]:[IS9Inv2M2]])</f>
        <v>0</v>
      </c>
      <c r="DL135" s="60">
        <f>SUM(RD[[#This Row],[IS6Inv1M1]:[IS6Inv2M2]])</f>
        <v>0</v>
      </c>
      <c r="DM135" s="286">
        <f>SUM(RD[[#This Row],[IS10Inv1M1]:[IS11Inv1M4]],RD[[#This Row],[IS14Inv1M1]:[IS14Inv2M4]])</f>
        <v>0</v>
      </c>
      <c r="DN135" s="286">
        <f>SUM(RD[[#This Row],[IS12Inv1M1]:[IS12Inv1M4]])</f>
        <v>0</v>
      </c>
      <c r="DO135" s="286">
        <f>SUM(RD[[#This Row],[IS13Inv1M1]:[IS13Inv2M2]])</f>
        <v>0</v>
      </c>
      <c r="DP135" s="204">
        <f>SUM(RD[[#This Row],[O2R15]:[O2R26]])</f>
        <v>0</v>
      </c>
      <c r="DQ135" s="315"/>
      <c r="DR135" s="134"/>
      <c r="DS135" s="241"/>
      <c r="DT135" s="315"/>
      <c r="DU135" s="134"/>
      <c r="DV135" s="134"/>
      <c r="DW135" s="315"/>
      <c r="DX135" s="134"/>
      <c r="DY135" s="134"/>
      <c r="DZ135" s="134"/>
      <c r="EA135" s="134"/>
      <c r="EB135" s="315"/>
      <c r="EC135" s="315"/>
      <c r="ED135" s="315"/>
      <c r="EE135" s="315"/>
      <c r="EF135" s="315"/>
      <c r="EG135" s="240"/>
      <c r="EH135" s="146">
        <f>IF((RD[[#This Row],[33 kV_F3_Ex
Incomer1]]-DQ134)*1000&lt;0,0,(RD[[#This Row],[33 kV_F3_Ex
Incomer1]]-DQ134)*1000)</f>
        <v>0</v>
      </c>
      <c r="EI135" s="242"/>
      <c r="EJ135" s="146"/>
      <c r="EK135" s="146"/>
      <c r="EL135" s="146"/>
      <c r="EM135" s="146"/>
      <c r="EN135" s="146"/>
      <c r="EO135" s="146"/>
      <c r="EP135" s="146">
        <f>IF((RD[[#This Row],[33 kV_F7_Ex
Incomer5]]-DY134)*1000&lt;0,0,(RD[[#This Row],[33 kV_F7_Ex
Incomer5]]-DY134)*1000)</f>
        <v>0</v>
      </c>
      <c r="EQ135" s="146">
        <f>IF((RD[[#This Row],[33 kV_F7_Im
Incomer5]]-DZ134)*1000&lt;0,0,(RD[[#This Row],[33 kV_F7_Im
Incomer5]]-DZ134)*1000)</f>
        <v>0</v>
      </c>
      <c r="ER135" s="146"/>
      <c r="ES135" s="316">
        <f>IF((RD[[#This Row],[33kV_OG1_Ex_]]-EB134)*1000&lt;=0,0,(RD[[#This Row],[33kV_OG1_Ex_]]-EB134)*1000)</f>
        <v>0</v>
      </c>
      <c r="ET135" s="242">
        <f>IFERROR(IF((RD[[#This Row],[33kV_OG1_Im]]-EC134)*1000&lt;=0,0,(RD[[#This Row],[33kV_OG1_Im]]-EC134)*1000),0)</f>
        <v>0</v>
      </c>
      <c r="EU135" s="242">
        <f>(RD[[#This Row],[132kV_TX1_EX]]-EE132)</f>
        <v>0</v>
      </c>
      <c r="EV135" s="242">
        <f>IF((RD[[#This Row],[132 kV_Tx1_Im]]-EE134)*800000&lt;=0,0,(RD[[#This Row],[132 kV_Tx1_Im]]-EE134)*800000)</f>
        <v>0</v>
      </c>
      <c r="EW135" s="242">
        <f>IF((RD[[#This Row],[132kV_L1_Ex]]-EF134)*1600000&lt;=0,0,(RD[[#This Row],[132kV_L1_Ex]]-EF134)*1600000)</f>
        <v>0</v>
      </c>
      <c r="EX135" s="242" t="str">
        <f>IF((RD[[#This Row],[132kV_L1_Im]]-EG134)*1600000&lt;=0,"",(RD[[#This Row],[132kV_L1_Im]]-EG134)*1600000)</f>
        <v/>
      </c>
      <c r="EY135" s="242">
        <f>IFERROR(RD[[#This Row],[33kV_OG1_Ex (MWh)]]+RD[[#This Row],[33kV_OG1_Im (MWh)]],"")</f>
        <v>0</v>
      </c>
      <c r="EZ135" s="148">
        <f>RD[[#This Row],[33kV_OG1_Ex (MWh)]]-RD[[#This Row],[33kV_OG1_Im (MWh)]]</f>
        <v>0</v>
      </c>
      <c r="FA135" s="148" t="str">
        <f>IFERROR(RD[[#This Row],[132kV_L1_Ex(MWh)]]-RD[[#This Row],[132kV_L1_Im(MWh)]],"")</f>
        <v/>
      </c>
      <c r="FB135" s="297" t="str">
        <f>IFERROR(RD[[#This Row],[33kV_Ex(MWh)]]/RD[[#This Row],[Inv Total Gneration (MWh)]]-1,"")</f>
        <v/>
      </c>
      <c r="FC135" s="243">
        <f>IFERROR((RD[[#This Row],[Sunset Time (POA&lt;20 W/m2)]]-RD[[#This Row],[Sunrise Time (POA&gt;20 W/m2)]])*24,0)</f>
        <v>0</v>
      </c>
      <c r="FD135" s="244"/>
      <c r="FE135"/>
      <c r="FG135" s="144" t="str">
        <f>IFERROR(RD[[#This Row],[E_AC (WPR)]]/RD[[#This Row],[E_DC (WPR)]],"")</f>
        <v/>
      </c>
    </row>
    <row r="136" spans="1:163">
      <c r="A136" s="133">
        <f>A135+1</f>
        <v>45876</v>
      </c>
      <c r="B136" s="138">
        <f>YEAR(RD[[#This Row],[Date]])+IF(MONTH(RD[[#This Row],[Date]])&gt;=4,1,0)</f>
        <v>2026</v>
      </c>
      <c r="C136" s="138">
        <f>YEAR(RD[[#This Row],[Date]])</f>
        <v>2025</v>
      </c>
      <c r="D136" s="139">
        <f>A136-DAY(A136)+1</f>
        <v>45870</v>
      </c>
      <c r="E136" s="138">
        <f>DAY(EOMONTH(RD[[#This Row],[Date]],0))</f>
        <v>31</v>
      </c>
      <c r="F136" s="300"/>
      <c r="G136" s="301"/>
      <c r="H136" s="300"/>
      <c r="I136" s="302"/>
      <c r="J136" s="300"/>
      <c r="K136" s="300"/>
      <c r="L136" s="300"/>
      <c r="M136" s="300"/>
      <c r="N136" s="300"/>
      <c r="O136" s="300"/>
      <c r="P136" s="300"/>
      <c r="Q136" s="300"/>
      <c r="R136" s="300"/>
      <c r="S136" s="302"/>
      <c r="T136" s="300"/>
      <c r="U136" s="300"/>
      <c r="V136" s="300"/>
      <c r="W136" s="300"/>
      <c r="X136" s="294"/>
      <c r="Y136" s="203"/>
      <c r="Z136" s="203"/>
      <c r="AA136" s="203"/>
      <c r="AB136" s="294"/>
      <c r="AC136" s="203"/>
      <c r="AD136" s="203"/>
      <c r="AE136" s="203"/>
      <c r="AF136" s="294"/>
      <c r="AG136" s="203"/>
      <c r="AH136" s="203"/>
      <c r="AI136" s="294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  <c r="BA136" s="142"/>
      <c r="BB136" s="142"/>
      <c r="BC136" s="142"/>
      <c r="BD136" s="142"/>
      <c r="BE136" s="142"/>
      <c r="BF136" s="142"/>
      <c r="BG136" s="142"/>
      <c r="BH136" s="142"/>
      <c r="BI136" s="142"/>
      <c r="BJ136" s="142"/>
      <c r="BK136" s="142"/>
      <c r="BL136" s="142"/>
      <c r="BM136" s="142"/>
      <c r="BN136" s="142"/>
      <c r="BO136" s="142"/>
      <c r="BP136" s="142"/>
      <c r="BQ136" s="142"/>
      <c r="BR136" s="142"/>
      <c r="BS136" s="142"/>
      <c r="BT136" s="142"/>
      <c r="BU136" s="142"/>
      <c r="BV136" s="203"/>
      <c r="BW136" s="203"/>
      <c r="BX136" s="203"/>
      <c r="BY136" s="203"/>
      <c r="BZ136" s="142"/>
      <c r="CA136" s="142"/>
      <c r="CB136" s="142"/>
      <c r="CC136" s="142"/>
      <c r="CD136" s="295"/>
      <c r="CE136" s="59"/>
      <c r="CF136" s="295"/>
      <c r="CG136" s="206"/>
      <c r="CH136" s="295"/>
      <c r="CI136" s="206"/>
      <c r="CJ136" s="296"/>
      <c r="CK136" s="59"/>
      <c r="CL136" s="295"/>
      <c r="CM136" s="206"/>
      <c r="CN136" s="295"/>
      <c r="CO136" s="206"/>
      <c r="CP136" s="295"/>
      <c r="CQ136" s="206"/>
      <c r="CR136" s="295"/>
      <c r="CS136" s="59"/>
      <c r="CT136" s="295"/>
      <c r="CU136" s="206"/>
      <c r="CV136" s="295"/>
      <c r="CW136" s="258"/>
      <c r="CX136" s="204" t="str">
        <f>IFERROR(AVERAGEIF(RD[[#This Row],[IS1POA1 (KWh/m2)]:[IS7POA2 (KWh/m2)]],"&lt;&gt;0",RD[[#This Row],[IS1POA1 (KWh/m2)]:[IS7POA2 (KWh/m2)]]),"")</f>
        <v/>
      </c>
      <c r="CY136" s="204" t="str">
        <f>IFERROR(AVERAGEIF(RD[[#This Row],[IS1GHI1 (KWh/m2)]:[IS7GHI2 (KWh/m2)]],"&lt;&gt;0",RD[[#This Row],[IS1GHI1 (KWh/m2)]:[IS7GHI2 (KWh/m2)]]),"")</f>
        <v/>
      </c>
      <c r="CZ136" s="204" t="str">
        <f>IFERROR(AVERAGEIF(RD[[#This Row],[IS1POA_BS1 (KWh/m2)]:[IS7POA_BS2 (KWh/m2)]],"&lt;&gt;0",RD[[#This Row],[IS1POA_BS1 (KWh/m2)]:[IS7POA_BS2 (KWh/m2)]]),"")</f>
        <v/>
      </c>
      <c r="DA136" s="204" t="str">
        <f>IFERROR(AVERAGEIF(RD[[#This Row],[IS1GHI_BS1 (KWh/m2)]:[IS1GHI_BS1 (KWh/m2)2]],"&lt;&gt;0",RD[[#This Row],[IS1GHI_BS1 (KWh/m2)]:[IS1GHI_BS1 (KWh/m2)2]]),"")</f>
        <v/>
      </c>
      <c r="DB136" s="204" t="str">
        <f>IFERROR(AVERAGEIF(RD[[#This Row],[IS1AT1 (°C)]:[IS7AT2 (°C)]],"&lt;&gt;0",RD[[#This Row],[IS1AT1 (°C)]:[IS7AT2 (°C)]]),"")</f>
        <v/>
      </c>
      <c r="DC136" s="204" t="str">
        <f>IFERROR(AVERAGEIF(RD[[#This Row],[IS1MT1 (°C)]:[IS7MT2 (°C)]],"&lt;&gt;0",RD[[#This Row],[IS1MT1 (°C)]:[IS7MT2 (°C)]]),"")</f>
        <v/>
      </c>
      <c r="DD136" s="204" t="str">
        <f>IFERROR(AVERAGEIF(RD[[#This Row],[IS1RH1 (%)]:[IS7RH2 (%)]],"&lt;&gt;0",RD[[#This Row],[IS1RH1 (%)]:[IS7RH2 (%)]]),"")</f>
        <v/>
      </c>
      <c r="DE136" s="204" t="str">
        <f>IFERROR(AVERAGEIF(RD[[#This Row],[IS1Rain1 (mm)]:[IS7Rain2 (mm)]],"&lt;&gt;0",RD[[#This Row],[IS1Rain1 (mm)]:[IS7Rain2 (mm)]]),"")</f>
        <v/>
      </c>
      <c r="DF136" s="204" t="str">
        <f>IFERROR(AVERAGEIF(RD[[#This Row],[WS_Solar1_Avg (m/s)]:[IS7_WS_Solar1_Avg (m/s)]],"&lt;&gt;0",RD[[#This Row],[WS_Solar1_Avg (m/s)]:[IS7_WS_Solar1_Avg (m/s)]]),"")</f>
        <v/>
      </c>
      <c r="DG136" s="204" t="str">
        <f>IFERROR(AVERAGEIF(RD[[#This Row],[WS_Solar1_Max (m/s)]:[IS7_WS_Solar1_Max (m/s)]],"&lt;&gt;0",RD[[#This Row],[WS_Solar1_Max (m/s)]:[IS7_WS_Solar1_Max (m/s)]]),"")</f>
        <v/>
      </c>
      <c r="DH136" s="204">
        <f>SUM(RD[[#This Row],[IS1Inv1M1]:[IS4Inv4M2]])</f>
        <v>0</v>
      </c>
      <c r="DI136" s="205">
        <f>SUM(RD[[#This Row],[IS7Inv1M1]]+RD[[#This Row],[IS7Inv2M1]])</f>
        <v>0</v>
      </c>
      <c r="DJ136" s="204">
        <f>SUM(RD[[#This Row],[IS5Inv1M1]:[IS5Inv2M2]])</f>
        <v>0</v>
      </c>
      <c r="DK136" s="204">
        <f>SUM(RD[[#This Row],[IS8Inv1M1]:[IS9Inv2M2]])</f>
        <v>0</v>
      </c>
      <c r="DL136" s="60">
        <f>SUM(RD[[#This Row],[IS6Inv1M1]:[IS6Inv2M2]])</f>
        <v>0</v>
      </c>
      <c r="DM136" s="286">
        <f>SUM(RD[[#This Row],[IS10Inv1M1]:[IS11Inv1M4]],RD[[#This Row],[IS14Inv1M1]:[IS14Inv2M4]])</f>
        <v>0</v>
      </c>
      <c r="DN136" s="286">
        <f>SUM(RD[[#This Row],[IS12Inv1M1]:[IS12Inv1M4]])</f>
        <v>0</v>
      </c>
      <c r="DO136" s="286">
        <f>SUM(RD[[#This Row],[IS13Inv1M1]:[IS13Inv2M2]])</f>
        <v>0</v>
      </c>
      <c r="DP136" s="204">
        <f>SUM(RD[[#This Row],[O2R15]:[O2R26]])</f>
        <v>0</v>
      </c>
      <c r="DQ136" s="315"/>
      <c r="DR136" s="134"/>
      <c r="DS136" s="241"/>
      <c r="DT136" s="315"/>
      <c r="DU136" s="134"/>
      <c r="DV136" s="134"/>
      <c r="DW136" s="315"/>
      <c r="DX136" s="134"/>
      <c r="DY136" s="134"/>
      <c r="DZ136" s="134"/>
      <c r="EA136" s="134"/>
      <c r="EB136" s="315"/>
      <c r="EC136" s="315"/>
      <c r="ED136" s="315"/>
      <c r="EE136" s="315"/>
      <c r="EF136" s="315"/>
      <c r="EG136" s="240"/>
      <c r="EH136" s="146">
        <f>IF((RD[[#This Row],[33 kV_F3_Ex
Incomer1]]-DQ135)*1000&lt;0,0,(RD[[#This Row],[33 kV_F3_Ex
Incomer1]]-DQ135)*1000)</f>
        <v>0</v>
      </c>
      <c r="EI136" s="242"/>
      <c r="EJ136" s="146"/>
      <c r="EK136" s="146"/>
      <c r="EL136" s="146"/>
      <c r="EM136" s="146"/>
      <c r="EN136" s="146"/>
      <c r="EO136" s="146"/>
      <c r="EP136" s="146">
        <f>IF((RD[[#This Row],[33 kV_F7_Ex
Incomer5]]-DY135)*1000&lt;0,0,(RD[[#This Row],[33 kV_F7_Ex
Incomer5]]-DY135)*1000)</f>
        <v>0</v>
      </c>
      <c r="EQ136" s="146">
        <f>IF((RD[[#This Row],[33 kV_F7_Im
Incomer5]]-DZ135)*1000&lt;0,0,(RD[[#This Row],[33 kV_F7_Im
Incomer5]]-DZ135)*1000)</f>
        <v>0</v>
      </c>
      <c r="ER136" s="146"/>
      <c r="ES136" s="316">
        <f>IF((RD[[#This Row],[33kV_OG1_Ex_]]-EB135)*1000&lt;=0,0,(RD[[#This Row],[33kV_OG1_Ex_]]-EB135)*1000)</f>
        <v>0</v>
      </c>
      <c r="ET136" s="242">
        <f>IFERROR(IF((RD[[#This Row],[33kV_OG1_Im]]-EC135)*1000&lt;=0,0,(RD[[#This Row],[33kV_OG1_Im]]-EC135)*1000),0)</f>
        <v>0</v>
      </c>
      <c r="EU136" s="242">
        <f>(RD[[#This Row],[132kV_TX1_EX]]-EE133)</f>
        <v>0</v>
      </c>
      <c r="EV136" s="242">
        <f>IF((RD[[#This Row],[132 kV_Tx1_Im]]-EE135)*800000&lt;=0,0,(RD[[#This Row],[132 kV_Tx1_Im]]-EE135)*800000)</f>
        <v>0</v>
      </c>
      <c r="EW136" s="242">
        <f>IF((RD[[#This Row],[132kV_L1_Ex]]-EF135)*1600000&lt;=0,0,(RD[[#This Row],[132kV_L1_Ex]]-EF135)*1600000)</f>
        <v>0</v>
      </c>
      <c r="EX136" s="242" t="str">
        <f>IF((RD[[#This Row],[132kV_L1_Im]]-EG135)*1600000&lt;=0,"",(RD[[#This Row],[132kV_L1_Im]]-EG135)*1600000)</f>
        <v/>
      </c>
      <c r="EY136" s="242">
        <f>IFERROR(RD[[#This Row],[33kV_OG1_Ex (MWh)]]+RD[[#This Row],[33kV_OG1_Im (MWh)]],"")</f>
        <v>0</v>
      </c>
      <c r="EZ136" s="148">
        <f>RD[[#This Row],[33kV_OG1_Ex (MWh)]]-RD[[#This Row],[33kV_OG1_Im (MWh)]]</f>
        <v>0</v>
      </c>
      <c r="FA136" s="148" t="str">
        <f>IFERROR(RD[[#This Row],[132kV_L1_Ex(MWh)]]-RD[[#This Row],[132kV_L1_Im(MWh)]],"")</f>
        <v/>
      </c>
      <c r="FB136" s="297" t="str">
        <f>IFERROR(RD[[#This Row],[33kV_Ex(MWh)]]/RD[[#This Row],[Inv Total Gneration (MWh)]]-1,"")</f>
        <v/>
      </c>
      <c r="FC136" s="243">
        <f>IFERROR((RD[[#This Row],[Sunset Time (POA&lt;20 W/m2)]]-RD[[#This Row],[Sunrise Time (POA&gt;20 W/m2)]])*24,0)</f>
        <v>0</v>
      </c>
      <c r="FD136" s="244"/>
      <c r="FE136"/>
      <c r="FG136" s="144" t="str">
        <f>IFERROR(RD[[#This Row],[E_AC (WPR)]]/RD[[#This Row],[E_DC (WPR)]],"")</f>
        <v/>
      </c>
    </row>
    <row r="139" spans="1:163">
      <c r="W139" s="144"/>
      <c r="DS139" s="143"/>
      <c r="EH139" s="144"/>
      <c r="ES139" s="161"/>
      <c r="ET139" s="144"/>
    </row>
  </sheetData>
  <mergeCells count="1">
    <mergeCell ref="EI3:FC3"/>
  </mergeCells>
  <phoneticPr fontId="7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6"/>
  <sheetViews>
    <sheetView workbookViewId="0">
      <pane xSplit="2" ySplit="3" topLeftCell="BS4" activePane="bottomRight" state="frozen"/>
      <selection pane="bottomRight" activeCell="BV10" sqref="BV10"/>
      <selection pane="bottomLeft" activeCell="A4" sqref="A4"/>
      <selection pane="topRight" activeCell="C1" sqref="C1"/>
    </sheetView>
  </sheetViews>
  <sheetFormatPr defaultRowHeight="15"/>
  <cols>
    <col min="1" max="1" width="1.125" customWidth="1"/>
    <col min="2" max="2" width="11.375" customWidth="1"/>
    <col min="3" max="48" width="12.75" bestFit="1" customWidth="1"/>
    <col min="49" max="72" width="13.625" bestFit="1" customWidth="1"/>
    <col min="73" max="76" width="13.625" customWidth="1"/>
    <col min="77" max="79" width="13.37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190.4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  <c r="BY3" s="178" t="s">
        <v>313</v>
      </c>
      <c r="BZ3" s="178" t="s">
        <v>314</v>
      </c>
      <c r="CA3" s="178" t="s">
        <v>315</v>
      </c>
    </row>
    <row r="4" spans="2:79">
      <c r="B4" s="179">
        <f>O2Summary!B5-31</f>
        <v>45828</v>
      </c>
      <c r="C4" s="174">
        <f>IFERROR(VLOOKUP($B4,RD[#All],C$2,0)/C$1,"")</f>
        <v>5.048533958109509</v>
      </c>
      <c r="D4" s="174">
        <f>IFERROR(VLOOKUP($B4,RD[#All],D$2,0)/D$1,"")</f>
        <v>5.0440861865370339</v>
      </c>
      <c r="E4" s="174">
        <f>IFERROR(VLOOKUP($B4,RD[#All],E$2,0)/E$1,"")</f>
        <v>5.1086431675519073</v>
      </c>
      <c r="F4" s="174">
        <f>IFERROR(VLOOKUP($B4,RD[#All],F$2,0)/F$1,"")</f>
        <v>5.0205576637518563</v>
      </c>
      <c r="G4" s="174">
        <f>IFERROR(VLOOKUP($B4,RD[#All],G$2,0)/G$1,"")</f>
        <v>4.9983018154554015</v>
      </c>
      <c r="H4" s="174">
        <f>IFERROR(VLOOKUP($B4,RD[#All],H$2,0)/H$1,"")</f>
        <v>4.9534117238901212</v>
      </c>
      <c r="I4" s="174">
        <f>IFERROR(VLOOKUP($B4,RD[#All],I$2,0)/I$1,"")</f>
        <v>5.098861867007173</v>
      </c>
      <c r="J4" s="174">
        <f>IFERROR(VLOOKUP($B4,RD[#All],J$2,0)/J$1,"")</f>
        <v>4.9473912381220195</v>
      </c>
      <c r="K4" s="174">
        <f>IFERROR(VLOOKUP($B4,RD[#All],K$2,0)/K$1,"")</f>
        <v>4.995235841615397</v>
      </c>
      <c r="L4" s="174">
        <f>IFERROR(VLOOKUP($B4,RD[#All],L$2,0)/L$1,"")</f>
        <v>5.0635921692287482</v>
      </c>
      <c r="M4" s="174">
        <f>IFERROR(VLOOKUP($B4,RD[#All],M$2,0)/M$1,"")</f>
        <v>5.2228207317874267</v>
      </c>
      <c r="N4" s="174">
        <f>IFERROR(VLOOKUP($B4,RD[#All],N$2,0)/N$1,"")</f>
        <v>5.0149022862748058</v>
      </c>
      <c r="O4" s="174">
        <f>IFERROR(VLOOKUP($B4,RD[#All],O$2,0)/O$1,"")</f>
        <v>5.401955546400778</v>
      </c>
      <c r="P4" s="174">
        <f>IFERROR(VLOOKUP($B4,RD[#All],P$2,0)/P$1,"")</f>
        <v>5.0240932352172125</v>
      </c>
      <c r="Q4" s="174">
        <f>IFERROR(VLOOKUP($B4,RD[#All],Q$2,0)/Q$1,"")</f>
        <v>5.053886893078035</v>
      </c>
      <c r="R4" s="174">
        <f>IFERROR(VLOOKUP($B4,RD[#All],R$2,0)/R$1,"")</f>
        <v>5.1072718260992698</v>
      </c>
      <c r="S4" s="174">
        <f>IFERROR(VLOOKUP($B4,RD[#All],S$2,0)/S$1,"")</f>
        <v>5.0269321854388931</v>
      </c>
      <c r="T4" s="174">
        <f>IFERROR(VLOOKUP($B4,RD[#All],T$2,0)/T$1,"")</f>
        <v>4.8599757887875361</v>
      </c>
      <c r="U4" s="174">
        <f>IFERROR(VLOOKUP($B4,RD[#All],U$2,0)/U$1,"")</f>
        <v>5.091919543364396</v>
      </c>
      <c r="V4" s="174">
        <f>IFERROR(VLOOKUP($B4,RD[#All],V$2,0)/V$1,"")</f>
        <v>5.2005289071208409</v>
      </c>
      <c r="W4" s="174">
        <f>IFERROR(VLOOKUP($B4,RD[#All],W$2,0)/W$1,"")</f>
        <v>4.8326183798053126</v>
      </c>
      <c r="X4" s="174">
        <f>IFERROR(VLOOKUP($B4,RD[#All],X$2,0)/X$1,"")</f>
        <v>4.9684470381585681</v>
      </c>
      <c r="Y4" s="174">
        <f>IFERROR(VLOOKUP($B4,RD[#All],Y$2,0)/Y$1,"")</f>
        <v>5.1745686789632703</v>
      </c>
      <c r="Z4" s="174">
        <f>IFERROR(VLOOKUP($B4,RD[#All],Z$2,0)/Z$1,"")</f>
        <v>5.1400833049067307</v>
      </c>
      <c r="AA4" s="174">
        <f>IFERROR(VLOOKUP($B4,RD[#All],AA$2,0)/AA$1,"")</f>
        <v>5.0703812316715542</v>
      </c>
      <c r="AB4" s="174">
        <f>IFERROR(VLOOKUP($B4,RD[#All],AB$2,0)/AB$1,"")</f>
        <v>5.0278497115078808</v>
      </c>
      <c r="AC4" s="174">
        <f>IFERROR(VLOOKUP($B4,RD[#All],AC$2,0)/AC$1,"")</f>
        <v>5.1274362818590697</v>
      </c>
      <c r="AD4" s="174">
        <f>IFERROR(VLOOKUP($B4,RD[#All],AD$2,0)/AD$1,"")</f>
        <v>5.0586161702896915</v>
      </c>
      <c r="AE4" s="174">
        <f>IFERROR(VLOOKUP($B4,RD[#All],AE$2,0)/AE$1,"")</f>
        <v>5.3249257328625088</v>
      </c>
      <c r="AF4" s="174">
        <f>IFERROR(VLOOKUP($B4,RD[#All],AF$2,0)/AF$1,"")</f>
        <v>5.2324304048441981</v>
      </c>
      <c r="AG4" s="174">
        <f>IFERROR(VLOOKUP($B4,RD[#All],AG$2,0)/AG$1,"")</f>
        <v>5.2248057789287179</v>
      </c>
      <c r="AH4" s="174">
        <f>IFERROR(VLOOKUP($B4,RD[#All],AH$2,0)/AH$1,"")</f>
        <v>5.18460961363271</v>
      </c>
      <c r="AI4" s="174">
        <f>IFERROR(VLOOKUP($B4,RD[#All],AI$2,0)/AI$1,"")</f>
        <v>5.2683112988960064</v>
      </c>
      <c r="AJ4" s="174">
        <f>IFERROR(VLOOKUP($B4,RD[#All],AJ$2,0)/AJ$1,"")</f>
        <v>5.2820526329654118</v>
      </c>
      <c r="AK4" s="174">
        <f>IFERROR(VLOOKUP($B4,RD[#All],AK$2,0)/AK$1,"")</f>
        <v>5.2410605175070408</v>
      </c>
      <c r="AL4" s="174">
        <f>IFERROR(VLOOKUP($B4,RD[#All],AL$2,0)/AL$1,"")</f>
        <v>5.2698627175440489</v>
      </c>
      <c r="AM4" s="174">
        <f>IFERROR(VLOOKUP($B4,RD[#All],AM$2,0)/AM$1,"")</f>
        <v>5.300234910848304</v>
      </c>
      <c r="AN4" s="174">
        <f>IFERROR(VLOOKUP($B4,RD[#All],AN$2,0)/AN$1,"")</f>
        <v>5.3221778726096645</v>
      </c>
      <c r="AO4" s="174">
        <f>IFERROR(VLOOKUP($B4,RD[#All],AO$2,0)/AO$1,"")</f>
        <v>5.251098830830534</v>
      </c>
      <c r="AP4" s="174">
        <f>IFERROR(VLOOKUP($B4,RD[#All],AP$2,0)/AP$1,"")</f>
        <v>5.2288866302745554</v>
      </c>
      <c r="AQ4" s="174">
        <f>IFERROR(VLOOKUP($B4,RD[#All],AQ$2,0)/AQ$1,"")</f>
        <v>5.2132798104764406</v>
      </c>
      <c r="AR4" s="174">
        <f>IFERROR(VLOOKUP($B4,RD[#All],AR$2,0)/AR$1,"")</f>
        <v>5.262758287683778</v>
      </c>
      <c r="AS4" s="174">
        <f>IFERROR(VLOOKUP($B4,RD[#All],AS$2,0)/AS$1,"")</f>
        <v>5.275498845887963</v>
      </c>
      <c r="AT4" s="174">
        <f>IFERROR(VLOOKUP($B4,RD[#All],AT$2,0)/AT$1,"")</f>
        <v>5.1999329576166424</v>
      </c>
      <c r="AU4" s="174">
        <f>IFERROR(VLOOKUP($B4,RD[#All],AU$2,0)/AU$1,"")</f>
        <v>5.3992900864608515</v>
      </c>
      <c r="AV4" s="174">
        <f>IFERROR(VLOOKUP($B4,RD[#All],AV$2,0)/AV$1,"")</f>
        <v>5.2813912090921526</v>
      </c>
      <c r="AW4" s="174">
        <f>IFERROR(VLOOKUP($B4,RD[#All],AW$2,0)/AW$1,"")</f>
        <v>4.4006085192697766</v>
      </c>
      <c r="AX4" s="174">
        <f>IFERROR(VLOOKUP($B4,RD[#All],AX$2,0)/AX$1,"")</f>
        <v>4.5286050156739819</v>
      </c>
      <c r="AY4" s="174">
        <f>IFERROR(VLOOKUP($B4,RD[#All],AY$2,0)/AY$1,"")</f>
        <v>4.9949868827761756</v>
      </c>
      <c r="AZ4" s="174">
        <f>IFERROR(VLOOKUP($B4,RD[#All],AZ$2,0)/AZ$1,"")</f>
        <v>5.4736070381231681</v>
      </c>
      <c r="BA4" s="174">
        <f>IFERROR(VLOOKUP($B4,RD[#All],BA$2,0)/BA$1,"")</f>
        <v>5.0752354395748931</v>
      </c>
      <c r="BB4" s="174">
        <f>IFERROR(VLOOKUP($B4,RD[#All],BB$2,0)/BB$1,"")</f>
        <v>5.1433780208541773</v>
      </c>
      <c r="BC4" s="174">
        <f>IFERROR(VLOOKUP($B4,RD[#All],BC$2,0)/BC$1,"")</f>
        <v>5.1183609493954316</v>
      </c>
      <c r="BD4" s="174">
        <f>IFERROR(VLOOKUP($B4,RD[#All],BD$2,0)/BD$1,"")</f>
        <v>5.2072898255616042</v>
      </c>
      <c r="BE4" s="174">
        <f>IFERROR(VLOOKUP($B4,RD[#All],BE$2,0)/BE$1,"")</f>
        <v>5.2102427524169936</v>
      </c>
      <c r="BF4" s="174">
        <f>IFERROR(VLOOKUP($B4,RD[#All],BF$2,0)/BF$1,"")</f>
        <v>5.1653374182054312</v>
      </c>
      <c r="BG4" s="174">
        <f>IFERROR(VLOOKUP($B4,RD[#All],BG$2,0)/BG$1,"")</f>
        <v>5.2088665842224842</v>
      </c>
      <c r="BH4" s="174">
        <f>IFERROR(VLOOKUP($B4,RD[#All],BH$2,0)/BH$1,"")</f>
        <v>4.4609732248137819</v>
      </c>
      <c r="BI4" s="174">
        <f>IFERROR(VLOOKUP($B4,RD[#All],BI$2,0)/BI$1,"")</f>
        <v>5.2773216566320009</v>
      </c>
      <c r="BJ4" s="174">
        <f>IFERROR(VLOOKUP($B4,RD[#All],BJ$2,0)/BJ$1,"")</f>
        <v>5.2731429983932756</v>
      </c>
      <c r="BK4" s="174">
        <f>IFERROR(VLOOKUP($B4,RD[#All],BK$2,0)/BK$1,"")</f>
        <v>5.1856860240903524</v>
      </c>
      <c r="BL4" s="174">
        <f>IFERROR(VLOOKUP($B4,RD[#All],BL$2,0)/BL$1,"")</f>
        <v>5.2548024097298525</v>
      </c>
      <c r="BM4" s="174">
        <f>IFERROR(VLOOKUP($B4,RD[#All],BM$2,0)/BM$1,"")</f>
        <v>5.3917199275591594</v>
      </c>
      <c r="BN4" s="174">
        <f>IFERROR(VLOOKUP($B4,RD[#All],BN$2,0)/BN$1,"")</f>
        <v>5.3158527535364808</v>
      </c>
      <c r="BO4" s="174">
        <f>IFERROR(VLOOKUP($B4,RD[#All],BO$2,0)/BO$1,"")</f>
        <v>4.8089900004126376</v>
      </c>
      <c r="BP4" s="174">
        <f>IFERROR(VLOOKUP($B4,RD[#All],BP$2,0)/BP$1,"")</f>
        <v>5.2302965486735982</v>
      </c>
      <c r="BQ4" s="174">
        <f>IFERROR(VLOOKUP($B4,RD[#All],BQ$2,0)/BQ$1,"")</f>
        <v>1.5314480090708997</v>
      </c>
      <c r="BR4" s="174">
        <f>IFERROR(VLOOKUP($B4,RD[#All],BR$2,0)/BR$1,"")</f>
        <v>0.53369830583709399</v>
      </c>
      <c r="BS4" s="174">
        <f>IFERROR(VLOOKUP($B4,RD[#All],BS$2,0)/BS$1,"")</f>
        <v>2.1340027412405251</v>
      </c>
      <c r="BT4" s="174">
        <f>IFERROR(VLOOKUP($B4,RD[#All],BT$2,0)/BT$1,"")</f>
        <v>0.36005939123979214</v>
      </c>
      <c r="BU4" s="174">
        <f>IFERROR(VLOOKUP($B4,RD[#All],BU$2,0)/BU$1,"")</f>
        <v>0.91698001916980021</v>
      </c>
      <c r="BV4" s="174">
        <f>IFERROR(VLOOKUP($B4,RD[#All],BV$2,0)/BV$1,"")</f>
        <v>5.5546218487394947</v>
      </c>
      <c r="BW4" s="174">
        <f>IFERROR(VLOOKUP($B4,RD[#All],BW$2,0)/BW$1,"")</f>
        <v>3.4879112168053901</v>
      </c>
      <c r="BX4" s="174">
        <f>IFERROR(VLOOKUP($B4,RD[#All],BX$2,0)/BX$1,"")</f>
        <v>5.2597261178023427</v>
      </c>
      <c r="BY4" s="180">
        <f>AVERAGEIF(Inv_SY_B[[#This Row],[IS1Inv1M1]:[IS4Inv4M2]],"&gt;="&amp;0.1,Inv_SY_B[[#This Row],[IS1Inv1M1]:[IS4Inv4M2]])</f>
        <v>5.0601036918571589</v>
      </c>
      <c r="BZ4" s="180">
        <f>AVERAGEIF(Inv_SY_B[[#This Row],[IS5Inv1M1]:[IS9Inv2M2]],"&gt;="&amp;0.1,Inv_SY_B[[#This Row],[IS5Inv1M1]:[IS9Inv2M2]])</f>
        <v>5.2645893410534184</v>
      </c>
      <c r="CA4" s="180">
        <f>AVERAGEIF(Inv_SY_B[[#This Row],[IS10Inv1M1]:[IS14Inv2M4]],"&gt;="&amp;0.1,Inv_SY_B[[#This Row],[IS10Inv1M1]:[IS14Inv2M4]])</f>
        <v>4.3394197014221634</v>
      </c>
    </row>
    <row r="5" spans="2:79">
      <c r="B5" s="179">
        <f>B4+1</f>
        <v>45829</v>
      </c>
      <c r="C5" s="174">
        <f>IFERROR(VLOOKUP($B5,RD[#All],C$2,0)/C$1,"")</f>
        <v>4.1894249532514154</v>
      </c>
      <c r="D5" s="174">
        <f>IFERROR(VLOOKUP($B5,RD[#All],D$2,0)/D$1,"")</f>
        <v>4.1274693745869362</v>
      </c>
      <c r="E5" s="174">
        <f>IFERROR(VLOOKUP($B5,RD[#All],E$2,0)/E$1,"")</f>
        <v>4.1617742553156063</v>
      </c>
      <c r="F5" s="174">
        <f>IFERROR(VLOOKUP($B5,RD[#All],F$2,0)/F$1,"")</f>
        <v>4.2044547104438212</v>
      </c>
      <c r="G5" s="174">
        <f>IFERROR(VLOOKUP($B5,RD[#All],G$2,0)/G$1,"")</f>
        <v>4.2238014982473455</v>
      </c>
      <c r="H5" s="174">
        <f>IFERROR(VLOOKUP($B5,RD[#All],H$2,0)/H$1,"")</f>
        <v>4.194183899785644</v>
      </c>
      <c r="I5" s="174">
        <f>IFERROR(VLOOKUP($B5,RD[#All],I$2,0)/I$1,"")</f>
        <v>4.2540896564753705</v>
      </c>
      <c r="J5" s="174">
        <f>IFERROR(VLOOKUP($B5,RD[#All],J$2,0)/J$1,"")</f>
        <v>4.1946407020750582</v>
      </c>
      <c r="K5" s="174">
        <f>IFERROR(VLOOKUP($B5,RD[#All],K$2,0)/K$1,"")</f>
        <v>4.1768102224325601</v>
      </c>
      <c r="L5" s="174">
        <f>IFERROR(VLOOKUP($B5,RD[#All],L$2,0)/L$1,"")</f>
        <v>4.2899093417422156</v>
      </c>
      <c r="M5" s="174">
        <f>IFERROR(VLOOKUP($B5,RD[#All],M$2,0)/M$1,"")</f>
        <v>4.4433423109768118</v>
      </c>
      <c r="N5" s="174">
        <f>IFERROR(VLOOKUP($B5,RD[#All],N$2,0)/N$1,"")</f>
        <v>4.2401720365200335</v>
      </c>
      <c r="O5" s="174">
        <f>IFERROR(VLOOKUP($B5,RD[#All],O$2,0)/O$1,"")</f>
        <v>4.5201573191377058</v>
      </c>
      <c r="P5" s="174">
        <f>IFERROR(VLOOKUP($B5,RD[#All],P$2,0)/P$1,"")</f>
        <v>4.2508684770834115</v>
      </c>
      <c r="Q5" s="174">
        <f>IFERROR(VLOOKUP($B5,RD[#All],Q$2,0)/Q$1,"")</f>
        <v>4.2620643679863708</v>
      </c>
      <c r="R5" s="174">
        <f>IFERROR(VLOOKUP($B5,RD[#All],R$2,0)/R$1,"")</f>
        <v>4.2281771192059372</v>
      </c>
      <c r="S5" s="174">
        <f>IFERROR(VLOOKUP($B5,RD[#All],S$2,0)/S$1,"")</f>
        <v>4.2094664927249017</v>
      </c>
      <c r="T5" s="174">
        <f>IFERROR(VLOOKUP($B5,RD[#All],T$2,0)/T$1,"")</f>
        <v>4.1820213528318613</v>
      </c>
      <c r="U5" s="174">
        <f>IFERROR(VLOOKUP($B5,RD[#All],U$2,0)/U$1,"")</f>
        <v>4.2094919270661908</v>
      </c>
      <c r="V5" s="174">
        <f>IFERROR(VLOOKUP($B5,RD[#All],V$2,0)/V$1,"")</f>
        <v>4.2394703708216568</v>
      </c>
      <c r="W5" s="174">
        <f>IFERROR(VLOOKUP($B5,RD[#All],W$2,0)/W$1,"")</f>
        <v>4.0925589836660619</v>
      </c>
      <c r="X5" s="174">
        <f>IFERROR(VLOOKUP($B5,RD[#All],X$2,0)/X$1,"")</f>
        <v>4.214634741828613</v>
      </c>
      <c r="Y5" s="174">
        <f>IFERROR(VLOOKUP($B5,RD[#All],Y$2,0)/Y$1,"")</f>
        <v>4.364744233387893</v>
      </c>
      <c r="Z5" s="174">
        <f>IFERROR(VLOOKUP($B5,RD[#All],Z$2,0)/Z$1,"")</f>
        <v>4.3433005978563353</v>
      </c>
      <c r="AA5" s="174">
        <f>IFERROR(VLOOKUP($B5,RD[#All],AA$2,0)/AA$1,"")</f>
        <v>4.2845949413489741</v>
      </c>
      <c r="AB5" s="174">
        <f>IFERROR(VLOOKUP($B5,RD[#All],AB$2,0)/AB$1,"")</f>
        <v>4.2246603970741896</v>
      </c>
      <c r="AC5" s="174">
        <f>IFERROR(VLOOKUP($B5,RD[#All],AC$2,0)/AC$1,"")</f>
        <v>4.2997308685106983</v>
      </c>
      <c r="AD5" s="174">
        <f>IFERROR(VLOOKUP($B5,RD[#All],AD$2,0)/AD$1,"")</f>
        <v>4.2597731278528492</v>
      </c>
      <c r="AE5" s="174">
        <f>IFERROR(VLOOKUP($B5,RD[#All],AE$2,0)/AE$1,"")</f>
        <v>4.4446499635670644</v>
      </c>
      <c r="AF5" s="174">
        <f>IFERROR(VLOOKUP($B5,RD[#All],AF$2,0)/AF$1,"")</f>
        <v>4.3699595423733353</v>
      </c>
      <c r="AG5" s="174">
        <f>IFERROR(VLOOKUP($B5,RD[#All],AG$2,0)/AG$1,"")</f>
        <v>4.3485348234973422</v>
      </c>
      <c r="AH5" s="174">
        <f>IFERROR(VLOOKUP($B5,RD[#All],AH$2,0)/AH$1,"")</f>
        <v>4.3370130218101925</v>
      </c>
      <c r="AI5" s="174">
        <f>IFERROR(VLOOKUP($B5,RD[#All],AI$2,0)/AI$1,"")</f>
        <v>4.3506610331198035</v>
      </c>
      <c r="AJ5" s="174">
        <f>IFERROR(VLOOKUP($B5,RD[#All],AJ$2,0)/AJ$1,"")</f>
        <v>4.3450383288111487</v>
      </c>
      <c r="AK5" s="174">
        <f>IFERROR(VLOOKUP($B5,RD[#All],AK$2,0)/AK$1,"")</f>
        <v>4.3074756920461192</v>
      </c>
      <c r="AL5" s="174">
        <f>IFERROR(VLOOKUP($B5,RD[#All],AL$2,0)/AL$1,"")</f>
        <v>4.3463409361150145</v>
      </c>
      <c r="AM5" s="174">
        <f>IFERROR(VLOOKUP($B5,RD[#All],AM$2,0)/AM$1,"")</f>
        <v>4.3585722266721412</v>
      </c>
      <c r="AN5" s="174">
        <f>IFERROR(VLOOKUP($B5,RD[#All],AN$2,0)/AN$1,"")</f>
        <v>4.3822652405985183</v>
      </c>
      <c r="AO5" s="174">
        <f>IFERROR(VLOOKUP($B5,RD[#All],AO$2,0)/AO$1,"")</f>
        <v>4.3502931337376403</v>
      </c>
      <c r="AP5" s="174">
        <f>IFERROR(VLOOKUP($B5,RD[#All],AP$2,0)/AP$1,"")</f>
        <v>4.3492161785591685</v>
      </c>
      <c r="AQ5" s="174">
        <f>IFERROR(VLOOKUP($B5,RD[#All],AQ$2,0)/AQ$1,"")</f>
        <v>4.3355488286391157</v>
      </c>
      <c r="AR5" s="174">
        <f>IFERROR(VLOOKUP($B5,RD[#All],AR$2,0)/AR$1,"")</f>
        <v>4.3583809254233339</v>
      </c>
      <c r="AS5" s="174">
        <f>IFERROR(VLOOKUP($B5,RD[#All],AS$2,0)/AS$1,"")</f>
        <v>4.3138247390066429</v>
      </c>
      <c r="AT5" s="174">
        <f>IFERROR(VLOOKUP($B5,RD[#All],AT$2,0)/AT$1,"")</f>
        <v>4.302570656386834</v>
      </c>
      <c r="AU5" s="174">
        <f>IFERROR(VLOOKUP($B5,RD[#All],AU$2,0)/AU$1,"")</f>
        <v>4.3523562686294257</v>
      </c>
      <c r="AV5" s="174">
        <f>IFERROR(VLOOKUP($B5,RD[#All],AV$2,0)/AV$1,"")</f>
        <v>4.2699504691033914</v>
      </c>
      <c r="AW5" s="174">
        <f>IFERROR(VLOOKUP($B5,RD[#All],AW$2,0)/AW$1,"")</f>
        <v>4.0135994836806193</v>
      </c>
      <c r="AX5" s="174">
        <f>IFERROR(VLOOKUP($B5,RD[#All],AX$2,0)/AX$1,"")</f>
        <v>4.1101097178683395</v>
      </c>
      <c r="AY5" s="174">
        <f>IFERROR(VLOOKUP($B5,RD[#All],AY$2,0)/AY$1,"")</f>
        <v>4.209252188368529</v>
      </c>
      <c r="AZ5" s="174">
        <f>IFERROR(VLOOKUP($B5,RD[#All],AZ$2,0)/AZ$1,"")</f>
        <v>4.5028819900899988</v>
      </c>
      <c r="BA5" s="174">
        <f>IFERROR(VLOOKUP($B5,RD[#All],BA$2,0)/BA$1,"")</f>
        <v>4.2339664334192664</v>
      </c>
      <c r="BB5" s="174">
        <f>IFERROR(VLOOKUP($B5,RD[#All],BB$2,0)/BB$1,"")</f>
        <v>4.3032081638097788</v>
      </c>
      <c r="BC5" s="174">
        <f>IFERROR(VLOOKUP($B5,RD[#All],BC$2,0)/BC$1,"")</f>
        <v>4.2738916256157635</v>
      </c>
      <c r="BD5" s="174">
        <f>IFERROR(VLOOKUP($B5,RD[#All],BD$2,0)/BD$1,"")</f>
        <v>4.3803232711553743</v>
      </c>
      <c r="BE5" s="174">
        <f>IFERROR(VLOOKUP($B5,RD[#All],BE$2,0)/BE$1,"")</f>
        <v>4.3662823483052176</v>
      </c>
      <c r="BF5" s="174">
        <f>IFERROR(VLOOKUP($B5,RD[#All],BF$2,0)/BF$1,"")</f>
        <v>4.2801245441982045</v>
      </c>
      <c r="BG5" s="174">
        <f>IFERROR(VLOOKUP($B5,RD[#All],BG$2,0)/BG$1,"")</f>
        <v>4.3393201230910821</v>
      </c>
      <c r="BH5" s="174">
        <f>IFERROR(VLOOKUP($B5,RD[#All],BH$2,0)/BH$1,"")</f>
        <v>4.4656466595726325</v>
      </c>
      <c r="BI5" s="174">
        <f>IFERROR(VLOOKUP($B5,RD[#All],BI$2,0)/BI$1,"")</f>
        <v>4.4940964891703805</v>
      </c>
      <c r="BJ5" s="174">
        <f>IFERROR(VLOOKUP($B5,RD[#All],BJ$2,0)/BJ$1,"")</f>
        <v>4.4353808758703082</v>
      </c>
      <c r="BK5" s="174">
        <f>IFERROR(VLOOKUP($B5,RD[#All],BK$2,0)/BK$1,"")</f>
        <v>4.471176721007688</v>
      </c>
      <c r="BL5" s="174">
        <f>IFERROR(VLOOKUP($B5,RD[#All],BL$2,0)/BL$1,"")</f>
        <v>4.5081397845388302</v>
      </c>
      <c r="BM5" s="174">
        <f>IFERROR(VLOOKUP($B5,RD[#All],BM$2,0)/BM$1,"")</f>
        <v>4.5389429784515611</v>
      </c>
      <c r="BN5" s="174">
        <f>IFERROR(VLOOKUP($B5,RD[#All],BN$2,0)/BN$1,"")</f>
        <v>4.4589284995196481</v>
      </c>
      <c r="BO5" s="174">
        <f>IFERROR(VLOOKUP($B5,RD[#All],BO$2,0)/BO$1,"")</f>
        <v>4.0534228298694686</v>
      </c>
      <c r="BP5" s="174">
        <f>IFERROR(VLOOKUP($B5,RD[#All],BP$2,0)/BP$1,"")</f>
        <v>4.406466984380871</v>
      </c>
      <c r="BQ5" s="174">
        <f>IFERROR(VLOOKUP($B5,RD[#All],BQ$2,0)/BQ$1,"")</f>
        <v>1.6571066497698927</v>
      </c>
      <c r="BR5" s="174">
        <f>IFERROR(VLOOKUP($B5,RD[#All],BR$2,0)/BR$1,"")</f>
        <v>0.44536509580528222</v>
      </c>
      <c r="BS5" s="174">
        <f>IFERROR(VLOOKUP($B5,RD[#All],BS$2,0)/BS$1,"")</f>
        <v>1.7696903609804857</v>
      </c>
      <c r="BT5" s="174">
        <f>IFERROR(VLOOKUP($B5,RD[#All],BT$2,0)/BT$1,"")</f>
        <v>0.5108996423027603</v>
      </c>
      <c r="BU5" s="174">
        <f>IFERROR(VLOOKUP($B5,RD[#All],BU$2,0)/BU$1,"")</f>
        <v>0.76863525768635266</v>
      </c>
      <c r="BV5" s="174">
        <f>IFERROR(VLOOKUP($B5,RD[#All],BV$2,0)/BV$1,"")</f>
        <v>4.6223739495798322</v>
      </c>
      <c r="BW5" s="174">
        <f>IFERROR(VLOOKUP($B5,RD[#All],BW$2,0)/BW$1,"")</f>
        <v>2.9366194645623893</v>
      </c>
      <c r="BX5" s="174">
        <f>IFERROR(VLOOKUP($B5,RD[#All],BX$2,0)/BX$1,"")</f>
        <v>4.4378815377000498</v>
      </c>
      <c r="BY5" s="174">
        <f>AVERAGEIF(Inv_SY_B[[#This Row],[IS1Inv1M1]:[IS4Inv4M2]],"&gt;="&amp;0.1,Inv_SY_B[[#This Row],[IS1Inv1M1]:[IS4Inv4M2]])</f>
        <v>4.2459210100084457</v>
      </c>
      <c r="BZ5" s="174">
        <f>AVERAGEIF(Inv_SY_B[[#This Row],[IS5Inv1M1]:[IS9Inv2M2]],"&gt;="&amp;0.1,Inv_SY_B[[#This Row],[IS5Inv1M1]:[IS9Inv2M2]])</f>
        <v>4.3457028893386793</v>
      </c>
      <c r="CA5" s="174">
        <f>AVERAGEIF(Inv_SY_B[[#This Row],[IS10Inv1M1]:[IS14Inv2M4]],"&gt;="&amp;0.1,Inv_SY_B[[#This Row],[IS10Inv1M1]:[IS14Inv2M4]])</f>
        <v>3.7140619167989506</v>
      </c>
    </row>
    <row r="6" spans="2:79">
      <c r="B6" s="179">
        <f t="shared" ref="B6:B34" si="32">B5+1</f>
        <v>45830</v>
      </c>
      <c r="C6" s="174">
        <f>IFERROR(VLOOKUP($B6,RD[#All],C$2,0)/C$1,"")</f>
        <v>2.6271295272519972</v>
      </c>
      <c r="D6" s="174">
        <f>IFERROR(VLOOKUP($B6,RD[#All],D$2,0)/D$1,"")</f>
        <v>2.6122827404537352</v>
      </c>
      <c r="E6" s="174">
        <f>IFERROR(VLOOKUP($B6,RD[#All],E$2,0)/E$1,"")</f>
        <v>2.610699478845802</v>
      </c>
      <c r="F6" s="174">
        <f>IFERROR(VLOOKUP($B6,RD[#All],F$2,0)/F$1,"")</f>
        <v>2.5952153110047846</v>
      </c>
      <c r="G6" s="174">
        <f>IFERROR(VLOOKUP($B6,RD[#All],G$2,0)/G$1,"")</f>
        <v>2.6018109696313338</v>
      </c>
      <c r="H6" s="174">
        <f>IFERROR(VLOOKUP($B6,RD[#All],H$2,0)/H$1,"")</f>
        <v>2.5845341791913961</v>
      </c>
      <c r="I6" s="174">
        <f>IFERROR(VLOOKUP($B6,RD[#All],I$2,0)/I$1,"")</f>
        <v>2.6395304142751974</v>
      </c>
      <c r="J6" s="174">
        <f>IFERROR(VLOOKUP($B6,RD[#All],J$2,0)/J$1,"")</f>
        <v>2.5930612675313718</v>
      </c>
      <c r="K6" s="174">
        <f>IFERROR(VLOOKUP($B6,RD[#All],K$2,0)/K$1,"")</f>
        <v>2.6332860072566655</v>
      </c>
      <c r="L6" s="174">
        <f>IFERROR(VLOOKUP($B6,RD[#All],L$2,0)/L$1,"")</f>
        <v>2.658717645513073</v>
      </c>
      <c r="M6" s="174">
        <f>IFERROR(VLOOKUP($B6,RD[#All],M$2,0)/M$1,"")</f>
        <v>2.7551074032713658</v>
      </c>
      <c r="N6" s="174">
        <f>IFERROR(VLOOKUP($B6,RD[#All],N$2,0)/N$1,"")</f>
        <v>2.643112251314168</v>
      </c>
      <c r="O6" s="174">
        <f>IFERROR(VLOOKUP($B6,RD[#All],O$2,0)/O$1,"")</f>
        <v>2.8281397848770222</v>
      </c>
      <c r="P6" s="174">
        <f>IFERROR(VLOOKUP($B6,RD[#All],P$2,0)/P$1,"")</f>
        <v>2.6369952560606627</v>
      </c>
      <c r="Q6" s="174">
        <f>IFERROR(VLOOKUP($B6,RD[#All],Q$2,0)/Q$1,"")</f>
        <v>2.6555189313976029</v>
      </c>
      <c r="R6" s="174">
        <f>IFERROR(VLOOKUP($B6,RD[#All],R$2,0)/R$1,"")</f>
        <v>2.6406313363758662</v>
      </c>
      <c r="S6" s="174">
        <f>IFERROR(VLOOKUP($B6,RD[#All],S$2,0)/S$1,"")</f>
        <v>2.6355813942917403</v>
      </c>
      <c r="T6" s="174">
        <f>IFERROR(VLOOKUP($B6,RD[#All],T$2,0)/T$1,"")</f>
        <v>2.6558647411060234</v>
      </c>
      <c r="U6" s="174">
        <f>IFERROR(VLOOKUP($B6,RD[#All],U$2,0)/U$1,"")</f>
        <v>2.6557460293578323</v>
      </c>
      <c r="V6" s="174">
        <f>IFERROR(VLOOKUP($B6,RD[#All],V$2,0)/V$1,"")</f>
        <v>2.6743656047908519</v>
      </c>
      <c r="W6" s="174">
        <f>IFERROR(VLOOKUP($B6,RD[#All],W$2,0)/W$1,"")</f>
        <v>2.5966012209206402</v>
      </c>
      <c r="X6" s="174">
        <f>IFERROR(VLOOKUP($B6,RD[#All],X$2,0)/X$1,"")</f>
        <v>2.6405471666762743</v>
      </c>
      <c r="Y6" s="174">
        <f>IFERROR(VLOOKUP($B6,RD[#All],Y$2,0)/Y$1,"")</f>
        <v>2.7345960047499185</v>
      </c>
      <c r="Z6" s="174">
        <f>IFERROR(VLOOKUP($B6,RD[#All],Z$2,0)/Z$1,"")</f>
        <v>2.724465430259071</v>
      </c>
      <c r="AA6" s="174">
        <f>IFERROR(VLOOKUP($B6,RD[#All],AA$2,0)/AA$1,"")</f>
        <v>2.6997342375366564</v>
      </c>
      <c r="AB6" s="174">
        <f>IFERROR(VLOOKUP($B6,RD[#All],AB$2,0)/AB$1,"")</f>
        <v>2.6655763027577115</v>
      </c>
      <c r="AC6" s="174">
        <f>IFERROR(VLOOKUP($B6,RD[#All],AC$2,0)/AC$1,"")</f>
        <v>2.7030521436529442</v>
      </c>
      <c r="AD6" s="174">
        <f>IFERROR(VLOOKUP($B6,RD[#All],AD$2,0)/AD$1,"")</f>
        <v>2.6747412663262073</v>
      </c>
      <c r="AE6" s="174">
        <f>IFERROR(VLOOKUP($B6,RD[#All],AE$2,0)/AE$1,"")</f>
        <v>2.5238495600022421</v>
      </c>
      <c r="AF6" s="174">
        <f>IFERROR(VLOOKUP($B6,RD[#All],AF$2,0)/AF$1,"")</f>
        <v>2.5031749859336068</v>
      </c>
      <c r="AG6" s="174">
        <f>IFERROR(VLOOKUP($B6,RD[#All],AG$2,0)/AG$1,"")</f>
        <v>2.4999863704511385</v>
      </c>
      <c r="AH6" s="174">
        <f>IFERROR(VLOOKUP($B6,RD[#All],AH$2,0)/AH$1,"")</f>
        <v>2.4912384116606825</v>
      </c>
      <c r="AI6" s="174">
        <f>IFERROR(VLOOKUP($B6,RD[#All],AI$2,0)/AI$1,"")</f>
        <v>2.4796510835491348</v>
      </c>
      <c r="AJ6" s="174">
        <f>IFERROR(VLOOKUP($B6,RD[#All],AJ$2,0)/AJ$1,"")</f>
        <v>2.479650167276942</v>
      </c>
      <c r="AK6" s="174">
        <f>IFERROR(VLOOKUP($B6,RD[#All],AK$2,0)/AK$1,"")</f>
        <v>2.4462568407629779</v>
      </c>
      <c r="AL6" s="174">
        <f>IFERROR(VLOOKUP($B6,RD[#All],AL$2,0)/AL$1,"")</f>
        <v>2.4630310236731168</v>
      </c>
      <c r="AM6" s="174">
        <f>IFERROR(VLOOKUP($B6,RD[#All],AM$2,0)/AM$1,"")</f>
        <v>2.4415246992939212</v>
      </c>
      <c r="AN6" s="174">
        <f>IFERROR(VLOOKUP($B6,RD[#All],AN$2,0)/AN$1,"")</f>
        <v>2.4553231875180894</v>
      </c>
      <c r="AO6" s="174">
        <f>IFERROR(VLOOKUP($B6,RD[#All],AO$2,0)/AO$1,"")</f>
        <v>2.4537077547503818</v>
      </c>
      <c r="AP6" s="174">
        <f>IFERROR(VLOOKUP($B6,RD[#All],AP$2,0)/AP$1,"")</f>
        <v>2.4640061386445171</v>
      </c>
      <c r="AQ6" s="174">
        <f>IFERROR(VLOOKUP($B6,RD[#All],AQ$2,0)/AQ$1,"")</f>
        <v>2.4468281126612261</v>
      </c>
      <c r="AR6" s="174">
        <f>IFERROR(VLOOKUP($B6,RD[#All],AR$2,0)/AR$1,"")</f>
        <v>2.4477264023710017</v>
      </c>
      <c r="AS6" s="174">
        <f>IFERROR(VLOOKUP($B6,RD[#All],AS$2,0)/AS$1,"")</f>
        <v>2.4193000339789328</v>
      </c>
      <c r="AT6" s="174">
        <f>IFERROR(VLOOKUP($B6,RD[#All],AT$2,0)/AT$1,"")</f>
        <v>2.4278980117743183</v>
      </c>
      <c r="AU6" s="174">
        <f>IFERROR(VLOOKUP($B6,RD[#All],AU$2,0)/AU$1,"")</f>
        <v>2.4284499447103314</v>
      </c>
      <c r="AV6" s="174">
        <f>IFERROR(VLOOKUP($B6,RD[#All],AV$2,0)/AV$1,"")</f>
        <v>2.3935841198940442</v>
      </c>
      <c r="AW6" s="174">
        <f>IFERROR(VLOOKUP($B6,RD[#All],AW$2,0)/AW$1,"")</f>
        <v>2.6769315876820952</v>
      </c>
      <c r="AX6" s="174">
        <f>IFERROR(VLOOKUP($B6,RD[#All],AX$2,0)/AX$1,"")</f>
        <v>2.7043005485893419</v>
      </c>
      <c r="AY6" s="174">
        <f>IFERROR(VLOOKUP($B6,RD[#All],AY$2,0)/AY$1,"")</f>
        <v>2.6840697160965217</v>
      </c>
      <c r="AZ6" s="174">
        <f>IFERROR(VLOOKUP($B6,RD[#All],AZ$2,0)/AZ$1,"")</f>
        <v>2.8972090201233698</v>
      </c>
      <c r="BA6" s="174">
        <f>IFERROR(VLOOKUP($B6,RD[#All],BA$2,0)/BA$1,"")</f>
        <v>2.7357464793672506</v>
      </c>
      <c r="BB6" s="174">
        <f>IFERROR(VLOOKUP($B6,RD[#All],BB$2,0)/BB$1,"")</f>
        <v>2.8174926076613533</v>
      </c>
      <c r="BC6" s="174">
        <f>IFERROR(VLOOKUP($B6,RD[#All],BC$2,0)/BC$1,"")</f>
        <v>2.8133900582176445</v>
      </c>
      <c r="BD6" s="174">
        <f>IFERROR(VLOOKUP($B6,RD[#All],BD$2,0)/BD$1,"")</f>
        <v>2.8576897809993098</v>
      </c>
      <c r="BE6" s="174">
        <f>IFERROR(VLOOKUP($B6,RD[#All],BE$2,0)/BE$1,"")</f>
        <v>2.8753898102413937</v>
      </c>
      <c r="BF6" s="174">
        <f>IFERROR(VLOOKUP($B6,RD[#All],BF$2,0)/BF$1,"")</f>
        <v>2.7364757987978487</v>
      </c>
      <c r="BG6" s="174">
        <f>IFERROR(VLOOKUP($B6,RD[#All],BG$2,0)/BG$1,"")</f>
        <v>2.8699922349084006</v>
      </c>
      <c r="BH6" s="174">
        <f>IFERROR(VLOOKUP($B6,RD[#All],BH$2,0)/BH$1,"")</f>
        <v>2.8430301112996461</v>
      </c>
      <c r="BI6" s="174">
        <f>IFERROR(VLOOKUP($B6,RD[#All],BI$2,0)/BI$1,"")</f>
        <v>2.9217165793520468</v>
      </c>
      <c r="BJ6" s="174">
        <f>IFERROR(VLOOKUP($B6,RD[#All],BJ$2,0)/BJ$1,"")</f>
        <v>2.829755970282481</v>
      </c>
      <c r="BK6" s="174">
        <f>IFERROR(VLOOKUP($B6,RD[#All],BK$2,0)/BK$1,"")</f>
        <v>2.8797610998422356</v>
      </c>
      <c r="BL6" s="174">
        <f>IFERROR(VLOOKUP($B6,RD[#All],BL$2,0)/BL$1,"")</f>
        <v>2.916808749794769</v>
      </c>
      <c r="BM6" s="174">
        <f>IFERROR(VLOOKUP($B6,RD[#All],BM$2,0)/BM$1,"")</f>
        <v>2.9599496168530419</v>
      </c>
      <c r="BN6" s="174">
        <f>IFERROR(VLOOKUP($B6,RD[#All],BN$2,0)/BN$1,"")</f>
        <v>2.9133468713865769</v>
      </c>
      <c r="BO6" s="174">
        <f>IFERROR(VLOOKUP($B6,RD[#All],BO$2,0)/BO$1,"")</f>
        <v>2.6903979203059021</v>
      </c>
      <c r="BP6" s="174">
        <f>IFERROR(VLOOKUP($B6,RD[#All],BP$2,0)/BP$1,"")</f>
        <v>2.8720816459275547</v>
      </c>
      <c r="BQ6" s="174">
        <f>IFERROR(VLOOKUP($B6,RD[#All],BQ$2,0)/BQ$1,"")</f>
        <v>1.3693723737744281</v>
      </c>
      <c r="BR6" s="174">
        <f>IFERROR(VLOOKUP($B6,RD[#All],BR$2,0)/BR$1,"")</f>
        <v>0.40874454390767179</v>
      </c>
      <c r="BS6" s="174">
        <f>IFERROR(VLOOKUP($B6,RD[#All],BS$2,0)/BS$1,"")</f>
        <v>1.8965295289155442</v>
      </c>
      <c r="BT6" s="174">
        <f>IFERROR(VLOOKUP($B6,RD[#All],BT$2,0)/BT$1,"")</f>
        <v>1.1828980225416752</v>
      </c>
      <c r="BU6" s="174">
        <f>IFERROR(VLOOKUP($B6,RD[#All],BU$2,0)/BU$1,"")</f>
        <v>0.47349406473494071</v>
      </c>
      <c r="BV6" s="174">
        <f>IFERROR(VLOOKUP($B6,RD[#All],BV$2,0)/BV$1,"")</f>
        <v>2.8161764705882355</v>
      </c>
      <c r="BW6" s="174">
        <f>IFERROR(VLOOKUP($B6,RD[#All],BW$2,0)/BW$1,"")</f>
        <v>1.9198645191510826</v>
      </c>
      <c r="BX6" s="174">
        <f>IFERROR(VLOOKUP($B6,RD[#All],BX$2,0)/BX$1,"")</f>
        <v>2.8949678270912393</v>
      </c>
      <c r="BY6" s="174">
        <f>AVERAGEIF(Inv_SY_B[[#This Row],[IS1Inv1M1]:[IS4Inv4M2]],"&gt;="&amp;0.1,Inv_SY_B[[#This Row],[IS1Inv1M1]:[IS4Inv4M2]])</f>
        <v>2.656308715952783</v>
      </c>
      <c r="BZ6" s="174">
        <f>AVERAGEIF(Inv_SY_B[[#This Row],[IS5Inv1M1]:[IS9Inv2M2]],"&gt;="&amp;0.1,Inv_SY_B[[#This Row],[IS5Inv1M1]:[IS9Inv2M2]])</f>
        <v>2.4591770471614782</v>
      </c>
      <c r="CA6" s="174">
        <f>AVERAGEIF(Inv_SY_B[[#This Row],[IS10Inv1M1]:[IS14Inv2M4]],"&gt;="&amp;0.1,Inv_SY_B[[#This Row],[IS10Inv1M1]:[IS14Inv2M4]])</f>
        <v>2.4806279842297712</v>
      </c>
    </row>
    <row r="7" spans="2:79">
      <c r="B7" s="179">
        <f t="shared" si="32"/>
        <v>45831</v>
      </c>
      <c r="C7" s="174">
        <f>IFERROR(VLOOKUP($B7,RD[#All],C$2,0)/C$1,"")</f>
        <v>2.7049342074352953</v>
      </c>
      <c r="D7" s="174">
        <f>IFERROR(VLOOKUP($B7,RD[#All],D$2,0)/D$1,"")</f>
        <v>2.7101963597182244</v>
      </c>
      <c r="E7" s="174">
        <f>IFERROR(VLOOKUP($B7,RD[#All],E$2,0)/E$1,"")</f>
        <v>2.6838941707321138</v>
      </c>
      <c r="F7" s="174">
        <f>IFERROR(VLOOKUP($B7,RD[#All],F$2,0)/F$1,"")</f>
        <v>2.6598251113677613</v>
      </c>
      <c r="G7" s="174">
        <f>IFERROR(VLOOKUP($B7,RD[#All],G$2,0)/G$1,"")</f>
        <v>2.6497446314939537</v>
      </c>
      <c r="H7" s="174">
        <f>IFERROR(VLOOKUP($B7,RD[#All],H$2,0)/H$1,"")</f>
        <v>2.6450617666373422</v>
      </c>
      <c r="I7" s="174">
        <f>IFERROR(VLOOKUP($B7,RD[#All],I$2,0)/I$1,"")</f>
        <v>2.7194668299706182</v>
      </c>
      <c r="J7" s="174">
        <f>IFERROR(VLOOKUP($B7,RD[#All],J$2,0)/J$1,"")</f>
        <v>2.7049574091649382</v>
      </c>
      <c r="K7" s="174">
        <f>IFERROR(VLOOKUP($B7,RD[#All],K$2,0)/K$1,"")</f>
        <v>2.7135510332860076</v>
      </c>
      <c r="L7" s="174">
        <f>IFERROR(VLOOKUP($B7,RD[#All],L$2,0)/L$1,"")</f>
        <v>2.7285507817632371</v>
      </c>
      <c r="M7" s="174">
        <f>IFERROR(VLOOKUP($B7,RD[#All],M$2,0)/M$1,"")</f>
        <v>2.8314392695263746</v>
      </c>
      <c r="N7" s="174">
        <f>IFERROR(VLOOKUP($B7,RD[#All],N$2,0)/N$1,"")</f>
        <v>2.7307653613018434</v>
      </c>
      <c r="O7" s="174">
        <f>IFERROR(VLOOKUP($B7,RD[#All],O$2,0)/O$1,"")</f>
        <v>2.9167122617522674</v>
      </c>
      <c r="P7" s="174">
        <f>IFERROR(VLOOKUP($B7,RD[#All],P$2,0)/P$1,"")</f>
        <v>2.705415063563807</v>
      </c>
      <c r="Q7" s="174">
        <f>IFERROR(VLOOKUP($B7,RD[#All],Q$2,0)/Q$1,"")</f>
        <v>2.7311951409207067</v>
      </c>
      <c r="R7" s="174">
        <f>IFERROR(VLOOKUP($B7,RD[#All],R$2,0)/R$1,"")</f>
        <v>2.729461291381563</v>
      </c>
      <c r="S7" s="174">
        <f>IFERROR(VLOOKUP($B7,RD[#All],S$2,0)/S$1,"")</f>
        <v>2.7399009986499818</v>
      </c>
      <c r="T7" s="174">
        <f>IFERROR(VLOOKUP($B7,RD[#All],T$2,0)/T$1,"")</f>
        <v>2.7782973606539456</v>
      </c>
      <c r="U7" s="174">
        <f>IFERROR(VLOOKUP($B7,RD[#All],U$2,0)/U$1,"")</f>
        <v>2.7473834667067885</v>
      </c>
      <c r="V7" s="174">
        <f>IFERROR(VLOOKUP($B7,RD[#All],V$2,0)/V$1,"")</f>
        <v>2.7652545929626471</v>
      </c>
      <c r="W7" s="174">
        <f>IFERROR(VLOOKUP($B7,RD[#All],W$2,0)/W$1,"")</f>
        <v>2.7049579277346969</v>
      </c>
      <c r="X7" s="174">
        <f>IFERROR(VLOOKUP($B7,RD[#All],X$2,0)/X$1,"")</f>
        <v>2.6774409038965619</v>
      </c>
      <c r="Y7" s="174">
        <f>IFERROR(VLOOKUP($B7,RD[#All],Y$2,0)/Y$1,"")</f>
        <v>2.782141039571957</v>
      </c>
      <c r="Z7" s="174">
        <f>IFERROR(VLOOKUP($B7,RD[#All],Z$2,0)/Z$1,"")</f>
        <v>2.7653997378768018</v>
      </c>
      <c r="AA7" s="174">
        <f>IFERROR(VLOOKUP($B7,RD[#All],AA$2,0)/AA$1,"")</f>
        <v>2.764067082111437</v>
      </c>
      <c r="AB7" s="174">
        <f>IFERROR(VLOOKUP($B7,RD[#All],AB$2,0)/AB$1,"")</f>
        <v>2.7554404615873875</v>
      </c>
      <c r="AC7" s="174">
        <f>IFERROR(VLOOKUP($B7,RD[#All],AC$2,0)/AC$1,"")</f>
        <v>2.747708714450114</v>
      </c>
      <c r="AD7" s="174">
        <f>IFERROR(VLOOKUP($B7,RD[#All],AD$2,0)/AD$1,"")</f>
        <v>2.7124779680932791</v>
      </c>
      <c r="AE7" s="174">
        <f>IFERROR(VLOOKUP($B7,RD[#All],AE$2,0)/AE$1,"")</f>
        <v>2.5645983969508439</v>
      </c>
      <c r="AF7" s="174">
        <f>IFERROR(VLOOKUP($B7,RD[#All],AF$2,0)/AF$1,"")</f>
        <v>2.5273423894113547</v>
      </c>
      <c r="AG7" s="174">
        <f>IFERROR(VLOOKUP($B7,RD[#All],AG$2,0)/AG$1,"")</f>
        <v>2.5095815728499384</v>
      </c>
      <c r="AH7" s="174">
        <f>IFERROR(VLOOKUP($B7,RD[#All],AH$2,0)/AH$1,"")</f>
        <v>2.4940249718664598</v>
      </c>
      <c r="AI7" s="174">
        <f>IFERROR(VLOOKUP($B7,RD[#All],AI$2,0)/AI$1,"")</f>
        <v>2.4986779337603924</v>
      </c>
      <c r="AJ7" s="174">
        <f>IFERROR(VLOOKUP($B7,RD[#All],AJ$2,0)/AJ$1,"")</f>
        <v>2.4928215800426754</v>
      </c>
      <c r="AK7" s="174">
        <f>IFERROR(VLOOKUP($B7,RD[#All],AK$2,0)/AK$1,"")</f>
        <v>2.4764890282131664</v>
      </c>
      <c r="AL7" s="174">
        <f>IFERROR(VLOOKUP($B7,RD[#All],AL$2,0)/AL$1,"")</f>
        <v>2.4856772240838829</v>
      </c>
      <c r="AM7" s="174">
        <f>IFERROR(VLOOKUP($B7,RD[#All],AM$2,0)/AM$1,"")</f>
        <v>2.4615156797943016</v>
      </c>
      <c r="AN7" s="174">
        <f>IFERROR(VLOOKUP($B7,RD[#All],AN$2,0)/AN$1,"")</f>
        <v>2.4649484744256798</v>
      </c>
      <c r="AO7" s="174">
        <f>IFERROR(VLOOKUP($B7,RD[#All],AO$2,0)/AO$1,"")</f>
        <v>2.469323604838221</v>
      </c>
      <c r="AP7" s="174">
        <f>IFERROR(VLOOKUP($B7,RD[#All],AP$2,0)/AP$1,"")</f>
        <v>2.4865548876937678</v>
      </c>
      <c r="AQ7" s="174">
        <f>IFERROR(VLOOKUP($B7,RD[#All],AQ$2,0)/AQ$1,"")</f>
        <v>2.4561068702290076</v>
      </c>
      <c r="AR7" s="174">
        <f>IFERROR(VLOOKUP($B7,RD[#All],AR$2,0)/AR$1,"")</f>
        <v>2.4573169716445498</v>
      </c>
      <c r="AS7" s="174">
        <f>IFERROR(VLOOKUP($B7,RD[#All],AS$2,0)/AS$1,"")</f>
        <v>2.4695419874160778</v>
      </c>
      <c r="AT7" s="174">
        <f>IFERROR(VLOOKUP($B7,RD[#All],AT$2,0)/AT$1,"")</f>
        <v>2.4855544614611045</v>
      </c>
      <c r="AU7" s="174">
        <f>IFERROR(VLOOKUP($B7,RD[#All],AU$2,0)/AU$1,"")</f>
        <v>2.4553256575987739</v>
      </c>
      <c r="AV7" s="174">
        <f>IFERROR(VLOOKUP($B7,RD[#All],AV$2,0)/AV$1,"")</f>
        <v>2.4208756911425158</v>
      </c>
      <c r="AW7" s="174">
        <f>IFERROR(VLOOKUP($B7,RD[#All],AW$2,0)/AW$1,"")</f>
        <v>2.725520929374885</v>
      </c>
      <c r="AX7" s="174">
        <f>IFERROR(VLOOKUP($B7,RD[#All],AX$2,0)/AX$1,"")</f>
        <v>2.768955721003135</v>
      </c>
      <c r="AY7" s="174">
        <f>IFERROR(VLOOKUP($B7,RD[#All],AY$2,0)/AY$1,"")</f>
        <v>2.6561728876074704</v>
      </c>
      <c r="AZ7" s="174">
        <f>IFERROR(VLOOKUP($B7,RD[#All],AZ$2,0)/AZ$1,"")</f>
        <v>2.8492264131863685</v>
      </c>
      <c r="BA7" s="174">
        <f>IFERROR(VLOOKUP($B7,RD[#All],BA$2,0)/BA$1,"")</f>
        <v>2.6794075866785918</v>
      </c>
      <c r="BB7" s="174">
        <f>IFERROR(VLOOKUP($B7,RD[#All],BB$2,0)/BB$1,"")</f>
        <v>2.7330087374107919</v>
      </c>
      <c r="BC7" s="174">
        <f>IFERROR(VLOOKUP($B7,RD[#All],BC$2,0)/BC$1,"")</f>
        <v>2.720331392745186</v>
      </c>
      <c r="BD7" s="174">
        <f>IFERROR(VLOOKUP($B7,RD[#All],BD$2,0)/BD$1,"")</f>
        <v>2.7736933919598656</v>
      </c>
      <c r="BE7" s="174">
        <f>IFERROR(VLOOKUP($B7,RD[#All],BE$2,0)/BE$1,"")</f>
        <v>2.7314912322419782</v>
      </c>
      <c r="BF7" s="174">
        <f>IFERROR(VLOOKUP($B7,RD[#All],BF$2,0)/BF$1,"")</f>
        <v>2.5832930951231288</v>
      </c>
      <c r="BG7" s="174">
        <f>IFERROR(VLOOKUP($B7,RD[#All],BG$2,0)/BG$1,"")</f>
        <v>2.7213770095769463</v>
      </c>
      <c r="BH7" s="174">
        <f>IFERROR(VLOOKUP($B7,RD[#All],BH$2,0)/BH$1,"")</f>
        <v>2.6962123608754425</v>
      </c>
      <c r="BI7" s="174">
        <f>IFERROR(VLOOKUP($B7,RD[#All],BI$2,0)/BI$1,"")</f>
        <v>2.7787551802330128</v>
      </c>
      <c r="BJ7" s="174">
        <f>IFERROR(VLOOKUP($B7,RD[#All],BJ$2,0)/BJ$1,"")</f>
        <v>2.690094618162842</v>
      </c>
      <c r="BK7" s="174">
        <f>IFERROR(VLOOKUP($B7,RD[#All],BK$2,0)/BK$1,"")</f>
        <v>2.7301980817869933</v>
      </c>
      <c r="BL7" s="174">
        <f>IFERROR(VLOOKUP($B7,RD[#All],BL$2,0)/BL$1,"")</f>
        <v>2.7814824637845894</v>
      </c>
      <c r="BM7" s="174">
        <f>IFERROR(VLOOKUP($B7,RD[#All],BM$2,0)/BM$1,"")</f>
        <v>2.8254941134283742</v>
      </c>
      <c r="BN7" s="174">
        <f>IFERROR(VLOOKUP($B7,RD[#All],BN$2,0)/BN$1,"")</f>
        <v>2.787880182476083</v>
      </c>
      <c r="BO7" s="174">
        <f>IFERROR(VLOOKUP($B7,RD[#All],BO$2,0)/BO$1,"")</f>
        <v>2.5722734962793834</v>
      </c>
      <c r="BP7" s="174">
        <f>IFERROR(VLOOKUP($B7,RD[#All],BP$2,0)/BP$1,"")</f>
        <v>2.7445445710996994</v>
      </c>
      <c r="BQ7" s="174">
        <f>IFERROR(VLOOKUP($B7,RD[#All],BQ$2,0)/BQ$1,"")</f>
        <v>1.2661908890815714</v>
      </c>
      <c r="BR7" s="174">
        <f>IFERROR(VLOOKUP($B7,RD[#All],BR$2,0)/BR$1,"")</f>
        <v>0.36909077458015827</v>
      </c>
      <c r="BS7" s="174">
        <f>IFERROR(VLOOKUP($B7,RD[#All],BS$2,0)/BS$1,"")</f>
        <v>2.6447670324178199</v>
      </c>
      <c r="BT7" s="174">
        <f>IFERROR(VLOOKUP($B7,RD[#All],BT$2,0)/BT$1,"")</f>
        <v>1.2954039279206317</v>
      </c>
      <c r="BU7" s="174">
        <f>IFERROR(VLOOKUP($B7,RD[#All],BU$2,0)/BU$1,"")</f>
        <v>0.42903487429034876</v>
      </c>
      <c r="BV7" s="174">
        <f>IFERROR(VLOOKUP($B7,RD[#All],BV$2,0)/BV$1,"")</f>
        <v>2.5388655462184873</v>
      </c>
      <c r="BW7" s="174">
        <f>IFERROR(VLOOKUP($B7,RD[#All],BW$2,0)/BW$1,"")</f>
        <v>1.7871221129247288</v>
      </c>
      <c r="BX7" s="174">
        <f>IFERROR(VLOOKUP($B7,RD[#All],BX$2,0)/BX$1,"")</f>
        <v>2.757894736842105</v>
      </c>
      <c r="BY7" s="174">
        <f>AVERAGEIF(Inv_SY_B[[#This Row],[IS1Inv1M1]:[IS4Inv4M2]],"&gt;="&amp;0.1,Inv_SY_B[[#This Row],[IS1Inv1M1]:[IS4Inv4M2]])</f>
        <v>2.7323443194397008</v>
      </c>
      <c r="BZ7" s="174">
        <f>AVERAGEIF(Inv_SY_B[[#This Row],[IS5Inv1M1]:[IS9Inv2M2]],"&gt;="&amp;0.1,Inv_SY_B[[#This Row],[IS5Inv1M1]:[IS9Inv2M2]])</f>
        <v>2.4820154101901508</v>
      </c>
      <c r="CA7" s="174">
        <f>AVERAGEIF(Inv_SY_B[[#This Row],[IS10Inv1M1]:[IS14Inv2M4]],"&gt;="&amp;0.1,Inv_SY_B[[#This Row],[IS10Inv1M1]:[IS14Inv2M4]])</f>
        <v>2.4156351199753798</v>
      </c>
    </row>
    <row r="8" spans="2:79">
      <c r="B8" s="179">
        <f t="shared" si="32"/>
        <v>45832</v>
      </c>
      <c r="C8" s="174">
        <f>IFERROR(VLOOKUP($B8,RD[#All],C$2,0)/C$1,"")</f>
        <v>0.55553293386915403</v>
      </c>
      <c r="D8" s="174">
        <f>IFERROR(VLOOKUP($B8,RD[#All],D$2,0)/D$1,"")</f>
        <v>0.56355145163361642</v>
      </c>
      <c r="E8" s="174">
        <f>IFERROR(VLOOKUP($B8,RD[#All],E$2,0)/E$1,"")</f>
        <v>0.5558534108127009</v>
      </c>
      <c r="F8" s="174">
        <f>IFERROR(VLOOKUP($B8,RD[#All],F$2,0)/F$1,"")</f>
        <v>0.53872298300610455</v>
      </c>
      <c r="G8" s="174">
        <f>IFERROR(VLOOKUP($B8,RD[#All],G$2,0)/G$1,"")</f>
        <v>0.53733122288511936</v>
      </c>
      <c r="H8" s="174">
        <f>IFERROR(VLOOKUP($B8,RD[#All],H$2,0)/H$1,"")</f>
        <v>0.5338446479239719</v>
      </c>
      <c r="I8" s="174">
        <f>IFERROR(VLOOKUP($B8,RD[#All],I$2,0)/I$1,"")</f>
        <v>0.55030391473448992</v>
      </c>
      <c r="J8" s="174">
        <f>IFERROR(VLOOKUP($B8,RD[#All],J$2,0)/J$1,"")</f>
        <v>0.55245058408614245</v>
      </c>
      <c r="K8" s="174">
        <f>IFERROR(VLOOKUP($B8,RD[#All],K$2,0)/K$1,"")</f>
        <v>0.56027764631645371</v>
      </c>
      <c r="L8" s="174">
        <f>IFERROR(VLOOKUP($B8,RD[#All],L$2,0)/L$1,"")</f>
        <v>0.56057022730258832</v>
      </c>
      <c r="M8" s="174">
        <f>IFERROR(VLOOKUP($B8,RD[#All],M$2,0)/M$1,"")</f>
        <v>0.58562701175852327</v>
      </c>
      <c r="N8" s="174">
        <f>IFERROR(VLOOKUP($B8,RD[#All],N$2,0)/N$1,"")</f>
        <v>0.56930506300460271</v>
      </c>
      <c r="O8" s="174">
        <f>IFERROR(VLOOKUP($B8,RD[#All],O$2,0)/O$1,"")</f>
        <v>0.60867830038686088</v>
      </c>
      <c r="P8" s="174">
        <f>IFERROR(VLOOKUP($B8,RD[#All],P$2,0)/P$1,"")</f>
        <v>0.56840113057661901</v>
      </c>
      <c r="Q8" s="174">
        <f>IFERROR(VLOOKUP($B8,RD[#All],Q$2,0)/Q$1,"")</f>
        <v>0.56831228473019524</v>
      </c>
      <c r="R8" s="174">
        <f>IFERROR(VLOOKUP($B8,RD[#All],R$2,0)/R$1,"")</f>
        <v>0.56915540736258707</v>
      </c>
      <c r="S8" s="174">
        <f>IFERROR(VLOOKUP($B8,RD[#All],S$2,0)/S$1,"")</f>
        <v>0.59768996849957057</v>
      </c>
      <c r="T8" s="174">
        <f>IFERROR(VLOOKUP($B8,RD[#All],T$2,0)/T$1,"")</f>
        <v>0.61252748053588568</v>
      </c>
      <c r="U8" s="174">
        <f>IFERROR(VLOOKUP($B8,RD[#All],U$2,0)/U$1,"")</f>
        <v>0.5928928091176664</v>
      </c>
      <c r="V8" s="174">
        <f>IFERROR(VLOOKUP($B8,RD[#All],V$2,0)/V$1,"")</f>
        <v>0.5982697697087852</v>
      </c>
      <c r="W8" s="174">
        <f>IFERROR(VLOOKUP($B8,RD[#All],W$2,0)/W$1,"")</f>
        <v>0.57977231479953795</v>
      </c>
      <c r="X8" s="174">
        <f>IFERROR(VLOOKUP($B8,RD[#All],X$2,0)/X$1,"")</f>
        <v>0.59213091851163613</v>
      </c>
      <c r="Y8" s="174">
        <f>IFERROR(VLOOKUP($B8,RD[#All],Y$2,0)/Y$1,"")</f>
        <v>0.61794790678055467</v>
      </c>
      <c r="Z8" s="174">
        <f>IFERROR(VLOOKUP($B8,RD[#All],Z$2,0)/Z$1,"")</f>
        <v>0.61513671699671446</v>
      </c>
      <c r="AA8" s="174">
        <f>IFERROR(VLOOKUP($B8,RD[#All],AA$2,0)/AA$1,"")</f>
        <v>0.6121700879765396</v>
      </c>
      <c r="AB8" s="174">
        <f>IFERROR(VLOOKUP($B8,RD[#All],AB$2,0)/AB$1,"")</f>
        <v>0.60924083412839025</v>
      </c>
      <c r="AC8" s="174">
        <f>IFERROR(VLOOKUP($B8,RD[#All],AC$2,0)/AC$1,"")</f>
        <v>0.60616480750450452</v>
      </c>
      <c r="AD8" s="174">
        <f>IFERROR(VLOOKUP($B8,RD[#All],AD$2,0)/AD$1,"")</f>
        <v>0.5994938310661182</v>
      </c>
      <c r="AE8" s="174">
        <f>IFERROR(VLOOKUP($B8,RD[#All],AE$2,0)/AE$1,"")</f>
        <v>0.58870018496721033</v>
      </c>
      <c r="AF8" s="174">
        <f>IFERROR(VLOOKUP($B8,RD[#All],AF$2,0)/AF$1,"")</f>
        <v>0.58033920102885617</v>
      </c>
      <c r="AG8" s="174">
        <f>IFERROR(VLOOKUP($B8,RD[#All],AG$2,0)/AG$1,"")</f>
        <v>0.57778383535504974</v>
      </c>
      <c r="AH8" s="174">
        <f>IFERROR(VLOOKUP($B8,RD[#All],AH$2,0)/AH$1,"")</f>
        <v>0.57451369165639565</v>
      </c>
      <c r="AI8" s="174">
        <f>IFERROR(VLOOKUP($B8,RD[#All],AI$2,0)/AI$1,"")</f>
        <v>0.57745672618236343</v>
      </c>
      <c r="AJ8" s="174">
        <f>IFERROR(VLOOKUP($B8,RD[#All],AJ$2,0)/AJ$1,"")</f>
        <v>0.578804562577382</v>
      </c>
      <c r="AK8" s="174">
        <f>IFERROR(VLOOKUP($B8,RD[#All],AK$2,0)/AK$1,"")</f>
        <v>0.57388024015727113</v>
      </c>
      <c r="AL8" s="174">
        <f>IFERROR(VLOOKUP($B8,RD[#All],AL$2,0)/AL$1,"")</f>
        <v>0.57782942384607061</v>
      </c>
      <c r="AM8" s="174">
        <f>IFERROR(VLOOKUP($B8,RD[#All],AM$2,0)/AM$1,"")</f>
        <v>0.55712237576312373</v>
      </c>
      <c r="AN8" s="174">
        <f>IFERROR(VLOOKUP($B8,RD[#All],AN$2,0)/AN$1,"")</f>
        <v>0.55941090551737593</v>
      </c>
      <c r="AO8" s="174">
        <f>IFERROR(VLOOKUP($B8,RD[#All],AO$2,0)/AO$1,"")</f>
        <v>0.55496846540618039</v>
      </c>
      <c r="AP8" s="174">
        <f>IFERROR(VLOOKUP($B8,RD[#All],AP$2,0)/AP$1,"")</f>
        <v>0.55920897642141254</v>
      </c>
      <c r="AQ8" s="174">
        <f>IFERROR(VLOOKUP($B8,RD[#All],AQ$2,0)/AQ$1,"")</f>
        <v>0.5543564095814687</v>
      </c>
      <c r="AR8" s="174">
        <f>IFERROR(VLOOKUP($B8,RD[#All],AR$2,0)/AR$1,"")</f>
        <v>0.55678582726985137</v>
      </c>
      <c r="AS8" s="174">
        <f>IFERROR(VLOOKUP($B8,RD[#All],AS$2,0)/AS$1,"")</f>
        <v>0.57323631762100591</v>
      </c>
      <c r="AT8" s="174">
        <f>IFERROR(VLOOKUP($B8,RD[#All],AT$2,0)/AT$1,"")</f>
        <v>0.57731872368062676</v>
      </c>
      <c r="AU8" s="174">
        <f>IFERROR(VLOOKUP($B8,RD[#All],AU$2,0)/AU$1,"")</f>
        <v>0.57594130297867641</v>
      </c>
      <c r="AV8" s="174">
        <f>IFERROR(VLOOKUP($B8,RD[#All],AV$2,0)/AV$1,"")</f>
        <v>0.57392568948991196</v>
      </c>
      <c r="AW8" s="174">
        <f>IFERROR(VLOOKUP($B8,RD[#All],AW$2,0)/AW$1,"")</f>
        <v>0.64171122994652408</v>
      </c>
      <c r="AX8" s="174">
        <f>IFERROR(VLOOKUP($B8,RD[#All],AX$2,0)/AX$1,"")</f>
        <v>0.64753134796238243</v>
      </c>
      <c r="AY8" s="174">
        <f>IFERROR(VLOOKUP($B8,RD[#All],AY$2,0)/AY$1,"")</f>
        <v>0.61300293514117243</v>
      </c>
      <c r="AZ8" s="174">
        <f>IFERROR(VLOOKUP($B8,RD[#All],AZ$2,0)/AZ$1,"")</f>
        <v>0.65780159773485691</v>
      </c>
      <c r="BA8" s="174">
        <f>IFERROR(VLOOKUP($B8,RD[#All],BA$2,0)/BA$1,"")</f>
        <v>0.62187615089177672</v>
      </c>
      <c r="BB8" s="174">
        <f>IFERROR(VLOOKUP($B8,RD[#All],BB$2,0)/BB$1,"")</f>
        <v>0.63745303363791994</v>
      </c>
      <c r="BC8" s="174">
        <f>IFERROR(VLOOKUP($B8,RD[#All],BC$2,0)/BC$1,"")</f>
        <v>0.63636363636363635</v>
      </c>
      <c r="BD8" s="174">
        <f>IFERROR(VLOOKUP($B8,RD[#All],BD$2,0)/BD$1,"")</f>
        <v>0.65030888566853606</v>
      </c>
      <c r="BE8" s="174">
        <f>IFERROR(VLOOKUP($B8,RD[#All],BE$2,0)/BE$1,"")</f>
        <v>0.62709342537044721</v>
      </c>
      <c r="BF8" s="174">
        <f>IFERROR(VLOOKUP($B8,RD[#All],BF$2,0)/BF$1,"")</f>
        <v>0.58942040327011769</v>
      </c>
      <c r="BG8" s="174">
        <f>IFERROR(VLOOKUP($B8,RD[#All],BG$2,0)/BG$1,"")</f>
        <v>0.62408328779730238</v>
      </c>
      <c r="BH8" s="174">
        <f>IFERROR(VLOOKUP($B8,RD[#All],BH$2,0)/BH$1,"")</f>
        <v>0.6183313680941015</v>
      </c>
      <c r="BI8" s="174">
        <f>IFERROR(VLOOKUP($B8,RD[#All],BI$2,0)/BI$1,"")</f>
        <v>0.6353115959027289</v>
      </c>
      <c r="BJ8" s="174">
        <f>IFERROR(VLOOKUP($B8,RD[#All],BJ$2,0)/BJ$1,"")</f>
        <v>0.61453741468572753</v>
      </c>
      <c r="BK8" s="174">
        <f>IFERROR(VLOOKUP($B8,RD[#All],BK$2,0)/BK$1,"")</f>
        <v>0.62623644604712891</v>
      </c>
      <c r="BL8" s="174">
        <f>IFERROR(VLOOKUP($B8,RD[#All],BL$2,0)/BL$1,"")</f>
        <v>0.63779537503631012</v>
      </c>
      <c r="BM8" s="174">
        <f>IFERROR(VLOOKUP($B8,RD[#All],BM$2,0)/BM$1,"")</f>
        <v>0.66209240727180674</v>
      </c>
      <c r="BN8" s="174">
        <f>IFERROR(VLOOKUP($B8,RD[#All],BN$2,0)/BN$1,"")</f>
        <v>0.65258785832216359</v>
      </c>
      <c r="BO8" s="174">
        <f>IFERROR(VLOOKUP($B8,RD[#All],BO$2,0)/BO$1,"")</f>
        <v>0.60003026009930804</v>
      </c>
      <c r="BP8" s="174">
        <f>IFERROR(VLOOKUP($B8,RD[#All],BP$2,0)/BP$1,"")</f>
        <v>0.64179231214504828</v>
      </c>
      <c r="BQ8" s="174">
        <f>IFERROR(VLOOKUP($B8,RD[#All],BQ$2,0)/BQ$1,"")</f>
        <v>0.29627159341025811</v>
      </c>
      <c r="BR8" s="174">
        <f>IFERROR(VLOOKUP($B8,RD[#All],BR$2,0)/BR$1,"")</f>
        <v>7.1465561885033654E-2</v>
      </c>
      <c r="BS8" s="174">
        <f>IFERROR(VLOOKUP($B8,RD[#All],BS$2,0)/BS$1,"")</f>
        <v>0.62389725648772876</v>
      </c>
      <c r="BT8" s="174">
        <f>IFERROR(VLOOKUP($B8,RD[#All],BT$2,0)/BT$1,"")</f>
        <v>0.34028480799082134</v>
      </c>
      <c r="BU8" s="174">
        <f>IFERROR(VLOOKUP($B8,RD[#All],BU$2,0)/BU$1,"")</f>
        <v>8.4347120843471221E-2</v>
      </c>
      <c r="BV8" s="174">
        <f>IFERROR(VLOOKUP($B8,RD[#All],BV$2,0)/BV$1,"")</f>
        <v>0.48581932773109243</v>
      </c>
      <c r="BW8" s="174">
        <f>IFERROR(VLOOKUP($B8,RD[#All],BW$2,0)/BW$1,"")</f>
        <v>0.40680286815839728</v>
      </c>
      <c r="BX8" s="174">
        <f>IFERROR(VLOOKUP($B8,RD[#All],BX$2,0)/BX$1,"")</f>
        <v>0.63844250123741952</v>
      </c>
      <c r="BY8" s="174">
        <f>AVERAGEIF(Inv_SY_B[[#This Row],[IS1Inv1M1]:[IS4Inv4M2]],"&gt;="&amp;0.1,Inv_SY_B[[#This Row],[IS1Inv1M1]:[IS4Inv4M2]])</f>
        <v>0.57897698807198694</v>
      </c>
      <c r="BZ8" s="174">
        <f>AVERAGEIF(Inv_SY_B[[#This Row],[IS5Inv1M1]:[IS9Inv2M2]],"&gt;="&amp;0.1,Inv_SY_B[[#This Row],[IS5Inv1M1]:[IS9Inv2M2]])</f>
        <v>0.57064349219445742</v>
      </c>
      <c r="CA8" s="174">
        <f>AVERAGEIF(Inv_SY_B[[#This Row],[IS10Inv1M1]:[IS14Inv2M4]],"&gt;="&amp;0.1,Inv_SY_B[[#This Row],[IS10Inv1M1]:[IS14Inv2M4]])</f>
        <v>0.59334151255402745</v>
      </c>
    </row>
    <row r="9" spans="2:79">
      <c r="B9" s="179">
        <f t="shared" si="32"/>
        <v>45833</v>
      </c>
      <c r="C9" s="174">
        <f>IFERROR(VLOOKUP($B9,RD[#All],C$2,0)/C$1,"")</f>
        <v>2.5342274815902974</v>
      </c>
      <c r="D9" s="174">
        <f>IFERROR(VLOOKUP($B9,RD[#All],D$2,0)/D$1,"")</f>
        <v>2.5282135932669507</v>
      </c>
      <c r="E9" s="174">
        <f>IFERROR(VLOOKUP($B9,RD[#All],E$2,0)/E$1,"")</f>
        <v>2.5083334720857824</v>
      </c>
      <c r="F9" s="174">
        <f>IFERROR(VLOOKUP($B9,RD[#All],F$2,0)/F$1,"")</f>
        <v>2.532255403398779</v>
      </c>
      <c r="G9" s="174">
        <f>IFERROR(VLOOKUP($B9,RD[#All],G$2,0)/G$1,"")</f>
        <v>2.5382411934712814</v>
      </c>
      <c r="H9" s="174">
        <f>IFERROR(VLOOKUP($B9,RD[#All],H$2,0)/H$1,"")</f>
        <v>2.5163244823869055</v>
      </c>
      <c r="I9" s="174">
        <f>IFERROR(VLOOKUP($B9,RD[#All],I$2,0)/I$1,"")</f>
        <v>2.5691707329784945</v>
      </c>
      <c r="J9" s="174">
        <f>IFERROR(VLOOKUP($B9,RD[#All],J$2,0)/J$1,"")</f>
        <v>2.547482629735081</v>
      </c>
      <c r="K9" s="174">
        <f>IFERROR(VLOOKUP($B9,RD[#All],K$2,0)/K$1,"")</f>
        <v>2.5308723773465847</v>
      </c>
      <c r="L9" s="174">
        <f>IFERROR(VLOOKUP($B9,RD[#All],L$2,0)/L$1,"")</f>
        <v>2.5806070161608199</v>
      </c>
      <c r="M9" s="174">
        <f>IFERROR(VLOOKUP($B9,RD[#All],M$2,0)/M$1,"")</f>
        <v>2.659265584970111</v>
      </c>
      <c r="N9" s="174">
        <f>IFERROR(VLOOKUP($B9,RD[#All],N$2,0)/N$1,"")</f>
        <v>2.5539500490454992</v>
      </c>
      <c r="O9" s="174">
        <f>IFERROR(VLOOKUP($B9,RD[#All],O$2,0)/O$1,"")</f>
        <v>2.7244404678377632</v>
      </c>
      <c r="P9" s="174">
        <f>IFERROR(VLOOKUP($B9,RD[#All],P$2,0)/P$1,"")</f>
        <v>2.5297896978073289</v>
      </c>
      <c r="Q9" s="174">
        <f>IFERROR(VLOOKUP($B9,RD[#All],Q$2,0)/Q$1,"")</f>
        <v>2.555275730528499</v>
      </c>
      <c r="R9" s="174">
        <f>IFERROR(VLOOKUP($B9,RD[#All],R$2,0)/R$1,"")</f>
        <v>2.537382606064897</v>
      </c>
      <c r="S9" s="174">
        <f>IFERROR(VLOOKUP($B9,RD[#All],S$2,0)/S$1,"")</f>
        <v>2.5404891884889342</v>
      </c>
      <c r="T9" s="174">
        <f>IFERROR(VLOOKUP($B9,RD[#All],T$2,0)/T$1,"")</f>
        <v>2.5771985440882941</v>
      </c>
      <c r="U9" s="174">
        <f>IFERROR(VLOOKUP($B9,RD[#All],U$2,0)/U$1,"")</f>
        <v>2.550238379583047</v>
      </c>
      <c r="V9" s="174">
        <f>IFERROR(VLOOKUP($B9,RD[#All],V$2,0)/V$1,"")</f>
        <v>2.560731805279143</v>
      </c>
      <c r="W9" s="174">
        <f>IFERROR(VLOOKUP($B9,RD[#All],W$2,0)/W$1,"")</f>
        <v>2.5338228015179012</v>
      </c>
      <c r="X9" s="174">
        <f>IFERROR(VLOOKUP($B9,RD[#All],X$2,0)/X$1,"")</f>
        <v>2.493446953384356</v>
      </c>
      <c r="Y9" s="174">
        <f>IFERROR(VLOOKUP($B9,RD[#All],Y$2,0)/Y$1,"")</f>
        <v>2.5903561980477652</v>
      </c>
      <c r="Z9" s="174">
        <f>IFERROR(VLOOKUP($B9,RD[#All],Z$2,0)/Z$1,"")</f>
        <v>2.5924163809045044</v>
      </c>
      <c r="AA9" s="174">
        <f>IFERROR(VLOOKUP($B9,RD[#All],AA$2,0)/AA$1,"")</f>
        <v>2.5630956744868034</v>
      </c>
      <c r="AB9" s="174">
        <f>IFERROR(VLOOKUP($B9,RD[#All],AB$2,0)/AB$1,"")</f>
        <v>2.5449093635000679</v>
      </c>
      <c r="AC9" s="174">
        <f>IFERROR(VLOOKUP($B9,RD[#All],AC$2,0)/AC$1,"")</f>
        <v>2.5588123369507905</v>
      </c>
      <c r="AD9" s="174">
        <f>IFERROR(VLOOKUP($B9,RD[#All],AD$2,0)/AD$1,"")</f>
        <v>2.5348669046865817</v>
      </c>
      <c r="AE9" s="174">
        <f>IFERROR(VLOOKUP($B9,RD[#All],AE$2,0)/AE$1,"")</f>
        <v>2.6084300207387479</v>
      </c>
      <c r="AF9" s="174">
        <f>IFERROR(VLOOKUP($B9,RD[#All],AF$2,0)/AF$1,"")</f>
        <v>2.5861265171609999</v>
      </c>
      <c r="AG9" s="174">
        <f>IFERROR(VLOOKUP($B9,RD[#All],AG$2,0)/AG$1,"")</f>
        <v>2.5971923129344416</v>
      </c>
      <c r="AH9" s="174">
        <f>IFERROR(VLOOKUP($B9,RD[#All],AH$2,0)/AH$1,"")</f>
        <v>2.5871068002786561</v>
      </c>
      <c r="AI9" s="174">
        <f>IFERROR(VLOOKUP($B9,RD[#All],AI$2,0)/AI$1,"")</f>
        <v>2.5760392531007223</v>
      </c>
      <c r="AJ9" s="174">
        <f>IFERROR(VLOOKUP($B9,RD[#All],AJ$2,0)/AJ$1,"")</f>
        <v>2.5821764442454098</v>
      </c>
      <c r="AK9" s="174">
        <f>IFERROR(VLOOKUP($B9,RD[#All],AK$2,0)/AK$1,"")</f>
        <v>2.5464640561075393</v>
      </c>
      <c r="AL9" s="174">
        <f>IFERROR(VLOOKUP($B9,RD[#All],AL$2,0)/AL$1,"")</f>
        <v>2.4205491298238027</v>
      </c>
      <c r="AM9" s="174">
        <f>IFERROR(VLOOKUP($B9,RD[#All],AM$2,0)/AM$1,"")</f>
        <v>2.5607974853096582</v>
      </c>
      <c r="AN9" s="174">
        <f>IFERROR(VLOOKUP($B9,RD[#All],AN$2,0)/AN$1,"")</f>
        <v>2.5682015521616508</v>
      </c>
      <c r="AO9" s="174">
        <f>IFERROR(VLOOKUP($B9,RD[#All],AO$2,0)/AO$1,"")</f>
        <v>2.5593166719392597</v>
      </c>
      <c r="AP9" s="174">
        <f>IFERROR(VLOOKUP($B9,RD[#All],AP$2,0)/AP$1,"")</f>
        <v>2.5833462343589089</v>
      </c>
      <c r="AQ9" s="174">
        <f>IFERROR(VLOOKUP($B9,RD[#All],AQ$2,0)/AQ$1,"")</f>
        <v>2.5542247959989468</v>
      </c>
      <c r="AR9" s="174">
        <f>IFERROR(VLOOKUP($B9,RD[#All],AR$2,0)/AR$1,"")</f>
        <v>2.5616810136698915</v>
      </c>
      <c r="AS9" s="174">
        <f>IFERROR(VLOOKUP($B9,RD[#All],AS$2,0)/AS$1,"")</f>
        <v>2.5409680480860488</v>
      </c>
      <c r="AT9" s="174">
        <f>IFERROR(VLOOKUP($B9,RD[#All],AT$2,0)/AT$1,"")</f>
        <v>2.5547338207873289</v>
      </c>
      <c r="AU9" s="174">
        <f>IFERROR(VLOOKUP($B9,RD[#All],AU$2,0)/AU$1,"")</f>
        <v>2.5520317864802973</v>
      </c>
      <c r="AV9" s="174">
        <f>IFERROR(VLOOKUP($B9,RD[#All],AV$2,0)/AV$1,"")</f>
        <v>2.5324972732037372</v>
      </c>
      <c r="AW9" s="174">
        <f>IFERROR(VLOOKUP($B9,RD[#All],AW$2,0)/AW$1,"")</f>
        <v>2.6329061405126315</v>
      </c>
      <c r="AX9" s="174">
        <f>IFERROR(VLOOKUP($B9,RD[#All],AX$2,0)/AX$1,"")</f>
        <v>2.6415066614420062</v>
      </c>
      <c r="AY9" s="174">
        <f>IFERROR(VLOOKUP($B9,RD[#All],AY$2,0)/AY$1,"")</f>
        <v>2.5022468116054961</v>
      </c>
      <c r="AZ9" s="174">
        <f>IFERROR(VLOOKUP($B9,RD[#All],AZ$2,0)/AZ$1,"")</f>
        <v>2.6965820608757207</v>
      </c>
      <c r="BA9" s="174">
        <f>IFERROR(VLOOKUP($B9,RD[#All],BA$2,0)/BA$1,"")</f>
        <v>2.5613370512618157</v>
      </c>
      <c r="BB9" s="174">
        <f>IFERROR(VLOOKUP($B9,RD[#All],BB$2,0)/BB$1,"")</f>
        <v>2.6427443918272973</v>
      </c>
      <c r="BC9" s="174">
        <f>IFERROR(VLOOKUP($B9,RD[#All],BC$2,0)/BC$1,"")</f>
        <v>2.6413793103448273</v>
      </c>
      <c r="BD9" s="174">
        <f>IFERROR(VLOOKUP($B9,RD[#All],BD$2,0)/BD$1,"")</f>
        <v>2.6976103469404538</v>
      </c>
      <c r="BE9" s="174">
        <f>IFERROR(VLOOKUP($B9,RD[#All],BE$2,0)/BE$1,"")</f>
        <v>2.6868541379333775</v>
      </c>
      <c r="BF9" s="174">
        <f>IFERROR(VLOOKUP($B9,RD[#All],BF$2,0)/BF$1,"")</f>
        <v>2.54441465891873</v>
      </c>
      <c r="BG9" s="174">
        <f>IFERROR(VLOOKUP($B9,RD[#All],BG$2,0)/BG$1,"")</f>
        <v>2.688375370279831</v>
      </c>
      <c r="BH9" s="174">
        <f>IFERROR(VLOOKUP($B9,RD[#All],BH$2,0)/BH$1,"")</f>
        <v>2.6675965603520173</v>
      </c>
      <c r="BI9" s="174">
        <f>IFERROR(VLOOKUP($B9,RD[#All],BI$2,0)/BI$1,"")</f>
        <v>2.5998253707613315</v>
      </c>
      <c r="BJ9" s="174">
        <f>IFERROR(VLOOKUP($B9,RD[#All],BJ$2,0)/BJ$1,"")</f>
        <v>2.6526044026970981</v>
      </c>
      <c r="BK9" s="174">
        <f>IFERROR(VLOOKUP($B9,RD[#All],BK$2,0)/BK$1,"")</f>
        <v>2.6906318082788672</v>
      </c>
      <c r="BL9" s="174">
        <f>IFERROR(VLOOKUP($B9,RD[#All],BL$2,0)/BL$1,"")</f>
        <v>2.7343108652546761</v>
      </c>
      <c r="BM9" s="174">
        <f>IFERROR(VLOOKUP($B9,RD[#All],BM$2,0)/BM$1,"")</f>
        <v>2.8336301479251604</v>
      </c>
      <c r="BN9" s="174">
        <f>IFERROR(VLOOKUP($B9,RD[#All],BN$2,0)/BN$1,"")</f>
        <v>2.7998458272690141</v>
      </c>
      <c r="BO9" s="174">
        <f>IFERROR(VLOOKUP($B9,RD[#All],BO$2,0)/BO$1,"")</f>
        <v>2.562205135964128</v>
      </c>
      <c r="BP9" s="174">
        <f>IFERROR(VLOOKUP($B9,RD[#All],BP$2,0)/BP$1,"")</f>
        <v>2.7424911020968139</v>
      </c>
      <c r="BQ9" s="174">
        <f>IFERROR(VLOOKUP($B9,RD[#All],BQ$2,0)/BQ$1,"")</f>
        <v>1.3653705062362436</v>
      </c>
      <c r="BR9" s="174">
        <f>IFERROR(VLOOKUP($B9,RD[#All],BR$2,0)/BR$1,"")</f>
        <v>0.3828512243841089</v>
      </c>
      <c r="BS9" s="174">
        <f>IFERROR(VLOOKUP($B9,RD[#All],BS$2,0)/BS$1,"")</f>
        <v>2.7410890751720851</v>
      </c>
      <c r="BT9" s="174">
        <f>IFERROR(VLOOKUP($B9,RD[#All],BT$2,0)/BT$1,"")</f>
        <v>1.5287170142403994</v>
      </c>
      <c r="BU9" s="174">
        <f>IFERROR(VLOOKUP($B9,RD[#All],BU$2,0)/BU$1,"")</f>
        <v>0.44717245447172455</v>
      </c>
      <c r="BV9" s="174">
        <f>IFERROR(VLOOKUP($B9,RD[#All],BV$2,0)/BV$1,"")</f>
        <v>2.6460084033613445</v>
      </c>
      <c r="BW9" s="174">
        <f>IFERROR(VLOOKUP($B9,RD[#All],BW$2,0)/BW$1,"")</f>
        <v>1.8269736605051703</v>
      </c>
      <c r="BX9" s="174">
        <f>IFERROR(VLOOKUP($B9,RD[#All],BX$2,0)/BX$1,"")</f>
        <v>2.7910905791123577</v>
      </c>
      <c r="BY9" s="174">
        <f>AVERAGEIF(Inv_SY_B[[#This Row],[IS1Inv1M1]:[IS4Inv4M2]],"&gt;="&amp;0.1,Inv_SY_B[[#This Row],[IS1Inv1M1]:[IS4Inv4M2]])</f>
        <v>2.5566506089140453</v>
      </c>
      <c r="BZ9" s="174">
        <f>AVERAGEIF(Inv_SY_B[[#This Row],[IS5Inv1M1]:[IS9Inv2M2]],"&gt;="&amp;0.1,Inv_SY_B[[#This Row],[IS5Inv1M1]:[IS9Inv2M2]])</f>
        <v>2.5595490675770027</v>
      </c>
      <c r="CA9" s="174">
        <f>AVERAGEIF(Inv_SY_B[[#This Row],[IS10Inv1M1]:[IS14Inv2M4]],"&gt;="&amp;0.1,Inv_SY_B[[#This Row],[IS10Inv1M1]:[IS14Inv2M4]])</f>
        <v>2.3910132528580266</v>
      </c>
    </row>
    <row r="10" spans="2:79">
      <c r="B10" s="179">
        <f t="shared" si="32"/>
        <v>45834</v>
      </c>
      <c r="C10" s="174">
        <f>IFERROR(VLOOKUP($B10,RD[#All],C$2,0)/C$1,"")</f>
        <v>1.2644200199836497</v>
      </c>
      <c r="D10" s="174">
        <f>IFERROR(VLOOKUP($B10,RD[#All],D$2,0)/D$1,"")</f>
        <v>1.2636056392731965</v>
      </c>
      <c r="E10" s="174">
        <f>IFERROR(VLOOKUP($B10,RD[#All],E$2,0)/E$1,"")</f>
        <v>1.2479728267203916</v>
      </c>
      <c r="F10" s="174">
        <f>IFERROR(VLOOKUP($B10,RD[#All],F$2,0)/F$1,"")</f>
        <v>1.240059396139251</v>
      </c>
      <c r="G10" s="174">
        <f>IFERROR(VLOOKUP($B10,RD[#All],G$2,0)/G$1,"")</f>
        <v>1.2497997423886087</v>
      </c>
      <c r="H10" s="174">
        <f>IFERROR(VLOOKUP($B10,RD[#All],H$2,0)/H$1,"")</f>
        <v>1.2464222434237426</v>
      </c>
      <c r="I10" s="174">
        <f>IFERROR(VLOOKUP($B10,RD[#All],I$2,0)/I$1,"")</f>
        <v>1.2641940884838141</v>
      </c>
      <c r="J10" s="174">
        <f>IFERROR(VLOOKUP($B10,RD[#All],J$2,0)/J$1,"")</f>
        <v>1.2750887553165313</v>
      </c>
      <c r="K10" s="174">
        <f>IFERROR(VLOOKUP($B10,RD[#All],K$2,0)/K$1,"")</f>
        <v>1.2501025398327812</v>
      </c>
      <c r="L10" s="174">
        <f>IFERROR(VLOOKUP($B10,RD[#All],L$2,0)/L$1,"")</f>
        <v>1.2659308895020365</v>
      </c>
      <c r="M10" s="174">
        <f>IFERROR(VLOOKUP($B10,RD[#All],M$2,0)/M$1,"")</f>
        <v>1.2994153583393548</v>
      </c>
      <c r="N10" s="174">
        <f>IFERROR(VLOOKUP($B10,RD[#All],N$2,0)/N$1,"")</f>
        <v>1.2519806836188032</v>
      </c>
      <c r="O10" s="174">
        <f>IFERROR(VLOOKUP($B10,RD[#All],O$2,0)/O$1,"")</f>
        <v>1.3432634065644051</v>
      </c>
      <c r="P10" s="174">
        <f>IFERROR(VLOOKUP($B10,RD[#All],P$2,0)/P$1,"")</f>
        <v>1.2359767410008342</v>
      </c>
      <c r="Q10" s="174">
        <f>IFERROR(VLOOKUP($B10,RD[#All],Q$2,0)/Q$1,"")</f>
        <v>1.2618051183289509</v>
      </c>
      <c r="R10" s="174">
        <f>IFERROR(VLOOKUP($B10,RD[#All],R$2,0)/R$1,"")</f>
        <v>1.2579094063198006</v>
      </c>
      <c r="S10" s="174">
        <f>IFERROR(VLOOKUP($B10,RD[#All],S$2,0)/S$1,"")</f>
        <v>1.2876084673881918</v>
      </c>
      <c r="T10" s="174">
        <f>IFERROR(VLOOKUP($B10,RD[#All],T$2,0)/T$1,"")</f>
        <v>1.3063123246407793</v>
      </c>
      <c r="U10" s="174">
        <f>IFERROR(VLOOKUP($B10,RD[#All],U$2,0)/U$1,"")</f>
        <v>1.3053515511129083</v>
      </c>
      <c r="V10" s="174">
        <f>IFERROR(VLOOKUP($B10,RD[#All],V$2,0)/V$1,"")</f>
        <v>1.3136933692556942</v>
      </c>
      <c r="W10" s="174">
        <f>IFERROR(VLOOKUP($B10,RD[#All],W$2,0)/W$1,"")</f>
        <v>1.2067315624484407</v>
      </c>
      <c r="X10" s="174">
        <f>IFERROR(VLOOKUP($B10,RD[#All],X$2,0)/X$1,"")</f>
        <v>1.2278696918626928</v>
      </c>
      <c r="Y10" s="174">
        <f>IFERROR(VLOOKUP($B10,RD[#All],Y$2,0)/Y$1,"")</f>
        <v>1.2914643595633375</v>
      </c>
      <c r="Z10" s="174">
        <f>IFERROR(VLOOKUP($B10,RD[#All],Z$2,0)/Z$1,"")</f>
        <v>1.2975547137291514</v>
      </c>
      <c r="AA10" s="174">
        <f>IFERROR(VLOOKUP($B10,RD[#All],AA$2,0)/AA$1,"")</f>
        <v>1.2886730205278591</v>
      </c>
      <c r="AB10" s="174">
        <f>IFERROR(VLOOKUP($B10,RD[#All],AB$2,0)/AB$1,"")</f>
        <v>1.2819953659533869</v>
      </c>
      <c r="AC10" s="174">
        <f>IFERROR(VLOOKUP($B10,RD[#All],AC$2,0)/AC$1,"")</f>
        <v>1.2954073422004593</v>
      </c>
      <c r="AD10" s="174">
        <f>IFERROR(VLOOKUP($B10,RD[#All],AD$2,0)/AD$1,"")</f>
        <v>1.2733312242961086</v>
      </c>
      <c r="AE10" s="174">
        <f>IFERROR(VLOOKUP($B10,RD[#All],AE$2,0)/AE$1,"")</f>
        <v>1.3019449582422511</v>
      </c>
      <c r="AF10" s="174">
        <f>IFERROR(VLOOKUP($B10,RD[#All],AF$2,0)/AF$1,"")</f>
        <v>1.2917503951986709</v>
      </c>
      <c r="AG10" s="174">
        <f>IFERROR(VLOOKUP($B10,RD[#All],AG$2,0)/AG$1,"")</f>
        <v>1.2948616600790512</v>
      </c>
      <c r="AH10" s="174">
        <f>IFERROR(VLOOKUP($B10,RD[#All],AH$2,0)/AH$1,"")</f>
        <v>1.295428969508601</v>
      </c>
      <c r="AI10" s="174">
        <f>IFERROR(VLOOKUP($B10,RD[#All],AI$2,0)/AI$1,"")</f>
        <v>1.2908818318113671</v>
      </c>
      <c r="AJ10" s="174">
        <f>IFERROR(VLOOKUP($B10,RD[#All],AJ$2,0)/AJ$1,"")</f>
        <v>1.298437870445984</v>
      </c>
      <c r="AK10" s="174">
        <f>IFERROR(VLOOKUP($B10,RD[#All],AK$2,0)/AK$1,"")</f>
        <v>1.2850007969820945</v>
      </c>
      <c r="AL10" s="174">
        <f>IFERROR(VLOOKUP($B10,RD[#All],AL$2,0)/AL$1,"")</f>
        <v>1.2313263430980432</v>
      </c>
      <c r="AM10" s="174">
        <f>IFERROR(VLOOKUP($B10,RD[#All],AM$2,0)/AM$1,"")</f>
        <v>1.2535758277410192</v>
      </c>
      <c r="AN10" s="174">
        <f>IFERROR(VLOOKUP($B10,RD[#All],AN$2,0)/AN$1,"")</f>
        <v>1.2651530959095896</v>
      </c>
      <c r="AO10" s="174">
        <f>IFERROR(VLOOKUP($B10,RD[#All],AO$2,0)/AO$1,"")</f>
        <v>1.2372195709679807</v>
      </c>
      <c r="AP10" s="174">
        <f>IFERROR(VLOOKUP($B10,RD[#All],AP$2,0)/AP$1,"")</f>
        <v>1.2520950143706207</v>
      </c>
      <c r="AQ10" s="174">
        <f>IFERROR(VLOOKUP($B10,RD[#All],AQ$2,0)/AQ$1,"")</f>
        <v>1.2435509344564357</v>
      </c>
      <c r="AR10" s="174">
        <f>IFERROR(VLOOKUP($B10,RD[#All],AR$2,0)/AR$1,"")</f>
        <v>1.2554987595531062</v>
      </c>
      <c r="AS10" s="174">
        <f>IFERROR(VLOOKUP($B10,RD[#All],AS$2,0)/AS$1,"")</f>
        <v>1.2867939119125451</v>
      </c>
      <c r="AT10" s="174">
        <f>IFERROR(VLOOKUP($B10,RD[#All],AT$2,0)/AT$1,"")</f>
        <v>1.3067817560914288</v>
      </c>
      <c r="AU10" s="174">
        <f>IFERROR(VLOOKUP($B10,RD[#All],AU$2,0)/AU$1,"")</f>
        <v>1.3127305550153969</v>
      </c>
      <c r="AV10" s="174">
        <f>IFERROR(VLOOKUP($B10,RD[#All],AV$2,0)/AV$1,"")</f>
        <v>1.31655861785662</v>
      </c>
      <c r="AW10" s="174">
        <f>IFERROR(VLOOKUP($B10,RD[#All],AW$2,0)/AW$1,"")</f>
        <v>1.281901161718606</v>
      </c>
      <c r="AX10" s="174">
        <f>IFERROR(VLOOKUP($B10,RD[#All],AX$2,0)/AX$1,"")</f>
        <v>1.3034874608150471</v>
      </c>
      <c r="AY10" s="174">
        <f>IFERROR(VLOOKUP($B10,RD[#All],AY$2,0)/AY$1,"")</f>
        <v>1.2367074469466739</v>
      </c>
      <c r="AZ10" s="174">
        <f>IFERROR(VLOOKUP($B10,RD[#All],AZ$2,0)/AZ$1,"")</f>
        <v>1.3185357467893621</v>
      </c>
      <c r="BA10" s="174">
        <f>IFERROR(VLOOKUP($B10,RD[#All],BA$2,0)/BA$1,"")</f>
        <v>1.2491450518230125</v>
      </c>
      <c r="BB10" s="174">
        <f>IFERROR(VLOOKUP($B10,RD[#All],BB$2,0)/BB$1,"")</f>
        <v>1.2779741657217814</v>
      </c>
      <c r="BC10" s="174">
        <f>IFERROR(VLOOKUP($B10,RD[#All],BC$2,0)/BC$1,"")</f>
        <v>1.270488132557098</v>
      </c>
      <c r="BD10" s="174">
        <f>IFERROR(VLOOKUP($B10,RD[#All],BD$2,0)/BD$1,"")</f>
        <v>1.2965505777625308</v>
      </c>
      <c r="BE10" s="174">
        <f>IFERROR(VLOOKUP($B10,RD[#All],BE$2,0)/BE$1,"")</f>
        <v>1.2220508604700144</v>
      </c>
      <c r="BF10" s="174">
        <f>IFERROR(VLOOKUP($B10,RD[#All],BF$2,0)/BF$1,"")</f>
        <v>1.1363825571521338</v>
      </c>
      <c r="BG10" s="174">
        <f>IFERROR(VLOOKUP($B10,RD[#All],BG$2,0)/BG$1,"")</f>
        <v>1.2008570360357771</v>
      </c>
      <c r="BH10" s="174">
        <f>IFERROR(VLOOKUP($B10,RD[#All],BH$2,0)/BH$1,"")</f>
        <v>1.1676396997497915</v>
      </c>
      <c r="BI10" s="174">
        <f>IFERROR(VLOOKUP($B10,RD[#All],BI$2,0)/BI$1,"")</f>
        <v>1.2355670237443637</v>
      </c>
      <c r="BJ10" s="174">
        <f>IFERROR(VLOOKUP($B10,RD[#All],BJ$2,0)/BJ$1,"")</f>
        <v>1.1864348590340432</v>
      </c>
      <c r="BK10" s="174">
        <f>IFERROR(VLOOKUP($B10,RD[#All],BK$2,0)/BK$1,"")</f>
        <v>1.2110910775549044</v>
      </c>
      <c r="BL10" s="174">
        <f>IFERROR(VLOOKUP($B10,RD[#All],BL$2,0)/BL$1,"")</f>
        <v>1.2405435784740904</v>
      </c>
      <c r="BM10" s="174">
        <f>IFERROR(VLOOKUP($B10,RD[#All],BM$2,0)/BM$1,"")</f>
        <v>1.2677749753658953</v>
      </c>
      <c r="BN10" s="174">
        <f>IFERROR(VLOOKUP($B10,RD[#All],BN$2,0)/BN$1,"")</f>
        <v>1.2589238973485744</v>
      </c>
      <c r="BO10" s="174">
        <f>IFERROR(VLOOKUP($B10,RD[#All],BO$2,0)/BO$1,"")</f>
        <v>1.1662792456982518</v>
      </c>
      <c r="BP10" s="174">
        <f>IFERROR(VLOOKUP($B10,RD[#All],BP$2,0)/BP$1,"")</f>
        <v>1.2359663430880512</v>
      </c>
      <c r="BQ10" s="174">
        <f>IFERROR(VLOOKUP($B10,RD[#All],BQ$2,0)/BQ$1,"")</f>
        <v>9.5644634162609224E-2</v>
      </c>
      <c r="BR10" s="174">
        <f>IFERROR(VLOOKUP($B10,RD[#All],BR$2,0)/BR$1,"")</f>
        <v>0</v>
      </c>
      <c r="BS10" s="174">
        <f>IFERROR(VLOOKUP($B10,RD[#All],BS$2,0)/BS$1,"")</f>
        <v>0.51947265196089565</v>
      </c>
      <c r="BT10" s="174">
        <f>IFERROR(VLOOKUP($B10,RD[#All],BT$2,0)/BT$1,"")</f>
        <v>0.27765404602821081</v>
      </c>
      <c r="BU10" s="174">
        <f>IFERROR(VLOOKUP($B10,RD[#All],BU$2,0)/BU$1,"")</f>
        <v>0.13831748138317482</v>
      </c>
      <c r="BV10" s="174">
        <f>IFERROR(VLOOKUP($B10,RD[#All],BV$2,0)/BV$1,"")</f>
        <v>0.76207983193277307</v>
      </c>
      <c r="BW10" s="174">
        <f>IFERROR(VLOOKUP($B10,RD[#All],BW$2,0)/BW$1,"")</f>
        <v>0.74291067632328034</v>
      </c>
      <c r="BX10" s="174">
        <f>IFERROR(VLOOKUP($B10,RD[#All],BX$2,0)/BX$1,"")</f>
        <v>1.1916185447945884</v>
      </c>
      <c r="BY10" s="174">
        <f>AVERAGEIF(Inv_SY_B[[#This Row],[IS1Inv1M1]:[IS4Inv4M2]],"&gt;="&amp;0.1,Inv_SY_B[[#This Row],[IS1Inv1M1]:[IS4Inv4M2]])</f>
        <v>1.2712121374362559</v>
      </c>
      <c r="BZ10" s="174">
        <f>AVERAGEIF(Inv_SY_B[[#This Row],[IS5Inv1M1]:[IS9Inv2M2]],"&gt;="&amp;0.1,Inv_SY_B[[#This Row],[IS5Inv1M1]:[IS9Inv2M2]])</f>
        <v>1.278866159402267</v>
      </c>
      <c r="CA10" s="174">
        <f>AVERAGEIF(Inv_SY_B[[#This Row],[IS10Inv1M1]:[IS14Inv2M4]],"&gt;="&amp;0.1,Inv_SY_B[[#This Row],[IS10Inv1M1]:[IS14Inv2M4]])</f>
        <v>1.0921674665489589</v>
      </c>
    </row>
    <row r="11" spans="2:79">
      <c r="B11" s="179">
        <f t="shared" si="32"/>
        <v>45835</v>
      </c>
      <c r="C11" s="174">
        <f>IFERROR(VLOOKUP($B11,RD[#All],C$2,0)/C$1,"")</f>
        <v>3.9417279279335715</v>
      </c>
      <c r="D11" s="174">
        <f>IFERROR(VLOOKUP($B11,RD[#All],D$2,0)/D$1,"")</f>
        <v>3.9297001512868781</v>
      </c>
      <c r="E11" s="174">
        <f>IFERROR(VLOOKUP($B11,RD[#All],E$2,0)/E$1,"")</f>
        <v>3.8990992191012173</v>
      </c>
      <c r="F11" s="174">
        <f>IFERROR(VLOOKUP($B11,RD[#All],F$2,0)/F$1,"")</f>
        <v>3.8534895231809934</v>
      </c>
      <c r="G11" s="174">
        <f>IFERROR(VLOOKUP($B11,RD[#All],G$2,0)/G$1,"")</f>
        <v>3.8593646867330134</v>
      </c>
      <c r="H11" s="174">
        <f>IFERROR(VLOOKUP($B11,RD[#All],H$2,0)/H$1,"")</f>
        <v>3.8388863419529904</v>
      </c>
      <c r="I11" s="174">
        <f>IFERROR(VLOOKUP($B11,RD[#All],I$2,0)/I$1,"")</f>
        <v>3.93571209860779</v>
      </c>
      <c r="J11" s="174">
        <f>IFERROR(VLOOKUP($B11,RD[#All],J$2,0)/J$1,"")</f>
        <v>3.9120297139911187</v>
      </c>
      <c r="K11" s="174">
        <f>IFERROR(VLOOKUP($B11,RD[#All],K$2,0)/K$1,"")</f>
        <v>3.9694589051900935</v>
      </c>
      <c r="L11" s="174">
        <f>IFERROR(VLOOKUP($B11,RD[#All],L$2,0)/L$1,"")</f>
        <v>3.9626198922612006</v>
      </c>
      <c r="M11" s="174">
        <f>IFERROR(VLOOKUP($B11,RD[#All],M$2,0)/M$1,"")</f>
        <v>4.0797477501149579</v>
      </c>
      <c r="N11" s="174">
        <f>IFERROR(VLOOKUP($B11,RD[#All],N$2,0)/N$1,"")</f>
        <v>3.9316884227470514</v>
      </c>
      <c r="O11" s="174">
        <f>IFERROR(VLOOKUP($B11,RD[#All],O$2,0)/O$1,"")</f>
        <v>4.2577871042078366</v>
      </c>
      <c r="P11" s="174">
        <f>IFERROR(VLOOKUP($B11,RD[#All],P$2,0)/P$1,"")</f>
        <v>3.9136254404641839</v>
      </c>
      <c r="Q11" s="174">
        <f>IFERROR(VLOOKUP($B11,RD[#All],Q$2,0)/Q$1,"")</f>
        <v>3.9609026826166933</v>
      </c>
      <c r="R11" s="174">
        <f>IFERROR(VLOOKUP($B11,RD[#All],R$2,0)/R$1,"")</f>
        <v>3.9734668786569931</v>
      </c>
      <c r="S11" s="174">
        <f>IFERROR(VLOOKUP($B11,RD[#All],S$2,0)/S$1,"")</f>
        <v>3.883416592044437</v>
      </c>
      <c r="T11" s="174">
        <f>IFERROR(VLOOKUP($B11,RD[#All],T$2,0)/T$1,"")</f>
        <v>3.8829440510459814</v>
      </c>
      <c r="U11" s="174">
        <f>IFERROR(VLOOKUP($B11,RD[#All],U$2,0)/U$1,"")</f>
        <v>3.9532456297076437</v>
      </c>
      <c r="V11" s="174">
        <f>IFERROR(VLOOKUP($B11,RD[#All],V$2,0)/V$1,"")</f>
        <v>3.968834193033048</v>
      </c>
      <c r="W11" s="174">
        <f>IFERROR(VLOOKUP($B11,RD[#All],W$2,0)/W$1,"")</f>
        <v>3.880094043887147</v>
      </c>
      <c r="X11" s="174">
        <f>IFERROR(VLOOKUP($B11,RD[#All],X$2,0)/X$1,"")</f>
        <v>3.8711974527044668</v>
      </c>
      <c r="Y11" s="174">
        <f>IFERROR(VLOOKUP($B11,RD[#All],Y$2,0)/Y$1,"")</f>
        <v>3.9594422972000234</v>
      </c>
      <c r="Z11" s="174">
        <f>IFERROR(VLOOKUP($B11,RD[#All],Z$2,0)/Z$1,"")</f>
        <v>4.0333758236234045</v>
      </c>
      <c r="AA11" s="174">
        <f>IFERROR(VLOOKUP($B11,RD[#All],AA$2,0)/AA$1,"")</f>
        <v>3.9715450879765393</v>
      </c>
      <c r="AB11" s="174">
        <f>IFERROR(VLOOKUP($B11,RD[#All],AB$2,0)/AB$1,"")</f>
        <v>3.9134977965562667</v>
      </c>
      <c r="AC11" s="174">
        <f>IFERROR(VLOOKUP($B11,RD[#All],AC$2,0)/AC$1,"")</f>
        <v>3.9958461136404271</v>
      </c>
      <c r="AD11" s="174">
        <f>IFERROR(VLOOKUP($B11,RD[#All],AD$2,0)/AD$1,"")</f>
        <v>3.9323902924029466</v>
      </c>
      <c r="AE11" s="174">
        <f>IFERROR(VLOOKUP($B11,RD[#All],AE$2,0)/AE$1,"")</f>
        <v>4.0034190908581362</v>
      </c>
      <c r="AF11" s="174">
        <f>IFERROR(VLOOKUP($B11,RD[#All],AF$2,0)/AF$1,"")</f>
        <v>3.9825308790826028</v>
      </c>
      <c r="AG11" s="174">
        <f>IFERROR(VLOOKUP($B11,RD[#All],AG$2,0)/AG$1,"")</f>
        <v>3.9689246285947934</v>
      </c>
      <c r="AH11" s="174">
        <f>IFERROR(VLOOKUP($B11,RD[#All],AH$2,0)/AH$1,"")</f>
        <v>3.9352124752156907</v>
      </c>
      <c r="AI11" s="174">
        <f>IFERROR(VLOOKUP($B11,RD[#All],AI$2,0)/AI$1,"")</f>
        <v>3.977865612648221</v>
      </c>
      <c r="AJ11" s="174">
        <f>IFERROR(VLOOKUP($B11,RD[#All],AJ$2,0)/AJ$1,"")</f>
        <v>3.9791364821790789</v>
      </c>
      <c r="AK11" s="174">
        <f>IFERROR(VLOOKUP($B11,RD[#All],AK$2,0)/AK$1,"")</f>
        <v>3.9490462780936189</v>
      </c>
      <c r="AL11" s="174">
        <f>IFERROR(VLOOKUP($B11,RD[#All],AL$2,0)/AL$1,"")</f>
        <v>3.8325586423089395</v>
      </c>
      <c r="AM11" s="174">
        <f>IFERROR(VLOOKUP($B11,RD[#All],AM$2,0)/AM$1,"")</f>
        <v>3.9845995409478552</v>
      </c>
      <c r="AN11" s="174">
        <f>IFERROR(VLOOKUP($B11,RD[#All],AN$2,0)/AN$1,"")</f>
        <v>4.0163024090141146</v>
      </c>
      <c r="AO11" s="174">
        <f>IFERROR(VLOOKUP($B11,RD[#All],AO$2,0)/AO$1,"")</f>
        <v>3.9460983933174933</v>
      </c>
      <c r="AP11" s="174">
        <f>IFERROR(VLOOKUP($B11,RD[#All],AP$2,0)/AP$1,"")</f>
        <v>3.9457618448242209</v>
      </c>
      <c r="AQ11" s="174">
        <f>IFERROR(VLOOKUP($B11,RD[#All],AQ$2,0)/AQ$1,"")</f>
        <v>3.9423532508554882</v>
      </c>
      <c r="AR11" s="174">
        <f>IFERROR(VLOOKUP($B11,RD[#All],AR$2,0)/AR$1,"")</f>
        <v>3.9798198438202439</v>
      </c>
      <c r="AS11" s="174">
        <f>IFERROR(VLOOKUP($B11,RD[#All],AS$2,0)/AS$1,"")</f>
        <v>3.9216375502360945</v>
      </c>
      <c r="AT11" s="174">
        <f>IFERROR(VLOOKUP($B11,RD[#All],AT$2,0)/AT$1,"")</f>
        <v>3.9599421759443545</v>
      </c>
      <c r="AU11" s="174">
        <f>IFERROR(VLOOKUP($B11,RD[#All],AU$2,0)/AU$1,"")</f>
        <v>4.0343753718629278</v>
      </c>
      <c r="AV11" s="174">
        <f>IFERROR(VLOOKUP($B11,RD[#All],AV$2,0)/AV$1,"")</f>
        <v>3.974039955238045</v>
      </c>
      <c r="AW11" s="174">
        <f>IFERROR(VLOOKUP($B11,RD[#All],AW$2,0)/AW$1,"")</f>
        <v>3.6015120781855061</v>
      </c>
      <c r="AX11" s="174">
        <f>IFERROR(VLOOKUP($B11,RD[#All],AX$2,0)/AX$1,"")</f>
        <v>3.6865203761755487</v>
      </c>
      <c r="AY11" s="174">
        <f>IFERROR(VLOOKUP($B11,RD[#All],AY$2,0)/AY$1,"")</f>
        <v>3.7889815319878442</v>
      </c>
      <c r="AZ11" s="174">
        <f>IFERROR(VLOOKUP($B11,RD[#All],AZ$2,0)/AZ$1,"")</f>
        <v>4.0536454646577003</v>
      </c>
      <c r="BA11" s="174">
        <f>IFERROR(VLOOKUP($B11,RD[#All],BA$2,0)/BA$1,"")</f>
        <v>3.8423563248627692</v>
      </c>
      <c r="BB11" s="174">
        <f>IFERROR(VLOOKUP($B11,RD[#All],BB$2,0)/BB$1,"")</f>
        <v>3.9376597967940601</v>
      </c>
      <c r="BC11" s="174">
        <f>IFERROR(VLOOKUP($B11,RD[#All],BC$2,0)/BC$1,"")</f>
        <v>3.9514554411106135</v>
      </c>
      <c r="BD11" s="174">
        <f>IFERROR(VLOOKUP($B11,RD[#All],BD$2,0)/BD$1,"")</f>
        <v>4.015381065091896</v>
      </c>
      <c r="BE11" s="174">
        <f>IFERROR(VLOOKUP($B11,RD[#All],BE$2,0)/BE$1,"")</f>
        <v>4.0627908714764214</v>
      </c>
      <c r="BF11" s="174">
        <f>IFERROR(VLOOKUP($B11,RD[#All],BF$2,0)/BF$1,"")</f>
        <v>3.858289348807006</v>
      </c>
      <c r="BG11" s="174">
        <f>IFERROR(VLOOKUP($B11,RD[#All],BG$2,0)/BG$1,"")</f>
        <v>4.02310833740761</v>
      </c>
      <c r="BH11" s="174">
        <f>IFERROR(VLOOKUP($B11,RD[#All],BH$2,0)/BH$1,"")</f>
        <v>3.9573207558022494</v>
      </c>
      <c r="BI11" s="174">
        <f>IFERROR(VLOOKUP($B11,RD[#All],BI$2,0)/BI$1,"")</f>
        <v>4.0712070268720515</v>
      </c>
      <c r="BJ11" s="174">
        <f>IFERROR(VLOOKUP($B11,RD[#All],BJ$2,0)/BJ$1,"")</f>
        <v>4.0098737966739444</v>
      </c>
      <c r="BK11" s="174">
        <f>IFERROR(VLOOKUP($B11,RD[#All],BK$2,0)/BK$1,"")</f>
        <v>4.0168532291588415</v>
      </c>
      <c r="BL11" s="174">
        <f>IFERROR(VLOOKUP($B11,RD[#All],BL$2,0)/BL$1,"")</f>
        <v>4.0635774637214412</v>
      </c>
      <c r="BM11" s="174">
        <f>IFERROR(VLOOKUP($B11,RD[#All],BM$2,0)/BM$1,"")</f>
        <v>4.2197693584887466</v>
      </c>
      <c r="BN11" s="174">
        <f>IFERROR(VLOOKUP($B11,RD[#All],BN$2,0)/BN$1,"")</f>
        <v>4.0757977575921442</v>
      </c>
      <c r="BO11" s="174">
        <f>IFERROR(VLOOKUP($B11,RD[#All],BO$2,0)/BO$1,"")</f>
        <v>3.8564020741922618</v>
      </c>
      <c r="BP11" s="174">
        <f>IFERROR(VLOOKUP($B11,RD[#All],BP$2,0)/BP$1,"")</f>
        <v>4.0972256523787776</v>
      </c>
      <c r="BQ11" s="174">
        <f>IFERROR(VLOOKUP($B11,RD[#All],BQ$2,0)/BQ$1,"")</f>
        <v>2.619355699326352</v>
      </c>
      <c r="BR11" s="174">
        <f>IFERROR(VLOOKUP($B11,RD[#All],BR$2,0)/BR$1,"")</f>
        <v>0.48990160538581046</v>
      </c>
      <c r="BS11" s="174">
        <f>IFERROR(VLOOKUP($B11,RD[#All],BS$2,0)/BS$1,"")</f>
        <v>3.8639375421219628</v>
      </c>
      <c r="BT11" s="174">
        <f>IFERROR(VLOOKUP($B11,RD[#All],BT$2,0)/BT$1,"")</f>
        <v>2.5284470540595261</v>
      </c>
      <c r="BU11" s="174">
        <f>IFERROR(VLOOKUP($B11,RD[#All],BU$2,0)/BU$1,"")</f>
        <v>0.6694684066946841</v>
      </c>
      <c r="BV11" s="174">
        <f>IFERROR(VLOOKUP($B11,RD[#All],BV$2,0)/BV$1,"")</f>
        <v>4.03781512605042</v>
      </c>
      <c r="BW11" s="174">
        <f>IFERROR(VLOOKUP($B11,RD[#All],BW$2,0)/BW$1,"")</f>
        <v>2.5487695023961372</v>
      </c>
      <c r="BX11" s="174">
        <f>IFERROR(VLOOKUP($B11,RD[#All],BX$2,0)/BX$1,"")</f>
        <v>3.7946213496122754</v>
      </c>
      <c r="BY11" s="174">
        <f>AVERAGEIF(Inv_SY_B[[#This Row],[IS1Inv1M1]:[IS4Inv4M2]],"&gt;="&amp;0.1,Inv_SY_B[[#This Row],[IS1Inv1M1]:[IS4Inv4M2]])</f>
        <v>3.9451834326024602</v>
      </c>
      <c r="BZ11" s="174">
        <f>AVERAGEIF(Inv_SY_B[[#This Row],[IS5Inv1M1]:[IS9Inv2M2]],"&gt;="&amp;0.1,Inv_SY_B[[#This Row],[IS5Inv1M1]:[IS9Inv2M2]])</f>
        <v>3.9629791347245509</v>
      </c>
      <c r="CA11" s="174">
        <f>AVERAGEIF(Inv_SY_B[[#This Row],[IS10Inv1M1]:[IS14Inv2M4]],"&gt;="&amp;0.1,Inv_SY_B[[#This Row],[IS10Inv1M1]:[IS14Inv2M4]])</f>
        <v>3.5622158584673076</v>
      </c>
    </row>
    <row r="12" spans="2:79">
      <c r="B12" s="179">
        <f t="shared" si="32"/>
        <v>45836</v>
      </c>
      <c r="C12" s="174">
        <f>IFERROR(VLOOKUP($B12,RD[#All],C$2,0)/C$1,"")</f>
        <v>3.6534371564331378</v>
      </c>
      <c r="D12" s="174">
        <f>IFERROR(VLOOKUP($B12,RD[#All],D$2,0)/D$1,"")</f>
        <v>3.6726064254638056</v>
      </c>
      <c r="E12" s="174">
        <f>IFERROR(VLOOKUP($B12,RD[#All],E$2,0)/E$1,"")</f>
        <v>3.6643300754258314</v>
      </c>
      <c r="F12" s="174">
        <f>IFERROR(VLOOKUP($B12,RD[#All],F$2,0)/F$1,"")</f>
        <v>3.5730077544959578</v>
      </c>
      <c r="G12" s="174">
        <f>IFERROR(VLOOKUP($B12,RD[#All],G$2,0)/G$1,"")</f>
        <v>3.5768893104089097</v>
      </c>
      <c r="H12" s="174">
        <f>IFERROR(VLOOKUP($B12,RD[#All],H$2,0)/H$1,"")</f>
        <v>3.5811639634728087</v>
      </c>
      <c r="I12" s="174">
        <f>IFERROR(VLOOKUP($B12,RD[#All],I$2,0)/I$1,"")</f>
        <v>3.676228199899672</v>
      </c>
      <c r="J12" s="174">
        <f>IFERROR(VLOOKUP($B12,RD[#All],J$2,0)/J$1,"")</f>
        <v>3.633753969090888</v>
      </c>
      <c r="K12" s="174">
        <f>IFERROR(VLOOKUP($B12,RD[#All],K$2,0)/K$1,"")</f>
        <v>3.6128095914182046</v>
      </c>
      <c r="L12" s="174">
        <f>IFERROR(VLOOKUP($B12,RD[#All],L$2,0)/L$1,"")</f>
        <v>3.6639731966890028</v>
      </c>
      <c r="M12" s="174">
        <f>IFERROR(VLOOKUP($B12,RD[#All],M$2,0)/M$1,"")</f>
        <v>3.7937331669184786</v>
      </c>
      <c r="N12" s="174">
        <f>IFERROR(VLOOKUP($B12,RD[#All],N$2,0)/N$1,"")</f>
        <v>3.6776578887798994</v>
      </c>
      <c r="O12" s="174">
        <f>IFERROR(VLOOKUP($B12,RD[#All],O$2,0)/O$1,"")</f>
        <v>3.9127020398704886</v>
      </c>
      <c r="P12" s="174">
        <f>IFERROR(VLOOKUP($B12,RD[#All],P$2,0)/P$1,"")</f>
        <v>3.6146078467993972</v>
      </c>
      <c r="Q12" s="174">
        <f>IFERROR(VLOOKUP($B12,RD[#All],Q$2,0)/Q$1,"")</f>
        <v>3.6638766465439554</v>
      </c>
      <c r="R12" s="174">
        <f>IFERROR(VLOOKUP($B12,RD[#All],R$2,0)/R$1,"")</f>
        <v>3.6727967918224942</v>
      </c>
      <c r="S12" s="174">
        <f>IFERROR(VLOOKUP($B12,RD[#All],S$2,0)/S$1,"")</f>
        <v>3.695959490356687</v>
      </c>
      <c r="T12" s="174">
        <f>IFERROR(VLOOKUP($B12,RD[#All],T$2,0)/T$1,"")</f>
        <v>3.6308721299793922</v>
      </c>
      <c r="U12" s="174">
        <f>IFERROR(VLOOKUP($B12,RD[#All],U$2,0)/U$1,"")</f>
        <v>3.6826589432308658</v>
      </c>
      <c r="V12" s="174">
        <f>IFERROR(VLOOKUP($B12,RD[#All],V$2,0)/V$1,"")</f>
        <v>3.7018083027587108</v>
      </c>
      <c r="W12" s="174">
        <f>IFERROR(VLOOKUP($B12,RD[#All],W$2,0)/W$1,"")</f>
        <v>3.6040669856459333</v>
      </c>
      <c r="X12" s="174">
        <f>IFERROR(VLOOKUP($B12,RD[#All],X$2,0)/X$1,"")</f>
        <v>3.6674680655542025</v>
      </c>
      <c r="Y12" s="174">
        <f>IFERROR(VLOOKUP($B12,RD[#All],Y$2,0)/Y$1,"")</f>
        <v>3.6981050759024154</v>
      </c>
      <c r="Z12" s="174">
        <f>IFERROR(VLOOKUP($B12,RD[#All],Z$2,0)/Z$1,"")</f>
        <v>3.68687050036805</v>
      </c>
      <c r="AA12" s="174">
        <f>IFERROR(VLOOKUP($B12,RD[#All],AA$2,0)/AA$1,"")</f>
        <v>3.729838709677419</v>
      </c>
      <c r="AB12" s="174">
        <f>IFERROR(VLOOKUP($B12,RD[#All],AB$2,0)/AB$1,"")</f>
        <v>3.7201399300349816</v>
      </c>
      <c r="AC12" s="174">
        <f>IFERROR(VLOOKUP($B12,RD[#All],AC$2,0)/AC$1,"")</f>
        <v>3.6788028004346449</v>
      </c>
      <c r="AD12" s="174">
        <f>IFERROR(VLOOKUP($B12,RD[#All],AD$2,0)/AD$1,"")</f>
        <v>3.6128711528901336</v>
      </c>
      <c r="AE12" s="174">
        <f>IFERROR(VLOOKUP($B12,RD[#All],AE$2,0)/AE$1,"")</f>
        <v>3.6703099602040243</v>
      </c>
      <c r="AF12" s="174">
        <f>IFERROR(VLOOKUP($B12,RD[#All],AF$2,0)/AF$1,"")</f>
        <v>3.606248157972296</v>
      </c>
      <c r="AG12" s="174">
        <f>IFERROR(VLOOKUP($B12,RD[#All],AG$2,0)/AG$1,"")</f>
        <v>3.5713779473899416</v>
      </c>
      <c r="AH12" s="174">
        <f>IFERROR(VLOOKUP($B12,RD[#All],AH$2,0)/AH$1,"")</f>
        <v>3.5626172230855797</v>
      </c>
      <c r="AI12" s="174">
        <f>IFERROR(VLOOKUP($B12,RD[#All],AI$2,0)/AI$1,"")</f>
        <v>3.5661987188224069</v>
      </c>
      <c r="AJ12" s="174">
        <f>IFERROR(VLOOKUP($B12,RD[#All],AJ$2,0)/AJ$1,"")</f>
        <v>3.525881826084666</v>
      </c>
      <c r="AK12" s="174">
        <f>IFERROR(VLOOKUP($B12,RD[#All],AK$2,0)/AK$1,"")</f>
        <v>3.5231921789490466</v>
      </c>
      <c r="AL12" s="174">
        <f>IFERROR(VLOOKUP($B12,RD[#All],AL$2,0)/AL$1,"")</f>
        <v>3.4109285482650522</v>
      </c>
      <c r="AM12" s="174">
        <f>IFERROR(VLOOKUP($B12,RD[#All],AM$2,0)/AM$1,"")</f>
        <v>3.5046813895414188</v>
      </c>
      <c r="AN12" s="174">
        <f>IFERROR(VLOOKUP($B12,RD[#All],AN$2,0)/AN$1,"")</f>
        <v>3.5335572502641903</v>
      </c>
      <c r="AO12" s="174">
        <f>IFERROR(VLOOKUP($B12,RD[#All],AO$2,0)/AO$1,"")</f>
        <v>3.4809883756150426</v>
      </c>
      <c r="AP12" s="174">
        <f>IFERROR(VLOOKUP($B12,RD[#All],AP$2,0)/AP$1,"")</f>
        <v>3.5201626202319494</v>
      </c>
      <c r="AQ12" s="174">
        <f>IFERROR(VLOOKUP($B12,RD[#All],AQ$2,0)/AQ$1,"")</f>
        <v>3.4848644380100025</v>
      </c>
      <c r="AR12" s="174">
        <f>IFERROR(VLOOKUP($B12,RD[#All],AR$2,0)/AR$1,"")</f>
        <v>3.4965617143142578</v>
      </c>
      <c r="AS12" s="174">
        <f>IFERROR(VLOOKUP($B12,RD[#All],AS$2,0)/AS$1,"")</f>
        <v>3.5325904835553676</v>
      </c>
      <c r="AT12" s="174">
        <f>IFERROR(VLOOKUP($B12,RD[#All],AT$2,0)/AT$1,"")</f>
        <v>3.5207307619785877</v>
      </c>
      <c r="AU12" s="174">
        <f>IFERROR(VLOOKUP($B12,RD[#All],AU$2,0)/AU$1,"")</f>
        <v>3.6102847490487564</v>
      </c>
      <c r="AV12" s="174">
        <f>IFERROR(VLOOKUP($B12,RD[#All],AV$2,0)/AV$1,"")</f>
        <v>3.5374692497650932</v>
      </c>
      <c r="AW12" s="174">
        <f>IFERROR(VLOOKUP($B12,RD[#All],AW$2,0)/AW$1,"")</f>
        <v>3.4424211690945974</v>
      </c>
      <c r="AX12" s="174">
        <f>IFERROR(VLOOKUP($B12,RD[#All],AX$2,0)/AX$1,"")</f>
        <v>3.522825235109718</v>
      </c>
      <c r="AY12" s="174">
        <f>IFERROR(VLOOKUP($B12,RD[#All],AY$2,0)/AY$1,"")</f>
        <v>3.691056910569106</v>
      </c>
      <c r="AZ12" s="174">
        <f>IFERROR(VLOOKUP($B12,RD[#All],AZ$2,0)/AZ$1,"")</f>
        <v>3.9390737182728284</v>
      </c>
      <c r="BA12" s="174">
        <f>IFERROR(VLOOKUP($B12,RD[#All],BA$2,0)/BA$1,"")</f>
        <v>3.7083706003051509</v>
      </c>
      <c r="BB12" s="174">
        <f>IFERROR(VLOOKUP($B12,RD[#All],BB$2,0)/BB$1,"")</f>
        <v>3.773049645390071</v>
      </c>
      <c r="BC12" s="174">
        <f>IFERROR(VLOOKUP($B12,RD[#All],BC$2,0)/BC$1,"")</f>
        <v>3.7016121809225262</v>
      </c>
      <c r="BD12" s="174">
        <f>IFERROR(VLOOKUP($B12,RD[#All],BD$2,0)/BD$1,"")</f>
        <v>3.8042406682222212</v>
      </c>
      <c r="BE12" s="174">
        <f>IFERROR(VLOOKUP($B12,RD[#All],BE$2,0)/BE$1,"")</f>
        <v>3.8787392908341092</v>
      </c>
      <c r="BF12" s="174">
        <f>IFERROR(VLOOKUP($B12,RD[#All],BF$2,0)/BF$1,"")</f>
        <v>3.8249887610516322</v>
      </c>
      <c r="BG12" s="174">
        <f>IFERROR(VLOOKUP($B12,RD[#All],BG$2,0)/BG$1,"")</f>
        <v>3.8259612895803978</v>
      </c>
      <c r="BH12" s="174">
        <f>IFERROR(VLOOKUP($B12,RD[#All],BH$2,0)/BH$1,"")</f>
        <v>3.7641281527709878</v>
      </c>
      <c r="BI12" s="174">
        <f>IFERROR(VLOOKUP($B12,RD[#All],BI$2,0)/BI$1,"")</f>
        <v>3.7721870357338338</v>
      </c>
      <c r="BJ12" s="174">
        <f>IFERROR(VLOOKUP($B12,RD[#All],BJ$2,0)/BJ$1,"")</f>
        <v>3.7433911479146924</v>
      </c>
      <c r="BK12" s="174">
        <f>IFERROR(VLOOKUP($B12,RD[#All],BK$2,0)/BK$1,"")</f>
        <v>3.6891167705907395</v>
      </c>
      <c r="BL12" s="174">
        <f>IFERROR(VLOOKUP($B12,RD[#All],BL$2,0)/BL$1,"")</f>
        <v>3.8012604352164088</v>
      </c>
      <c r="BM12" s="174">
        <f>IFERROR(VLOOKUP($B12,RD[#All],BM$2,0)/BM$1,"")</f>
        <v>3.8793817819120884</v>
      </c>
      <c r="BN12" s="174">
        <f>IFERROR(VLOOKUP($B12,RD[#All],BN$2,0)/BN$1,"")</f>
        <v>3.8008180359084398</v>
      </c>
      <c r="BO12" s="174">
        <f>IFERROR(VLOOKUP($B12,RD[#All],BO$2,0)/BO$1,"")</f>
        <v>3.5348747644526357</v>
      </c>
      <c r="BP12" s="174">
        <f>IFERROR(VLOOKUP($B12,RD[#All],BP$2,0)/BP$1,"")</f>
        <v>3.7466929436700154</v>
      </c>
      <c r="BQ12" s="174">
        <f>IFERROR(VLOOKUP($B12,RD[#All],BQ$2,0)/BQ$1,"")</f>
        <v>2.7716934569465752</v>
      </c>
      <c r="BR12" s="174">
        <f>IFERROR(VLOOKUP($B12,RD[#All],BR$2,0)/BR$1,"")</f>
        <v>1.0100614041577272</v>
      </c>
      <c r="BS12" s="174">
        <f>IFERROR(VLOOKUP($B12,RD[#All],BS$2,0)/BS$1,"")</f>
        <v>3.503108506175364</v>
      </c>
      <c r="BT12" s="174">
        <f>IFERROR(VLOOKUP($B12,RD[#All],BT$2,0)/BT$1,"")</f>
        <v>2.5418100830127552</v>
      </c>
      <c r="BU12" s="174">
        <f>IFERROR(VLOOKUP($B12,RD[#All],BU$2,0)/BU$1,"")</f>
        <v>0.56477180564771812</v>
      </c>
      <c r="BV12" s="174">
        <f>IFERROR(VLOOKUP($B12,RD[#All],BV$2,0)/BV$1,"")</f>
        <v>0.92226890756302515</v>
      </c>
      <c r="BW12" s="174">
        <f>IFERROR(VLOOKUP($B12,RD[#All],BW$2,0)/BW$1,"")</f>
        <v>3.7351637660793426</v>
      </c>
      <c r="BX12" s="174">
        <f>IFERROR(VLOOKUP($B12,RD[#All],BX$2,0)/BX$1,"")</f>
        <v>3.7139745916515428</v>
      </c>
      <c r="BY12" s="174">
        <f>AVERAGEIF(Inv_SY_B[[#This Row],[IS1Inv1M1]:[IS4Inv4M2]],"&gt;="&amp;0.1,Inv_SY_B[[#This Row],[IS1Inv1M1]:[IS4Inv4M2]])</f>
        <v>3.6697512896559408</v>
      </c>
      <c r="BZ12" s="174">
        <f>AVERAGEIF(Inv_SY_B[[#This Row],[IS5Inv1M1]:[IS9Inv2M2]],"&gt;="&amp;0.1,Inv_SY_B[[#This Row],[IS5Inv1M1]:[IS9Inv2M2]])</f>
        <v>3.5365914218387604</v>
      </c>
      <c r="CA12" s="174">
        <f>AVERAGEIF(Inv_SY_B[[#This Row],[IS10Inv1M1]:[IS14Inv2M4]],"&gt;="&amp;0.1,Inv_SY_B[[#This Row],[IS10Inv1M1]:[IS14Inv2M4]])</f>
        <v>3.3431086806698658</v>
      </c>
    </row>
    <row r="13" spans="2:79">
      <c r="B13" s="179">
        <f t="shared" si="32"/>
        <v>45837</v>
      </c>
      <c r="C13" s="174">
        <f>IFERROR(VLOOKUP($B13,RD[#All],C$2,0)/C$1,"")</f>
        <v>2.1654383090950664</v>
      </c>
      <c r="D13" s="174">
        <f>IFERROR(VLOOKUP($B13,RD[#All],D$2,0)/D$1,"")</f>
        <v>2.1499650755964557</v>
      </c>
      <c r="E13" s="174">
        <f>IFERROR(VLOOKUP($B13,RD[#All],E$2,0)/E$1,"")</f>
        <v>2.1300387951847348</v>
      </c>
      <c r="F13" s="174">
        <f>IFERROR(VLOOKUP($B13,RD[#All],F$2,0)/F$1,"")</f>
        <v>2.1540999835010726</v>
      </c>
      <c r="G13" s="174">
        <f>IFERROR(VLOOKUP($B13,RD[#All],G$2,0)/G$1,"")</f>
        <v>2.1708565899172694</v>
      </c>
      <c r="H13" s="174">
        <f>IFERROR(VLOOKUP($B13,RD[#All],H$2,0)/H$1,"")</f>
        <v>2.1576814898335956</v>
      </c>
      <c r="I13" s="174">
        <f>IFERROR(VLOOKUP($B13,RD[#All],I$2,0)/I$1,"")</f>
        <v>2.1869482791194614</v>
      </c>
      <c r="J13" s="174">
        <f>IFERROR(VLOOKUP($B13,RD[#All],J$2,0)/J$1,"")</f>
        <v>2.1798657246300399</v>
      </c>
      <c r="K13" s="174">
        <f>IFERROR(VLOOKUP($B13,RD[#All],K$2,0)/K$1,"")</f>
        <v>2.1564915601829941</v>
      </c>
      <c r="L13" s="174">
        <f>IFERROR(VLOOKUP($B13,RD[#All],L$2,0)/L$1,"")</f>
        <v>2.1995795559059252</v>
      </c>
      <c r="M13" s="174">
        <f>IFERROR(VLOOKUP($B13,RD[#All],M$2,0)/M$1,"")</f>
        <v>2.2523812651908299</v>
      </c>
      <c r="N13" s="174">
        <f>IFERROR(VLOOKUP($B13,RD[#All],N$2,0)/N$1,"")</f>
        <v>2.1695087904625372</v>
      </c>
      <c r="O13" s="174">
        <f>IFERROR(VLOOKUP($B13,RD[#All],O$2,0)/O$1,"")</f>
        <v>2.3050085933326039</v>
      </c>
      <c r="P13" s="174">
        <f>IFERROR(VLOOKUP($B13,RD[#All],P$2,0)/P$1,"")</f>
        <v>2.1209517761757128</v>
      </c>
      <c r="Q13" s="174">
        <f>IFERROR(VLOOKUP($B13,RD[#All],Q$2,0)/Q$1,"")</f>
        <v>2.1709689764576621</v>
      </c>
      <c r="R13" s="174">
        <f>IFERROR(VLOOKUP($B13,RD[#All],R$2,0)/R$1,"")</f>
        <v>2.1536758221598551</v>
      </c>
      <c r="S13" s="174">
        <f>IFERROR(VLOOKUP($B13,RD[#All],S$2,0)/S$1,"")</f>
        <v>2.158029427674014</v>
      </c>
      <c r="T13" s="174">
        <f>IFERROR(VLOOKUP($B13,RD[#All],T$2,0)/T$1,"")</f>
        <v>2.1809120096520953</v>
      </c>
      <c r="U13" s="174">
        <f>IFERROR(VLOOKUP($B13,RD[#All],U$2,0)/U$1,"")</f>
        <v>2.1779524745399317</v>
      </c>
      <c r="V13" s="174">
        <f>IFERROR(VLOOKUP($B13,RD[#All],V$2,0)/V$1,"")</f>
        <v>2.1875634620852118</v>
      </c>
      <c r="W13" s="174">
        <f>IFERROR(VLOOKUP($B13,RD[#All],W$2,0)/W$1,"")</f>
        <v>2.1539349942253754</v>
      </c>
      <c r="X13" s="174">
        <f>IFERROR(VLOOKUP($B13,RD[#All],X$2,0)/X$1,"")</f>
        <v>2.1242383037019201</v>
      </c>
      <c r="Y13" s="174">
        <f>IFERROR(VLOOKUP($B13,RD[#All],Y$2,0)/Y$1,"")</f>
        <v>2.1857878400249415</v>
      </c>
      <c r="Z13" s="174">
        <f>IFERROR(VLOOKUP($B13,RD[#All],Z$2,0)/Z$1,"")</f>
        <v>2.2267006588987233</v>
      </c>
      <c r="AA13" s="174">
        <f>IFERROR(VLOOKUP($B13,RD[#All],AA$2,0)/AA$1,"")</f>
        <v>2.1914864369501466</v>
      </c>
      <c r="AB13" s="174">
        <f>IFERROR(VLOOKUP($B13,RD[#All],AB$2,0)/AB$1,"")</f>
        <v>2.1709599745581749</v>
      </c>
      <c r="AC13" s="174">
        <f>IFERROR(VLOOKUP($B13,RD[#All],AC$2,0)/AC$1,"")</f>
        <v>2.2036229591626206</v>
      </c>
      <c r="AD13" s="174">
        <f>IFERROR(VLOOKUP($B13,RD[#All],AD$2,0)/AD$1,"")</f>
        <v>2.1809102002078906</v>
      </c>
      <c r="AE13" s="174">
        <f>IFERROR(VLOOKUP($B13,RD[#All],AE$2,0)/AE$1,"")</f>
        <v>2.4004820357603274</v>
      </c>
      <c r="AF13" s="174">
        <f>IFERROR(VLOOKUP($B13,RD[#All],AF$2,0)/AF$1,"")</f>
        <v>2.3831417624521074</v>
      </c>
      <c r="AG13" s="174">
        <f>IFERROR(VLOOKUP($B13,RD[#All],AG$2,0)/AG$1,"")</f>
        <v>2.3894234700831403</v>
      </c>
      <c r="AH13" s="174">
        <f>IFERROR(VLOOKUP($B13,RD[#All],AH$2,0)/AH$1,"")</f>
        <v>2.37355983066288</v>
      </c>
      <c r="AI13" s="174">
        <f>IFERROR(VLOOKUP($B13,RD[#All],AI$2,0)/AI$1,"")</f>
        <v>2.3953659533869427</v>
      </c>
      <c r="AJ13" s="174">
        <f>IFERROR(VLOOKUP($B13,RD[#All],AJ$2,0)/AJ$1,"")</f>
        <v>2.4037828297463188</v>
      </c>
      <c r="AK13" s="174">
        <f>IFERROR(VLOOKUP($B13,RD[#All],AK$2,0)/AK$1,"")</f>
        <v>2.3782477020349613</v>
      </c>
      <c r="AL13" s="174">
        <f>IFERROR(VLOOKUP($B13,RD[#All],AL$2,0)/AL$1,"")</f>
        <v>2.2899146038266132</v>
      </c>
      <c r="AM13" s="174">
        <f>IFERROR(VLOOKUP($B13,RD[#All],AM$2,0)/AM$1,"")</f>
        <v>2.3923886192761517</v>
      </c>
      <c r="AN13" s="174">
        <f>IFERROR(VLOOKUP($B13,RD[#All],AN$2,0)/AN$1,"")</f>
        <v>2.4082063984599542</v>
      </c>
      <c r="AO13" s="174">
        <f>IFERROR(VLOOKUP($B13,RD[#All],AO$2,0)/AO$1,"")</f>
        <v>2.3608203706072008</v>
      </c>
      <c r="AP13" s="174">
        <f>IFERROR(VLOOKUP($B13,RD[#All],AP$2,0)/AP$1,"")</f>
        <v>2.3546278783309886</v>
      </c>
      <c r="AQ13" s="174">
        <f>IFERROR(VLOOKUP($B13,RD[#All],AQ$2,0)/AQ$1,"")</f>
        <v>2.3642405896288494</v>
      </c>
      <c r="AR13" s="174">
        <f>IFERROR(VLOOKUP($B13,RD[#All],AR$2,0)/AR$1,"")</f>
        <v>2.3867197256031569</v>
      </c>
      <c r="AS13" s="174">
        <f>IFERROR(VLOOKUP($B13,RD[#All],AS$2,0)/AS$1,"")</f>
        <v>2.3793689291949334</v>
      </c>
      <c r="AT13" s="174">
        <f>IFERROR(VLOOKUP($B13,RD[#All],AT$2,0)/AT$1,"")</f>
        <v>2.4240011732417086</v>
      </c>
      <c r="AU13" s="174">
        <f>IFERROR(VLOOKUP($B13,RD[#All],AU$2,0)/AU$1,"")</f>
        <v>2.4456898728482739</v>
      </c>
      <c r="AV13" s="174">
        <f>IFERROR(VLOOKUP($B13,RD[#All],AV$2,0)/AV$1,"")</f>
        <v>2.4341909560076869</v>
      </c>
      <c r="AW13" s="174">
        <f>IFERROR(VLOOKUP($B13,RD[#All],AW$2,0)/AW$1,"")</f>
        <v>2.1881799741840315</v>
      </c>
      <c r="AX13" s="174">
        <f>IFERROR(VLOOKUP($B13,RD[#All],AX$2,0)/AX$1,"")</f>
        <v>2.212921238244514</v>
      </c>
      <c r="AY13" s="174">
        <f>IFERROR(VLOOKUP($B13,RD[#All],AY$2,0)/AY$1,"")</f>
        <v>2.0966258863866596</v>
      </c>
      <c r="AZ13" s="174">
        <f>IFERROR(VLOOKUP($B13,RD[#All],AZ$2,0)/AZ$1,"")</f>
        <v>2.2296491050662355</v>
      </c>
      <c r="BA13" s="174">
        <f>IFERROR(VLOOKUP($B13,RD[#All],BA$2,0)/BA$1,"")</f>
        <v>2.1311008225039894</v>
      </c>
      <c r="BB13" s="174">
        <f>IFERROR(VLOOKUP($B13,RD[#All],BB$2,0)/BB$1,"")</f>
        <v>2.1826185553258188</v>
      </c>
      <c r="BC13" s="174">
        <f>IFERROR(VLOOKUP($B13,RD[#All],BC$2,0)/BC$1,"")</f>
        <v>2.1742946708463951</v>
      </c>
      <c r="BD13" s="174">
        <f>IFERROR(VLOOKUP($B13,RD[#All],BD$2,0)/BD$1,"")</f>
        <v>2.2106081250149203</v>
      </c>
      <c r="BE13" s="174">
        <f>IFERROR(VLOOKUP($B13,RD[#All],BE$2,0)/BE$1,"")</f>
        <v>2.1630986432225674</v>
      </c>
      <c r="BF13" s="174">
        <f>IFERROR(VLOOKUP($B13,RD[#All],BF$2,0)/BF$1,"")</f>
        <v>2.1019330991191993</v>
      </c>
      <c r="BG13" s="174">
        <f>IFERROR(VLOOKUP($B13,RD[#All],BG$2,0)/BG$1,"")</f>
        <v>2.2031290443185414</v>
      </c>
      <c r="BH13" s="174">
        <f>IFERROR(VLOOKUP($B13,RD[#All],BH$2,0)/BH$1,"")</f>
        <v>2.1778205976244571</v>
      </c>
      <c r="BI13" s="174">
        <f>IFERROR(VLOOKUP($B13,RD[#All],BI$2,0)/BI$1,"")</f>
        <v>2.2102327521046732</v>
      </c>
      <c r="BJ13" s="174">
        <f>IFERROR(VLOOKUP($B13,RD[#All],BJ$2,0)/BJ$1,"")</f>
        <v>2.2107554347079743</v>
      </c>
      <c r="BK13" s="174">
        <f>IFERROR(VLOOKUP($B13,RD[#All],BK$2,0)/BK$1,"")</f>
        <v>2.2006235444369318</v>
      </c>
      <c r="BL13" s="174">
        <f>IFERROR(VLOOKUP($B13,RD[#All],BL$2,0)/BL$1,"")</f>
        <v>2.2094242160168736</v>
      </c>
      <c r="BM13" s="174">
        <f>IFERROR(VLOOKUP($B13,RD[#All],BM$2,0)/BM$1,"")</f>
        <v>2.2130013831258641</v>
      </c>
      <c r="BN13" s="174">
        <f>IFERROR(VLOOKUP($B13,RD[#All],BN$2,0)/BN$1,"")</f>
        <v>2.1837301747099196</v>
      </c>
      <c r="BO13" s="174">
        <f>IFERROR(VLOOKUP($B13,RD[#All],BO$2,0)/BO$1,"")</f>
        <v>2.0416764095016711</v>
      </c>
      <c r="BP13" s="174">
        <f>IFERROR(VLOOKUP($B13,RD[#All],BP$2,0)/BP$1,"")</f>
        <v>2.1605823860088833</v>
      </c>
      <c r="BQ13" s="174">
        <f>IFERROR(VLOOKUP($B13,RD[#All],BQ$2,0)/BQ$1,"")</f>
        <v>1.7535516574401386</v>
      </c>
      <c r="BR13" s="174">
        <f>IFERROR(VLOOKUP($B13,RD[#All],BR$2,0)/BR$1,"")</f>
        <v>1.5553007324110379</v>
      </c>
      <c r="BS13" s="174">
        <f>IFERROR(VLOOKUP($B13,RD[#All],BS$2,0)/BS$1,"")</f>
        <v>2.0583535897377647</v>
      </c>
      <c r="BT13" s="174">
        <f>IFERROR(VLOOKUP($B13,RD[#All],BT$2,0)/BT$1,"")</f>
        <v>1.6507390159951407</v>
      </c>
      <c r="BU13" s="174">
        <f>IFERROR(VLOOKUP($B13,RD[#All],BU$2,0)/BU$1,"")</f>
        <v>0.4580107645801077</v>
      </c>
      <c r="BV13" s="174">
        <f>IFERROR(VLOOKUP($B13,RD[#All],BV$2,0)/BV$1,"")</f>
        <v>1.4637605042016806</v>
      </c>
      <c r="BW13" s="174">
        <f>IFERROR(VLOOKUP($B13,RD[#All],BW$2,0)/BW$1,"")</f>
        <v>2.1746838179656249</v>
      </c>
      <c r="BX13" s="174">
        <f>IFERROR(VLOOKUP($B13,RD[#All],BX$2,0)/BX$1,"")</f>
        <v>2.1502062365946211</v>
      </c>
      <c r="BY13" s="174">
        <f>AVERAGEIF(Inv_SY_B[[#This Row],[IS1Inv1M1]:[IS4Inv4M2]],"&gt;="&amp;0.1,Inv_SY_B[[#This Row],[IS1Inv1M1]:[IS4Inv4M2]])</f>
        <v>2.1773414045866732</v>
      </c>
      <c r="BZ13" s="174">
        <f>AVERAGEIF(Inv_SY_B[[#This Row],[IS5Inv1M1]:[IS9Inv2M2]],"&gt;="&amp;0.1,Inv_SY_B[[#This Row],[IS5Inv1M1]:[IS9Inv2M2]])</f>
        <v>2.3868984833973439</v>
      </c>
      <c r="CA13" s="174">
        <f>AVERAGEIF(Inv_SY_B[[#This Row],[IS10Inv1M1]:[IS14Inv2M4]],"&gt;="&amp;0.1,Inv_SY_B[[#This Row],[IS10Inv1M1]:[IS14Inv2M4]])</f>
        <v>2.0273790136212941</v>
      </c>
    </row>
    <row r="14" spans="2:79">
      <c r="B14" s="179">
        <f t="shared" si="32"/>
        <v>45838</v>
      </c>
      <c r="C14" s="174">
        <f>IFERROR(VLOOKUP($B14,RD[#All],C$2,0)/C$1,"")</f>
        <v>2.5562784054425687</v>
      </c>
      <c r="D14" s="174">
        <f>IFERROR(VLOOKUP($B14,RD[#All],D$2,0)/D$1,"")</f>
        <v>2.553522039961035</v>
      </c>
      <c r="E14" s="174">
        <f>IFERROR(VLOOKUP($B14,RD[#All],E$2,0)/E$1,"")</f>
        <v>2.521720308363443</v>
      </c>
      <c r="F14" s="174">
        <f>IFERROR(VLOOKUP($B14,RD[#All],F$2,0)/F$1,"")</f>
        <v>2.5052631578947366</v>
      </c>
      <c r="G14" s="174">
        <f>IFERROR(VLOOKUP($B14,RD[#All],G$2,0)/G$1,"")</f>
        <v>2.513313126005293</v>
      </c>
      <c r="H14" s="174">
        <f>IFERROR(VLOOKUP($B14,RD[#All],H$2,0)/H$1,"")</f>
        <v>2.5057925582663212</v>
      </c>
      <c r="I14" s="174">
        <f>IFERROR(VLOOKUP($B14,RD[#All],I$2,0)/I$1,"")</f>
        <v>2.5593334071675669</v>
      </c>
      <c r="J14" s="174">
        <f>IFERROR(VLOOKUP($B14,RD[#All],J$2,0)/J$1,"")</f>
        <v>2.5662296272862548</v>
      </c>
      <c r="K14" s="174">
        <f>IFERROR(VLOOKUP($B14,RD[#All],K$2,0)/K$1,"")</f>
        <v>2.5299258558132198</v>
      </c>
      <c r="L14" s="174">
        <f>IFERROR(VLOOKUP($B14,RD[#All],L$2,0)/L$1,"")</f>
        <v>2.5589935619498094</v>
      </c>
      <c r="M14" s="174">
        <f>IFERROR(VLOOKUP($B14,RD[#All],M$2,0)/M$1,"")</f>
        <v>2.6236615647375681</v>
      </c>
      <c r="N14" s="174">
        <f>IFERROR(VLOOKUP($B14,RD[#All],N$2,0)/N$1,"")</f>
        <v>2.5427576146281345</v>
      </c>
      <c r="O14" s="174">
        <f>IFERROR(VLOOKUP($B14,RD[#All],O$2,0)/O$1,"")</f>
        <v>2.7030054134776926</v>
      </c>
      <c r="P14" s="174">
        <f>IFERROR(VLOOKUP($B14,RD[#All],P$2,0)/P$1,"")</f>
        <v>2.470272558614421</v>
      </c>
      <c r="Q14" s="174">
        <f>IFERROR(VLOOKUP($B14,RD[#All],Q$2,0)/Q$1,"")</f>
        <v>2.5423132476574941</v>
      </c>
      <c r="R14" s="174">
        <f>IFERROR(VLOOKUP($B14,RD[#All],R$2,0)/R$1,"")</f>
        <v>2.5469092968915947</v>
      </c>
      <c r="S14" s="174">
        <f>IFERROR(VLOOKUP($B14,RD[#All],S$2,0)/S$1,"")</f>
        <v>2.5418528434478653</v>
      </c>
      <c r="T14" s="174">
        <f>IFERROR(VLOOKUP($B14,RD[#All],T$2,0)/T$1,"")</f>
        <v>2.563554432716717</v>
      </c>
      <c r="U14" s="174">
        <f>IFERROR(VLOOKUP($B14,RD[#All],U$2,0)/U$1,"")</f>
        <v>2.5627920972701537</v>
      </c>
      <c r="V14" s="174">
        <f>IFERROR(VLOOKUP($B14,RD[#All],V$2,0)/V$1,"")</f>
        <v>2.5791442716019302</v>
      </c>
      <c r="W14" s="174">
        <f>IFERROR(VLOOKUP($B14,RD[#All],W$2,0)/W$1,"")</f>
        <v>2.4934004289721168</v>
      </c>
      <c r="X14" s="174">
        <f>IFERROR(VLOOKUP($B14,RD[#All],X$2,0)/X$1,"")</f>
        <v>2.4446848264332774</v>
      </c>
      <c r="Y14" s="174">
        <f>IFERROR(VLOOKUP($B14,RD[#All],Y$2,0)/Y$1,"")</f>
        <v>2.5106712698696523</v>
      </c>
      <c r="Z14" s="174">
        <f>IFERROR(VLOOKUP($B14,RD[#All],Z$2,0)/Z$1,"")</f>
        <v>2.536535664913194</v>
      </c>
      <c r="AA14" s="174">
        <f>IFERROR(VLOOKUP($B14,RD[#All],AA$2,0)/AA$1,"")</f>
        <v>2.5364277859237534</v>
      </c>
      <c r="AB14" s="174">
        <f>IFERROR(VLOOKUP($B14,RD[#All],AB$2,0)/AB$1,"")</f>
        <v>2.5351869519785555</v>
      </c>
      <c r="AC14" s="174">
        <f>IFERROR(VLOOKUP($B14,RD[#All],AC$2,0)/AC$1,"")</f>
        <v>2.5291482699017465</v>
      </c>
      <c r="AD14" s="174">
        <f>IFERROR(VLOOKUP($B14,RD[#All],AD$2,0)/AD$1,"")</f>
        <v>2.4956840059655621</v>
      </c>
      <c r="AE14" s="174">
        <f>IFERROR(VLOOKUP($B14,RD[#All],AE$2,0)/AE$1,"")</f>
        <v>2.480690544252004</v>
      </c>
      <c r="AF14" s="174">
        <f>IFERROR(VLOOKUP($B14,RD[#All],AF$2,0)/AF$1,"")</f>
        <v>2.4585376309514237</v>
      </c>
      <c r="AG14" s="174">
        <f>IFERROR(VLOOKUP($B14,RD[#All],AG$2,0)/AG$1,"")</f>
        <v>2.4511925855254195</v>
      </c>
      <c r="AH14" s="174">
        <f>IFERROR(VLOOKUP($B14,RD[#All],AH$2,0)/AH$1,"")</f>
        <v>2.4465462729757248</v>
      </c>
      <c r="AI14" s="174">
        <f>IFERROR(VLOOKUP($B14,RD[#All],AI$2,0)/AI$1,"")</f>
        <v>2.4522829494343741</v>
      </c>
      <c r="AJ14" s="174">
        <f>IFERROR(VLOOKUP($B14,RD[#All],AJ$2,0)/AJ$1,"")</f>
        <v>2.4498300887753217</v>
      </c>
      <c r="AK14" s="174">
        <f>IFERROR(VLOOKUP($B14,RD[#All],AK$2,0)/AK$1,"")</f>
        <v>2.4336113915307371</v>
      </c>
      <c r="AL14" s="174">
        <f>IFERROR(VLOOKUP($B14,RD[#All],AL$2,0)/AL$1,"")</f>
        <v>2.3388282347854288</v>
      </c>
      <c r="AM14" s="174">
        <f>IFERROR(VLOOKUP($B14,RD[#All],AM$2,0)/AM$1,"")</f>
        <v>2.4308224572078592</v>
      </c>
      <c r="AN14" s="174">
        <f>IFERROR(VLOOKUP($B14,RD[#All],AN$2,0)/AN$1,"")</f>
        <v>2.4461690685010802</v>
      </c>
      <c r="AO14" s="174">
        <f>IFERROR(VLOOKUP($B14,RD[#All],AO$2,0)/AO$1,"")</f>
        <v>2.4036293389514496</v>
      </c>
      <c r="AP14" s="174">
        <f>IFERROR(VLOOKUP($B14,RD[#All],AP$2,0)/AP$1,"")</f>
        <v>2.4120430512832591</v>
      </c>
      <c r="AQ14" s="174">
        <f>IFERROR(VLOOKUP($B14,RD[#All],AQ$2,0)/AQ$1,"")</f>
        <v>2.4069491971571462</v>
      </c>
      <c r="AR14" s="174">
        <f>IFERROR(VLOOKUP($B14,RD[#All],AR$2,0)/AR$1,"")</f>
        <v>2.4276794485422668</v>
      </c>
      <c r="AS14" s="174">
        <f>IFERROR(VLOOKUP($B14,RD[#All],AS$2,0)/AS$1,"")</f>
        <v>2.4275487129014492</v>
      </c>
      <c r="AT14" s="174">
        <f>IFERROR(VLOOKUP($B14,RD[#All],AT$2,0)/AT$1,"")</f>
        <v>2.4554691919297729</v>
      </c>
      <c r="AU14" s="174">
        <f>IFERROR(VLOOKUP($B14,RD[#All],AU$2,0)/AU$1,"")</f>
        <v>2.455151516910512</v>
      </c>
      <c r="AV14" s="174">
        <f>IFERROR(VLOOKUP($B14,RD[#All],AV$2,0)/AV$1,"")</f>
        <v>2.4467035276008438</v>
      </c>
      <c r="AW14" s="174">
        <f>IFERROR(VLOOKUP($B14,RD[#All],AW$2,0)/AW$1,"")</f>
        <v>2.6046929743684313</v>
      </c>
      <c r="AX14" s="174">
        <f>IFERROR(VLOOKUP($B14,RD[#All],AX$2,0)/AX$1,"")</f>
        <v>2.6459149686520376</v>
      </c>
      <c r="AY14" s="174">
        <f>IFERROR(VLOOKUP($B14,RD[#All],AY$2,0)/AY$1,"")</f>
        <v>2.5441699784409981</v>
      </c>
      <c r="AZ14" s="174">
        <f>IFERROR(VLOOKUP($B14,RD[#All],AZ$2,0)/AZ$1,"")</f>
        <v>2.5308423500859543</v>
      </c>
      <c r="BA14" s="174">
        <f>IFERROR(VLOOKUP($B14,RD[#All],BA$2,0)/BA$1,"")</f>
        <v>2.5879500534890654</v>
      </c>
      <c r="BB14" s="174">
        <f>IFERROR(VLOOKUP($B14,RD[#All],BB$2,0)/BB$1,"")</f>
        <v>2.6587963271749042</v>
      </c>
      <c r="BC14" s="174">
        <f>IFERROR(VLOOKUP($B14,RD[#All],BC$2,0)/BC$1,"")</f>
        <v>2.6343931930138829</v>
      </c>
      <c r="BD14" s="174">
        <f>IFERROR(VLOOKUP($B14,RD[#All],BD$2,0)/BD$1,"")</f>
        <v>2.6729419337383433</v>
      </c>
      <c r="BE14" s="174">
        <f>IFERROR(VLOOKUP($B14,RD[#All],BE$2,0)/BE$1,"")</f>
        <v>2.643032333018541</v>
      </c>
      <c r="BF14" s="174">
        <f>IFERROR(VLOOKUP($B14,RD[#All],BF$2,0)/BF$1,"")</f>
        <v>2.5721373982250784</v>
      </c>
      <c r="BG14" s="174">
        <f>IFERROR(VLOOKUP($B14,RD[#All],BG$2,0)/BG$1,"")</f>
        <v>2.6972908458197926</v>
      </c>
      <c r="BH14" s="174">
        <f>IFERROR(VLOOKUP($B14,RD[#All],BH$2,0)/BH$1,"")</f>
        <v>3.0564263322884013</v>
      </c>
      <c r="BI14" s="174">
        <f>IFERROR(VLOOKUP($B14,RD[#All],BI$2,0)/BI$1,"")</f>
        <v>2.7004326634868505</v>
      </c>
      <c r="BJ14" s="174">
        <f>IFERROR(VLOOKUP($B14,RD[#All],BJ$2,0)/BJ$1,"")</f>
        <v>2.734794490448921</v>
      </c>
      <c r="BK14" s="174">
        <f>IFERROR(VLOOKUP($B14,RD[#All],BK$2,0)/BK$1,"")</f>
        <v>2.7362707535121329</v>
      </c>
      <c r="BL14" s="174">
        <f>IFERROR(VLOOKUP($B14,RD[#All],BL$2,0)/BL$1,"")</f>
        <v>2.6974324000050522</v>
      </c>
      <c r="BM14" s="174">
        <f>IFERROR(VLOOKUP($B14,RD[#All],BM$2,0)/BM$1,"")</f>
        <v>2.7071901451528819</v>
      </c>
      <c r="BN14" s="174">
        <f>IFERROR(VLOOKUP($B14,RD[#All],BN$2,0)/BN$1,"")</f>
        <v>2.6590193923983638</v>
      </c>
      <c r="BO14" s="174">
        <f>IFERROR(VLOOKUP($B14,RD[#All],BO$2,0)/BO$1,"")</f>
        <v>2.4972834683575642</v>
      </c>
      <c r="BP14" s="174">
        <f>IFERROR(VLOOKUP($B14,RD[#All],BP$2,0)/BP$1,"")</f>
        <v>2.6316592751032424</v>
      </c>
      <c r="BQ14" s="174">
        <f>IFERROR(VLOOKUP($B14,RD[#All],BQ$2,0)/BQ$1,"")</f>
        <v>2.6166877876342292</v>
      </c>
      <c r="BR14" s="174">
        <f>IFERROR(VLOOKUP($B14,RD[#All],BR$2,0)/BR$1,"")</f>
        <v>1.9891987867130281</v>
      </c>
      <c r="BS14" s="174">
        <f>IFERROR(VLOOKUP($B14,RD[#All],BS$2,0)/BS$1,"")</f>
        <v>2.5760845695419405</v>
      </c>
      <c r="BT14" s="174">
        <f>IFERROR(VLOOKUP($B14,RD[#All],BT$2,0)/BT$1,"")</f>
        <v>2.5035432273739624</v>
      </c>
      <c r="BU14" s="174">
        <f>IFERROR(VLOOKUP($B14,RD[#All],BU$2,0)/BU$1,"")</f>
        <v>0.61984811619848124</v>
      </c>
      <c r="BV14" s="174">
        <f>IFERROR(VLOOKUP($B14,RD[#All],BV$2,0)/BV$1,"")</f>
        <v>2.0351890756302522</v>
      </c>
      <c r="BW14" s="174">
        <f>IFERROR(VLOOKUP($B14,RD[#All],BW$2,0)/BW$1,"")</f>
        <v>2.692393615104673</v>
      </c>
      <c r="BX14" s="174">
        <f>IFERROR(VLOOKUP($B14,RD[#All],BX$2,0)/BX$1,"")</f>
        <v>2.6523016003959743</v>
      </c>
      <c r="BY14" s="174">
        <f>AVERAGEIF(Inv_SY_B[[#This Row],[IS1Inv1M1]:[IS4Inv4M2]],"&gt;="&amp;0.1,Inv_SY_B[[#This Row],[IS1Inv1M1]:[IS4Inv4M2]])</f>
        <v>2.5402990926125599</v>
      </c>
      <c r="BZ14" s="174">
        <f>AVERAGEIF(Inv_SY_B[[#This Row],[IS5Inv1M1]:[IS9Inv2M2]],"&gt;="&amp;0.1,Inv_SY_B[[#This Row],[IS5Inv1M1]:[IS9Inv2M2]])</f>
        <v>2.4346491782897819</v>
      </c>
      <c r="CA14" s="174">
        <f>AVERAGEIF(Inv_SY_B[[#This Row],[IS10Inv1M1]:[IS14Inv2M4]],"&gt;="&amp;0.1,Inv_SY_B[[#This Row],[IS10Inv1M1]:[IS14Inv2M4]])</f>
        <v>2.5320685019776064</v>
      </c>
    </row>
    <row r="15" spans="2:79">
      <c r="B15" s="179">
        <f t="shared" si="32"/>
        <v>45839</v>
      </c>
      <c r="C15" s="174">
        <f>IFERROR(VLOOKUP($B15,RD[#All],C$2,0)/C$1,"")</f>
        <v>2.9844547251308491</v>
      </c>
      <c r="D15" s="174">
        <f>IFERROR(VLOOKUP($B15,RD[#All],D$2,0)/D$1,"")</f>
        <v>2.9645963647297977</v>
      </c>
      <c r="E15" s="174">
        <f>IFERROR(VLOOKUP($B15,RD[#All],E$2,0)/E$1,"")</f>
        <v>2.9453037846117986</v>
      </c>
      <c r="F15" s="174">
        <f>IFERROR(VLOOKUP($B15,RD[#All],F$2,0)/F$1,"")</f>
        <v>2.9307375020623661</v>
      </c>
      <c r="G15" s="174">
        <f>IFERROR(VLOOKUP($B15,RD[#All],G$2,0)/G$1,"")</f>
        <v>2.9385000865112882</v>
      </c>
      <c r="H15" s="174">
        <f>IFERROR(VLOOKUP($B15,RD[#All],H$2,0)/H$1,"")</f>
        <v>2.9405751669619735</v>
      </c>
      <c r="I15" s="174">
        <f>IFERROR(VLOOKUP($B15,RD[#All],I$2,0)/I$1,"")</f>
        <v>3.0013615901287971</v>
      </c>
      <c r="J15" s="174">
        <f>IFERROR(VLOOKUP($B15,RD[#All],J$2,0)/J$1,"")</f>
        <v>2.9919622247999347</v>
      </c>
      <c r="K15" s="174">
        <f>IFERROR(VLOOKUP($B15,RD[#All],K$2,0)/K$1,"")</f>
        <v>2.9662091812588733</v>
      </c>
      <c r="L15" s="174">
        <f>IFERROR(VLOOKUP($B15,RD[#All],L$2,0)/L$1,"")</f>
        <v>2.9919852844567072</v>
      </c>
      <c r="M15" s="174">
        <f>IFERROR(VLOOKUP($B15,RD[#All],M$2,0)/M$1,"")</f>
        <v>3.0637850620771201</v>
      </c>
      <c r="N15" s="174">
        <f>IFERROR(VLOOKUP($B15,RD[#All],N$2,0)/N$1,"")</f>
        <v>2.9717799743454312</v>
      </c>
      <c r="O15" s="174">
        <f>IFERROR(VLOOKUP($B15,RD[#All],O$2,0)/O$1,"")</f>
        <v>3.1524334901804276</v>
      </c>
      <c r="P15" s="174">
        <f>IFERROR(VLOOKUP($B15,RD[#All],P$2,0)/P$1,"")</f>
        <v>2.8779276082327891</v>
      </c>
      <c r="Q15" s="174">
        <f>IFERROR(VLOOKUP($B15,RD[#All],Q$2,0)/Q$1,"")</f>
        <v>2.9637173931829683</v>
      </c>
      <c r="R15" s="174">
        <f>IFERROR(VLOOKUP($B15,RD[#All],R$2,0)/R$1,"")</f>
        <v>2.9730356027884874</v>
      </c>
      <c r="S15" s="174">
        <f>IFERROR(VLOOKUP($B15,RD[#All],S$2,0)/S$1,"")</f>
        <v>2.9432674081919301</v>
      </c>
      <c r="T15" s="174">
        <f>IFERROR(VLOOKUP($B15,RD[#All],T$2,0)/T$1,"")</f>
        <v>2.9480997437174334</v>
      </c>
      <c r="U15" s="174">
        <f>IFERROR(VLOOKUP($B15,RD[#All],U$2,0)/U$1,"")</f>
        <v>2.9756072331982355</v>
      </c>
      <c r="V15" s="174">
        <f>IFERROR(VLOOKUP($B15,RD[#All],V$2,0)/V$1,"")</f>
        <v>2.9918001344832099</v>
      </c>
      <c r="W15" s="174">
        <f>IFERROR(VLOOKUP($B15,RD[#All],W$2,0)/W$1,"")</f>
        <v>2.8631826431281966</v>
      </c>
      <c r="X15" s="174">
        <f>IFERROR(VLOOKUP($B15,RD[#All],X$2,0)/X$1,"")</f>
        <v>2.8245411171884802</v>
      </c>
      <c r="Y15" s="174">
        <f>IFERROR(VLOOKUP($B15,RD[#All],Y$2,0)/Y$1,"")</f>
        <v>2.8821369131947785</v>
      </c>
      <c r="Z15" s="174">
        <f>IFERROR(VLOOKUP($B15,RD[#All],Z$2,0)/Z$1,"")</f>
        <v>2.9338946839261029</v>
      </c>
      <c r="AA15" s="174">
        <f>IFERROR(VLOOKUP($B15,RD[#All],AA$2,0)/AA$1,"")</f>
        <v>2.9237078445747797</v>
      </c>
      <c r="AB15" s="174">
        <f>IFERROR(VLOOKUP($B15,RD[#All],AB$2,0)/AB$1,"")</f>
        <v>2.9153605015673976</v>
      </c>
      <c r="AC15" s="174">
        <f>IFERROR(VLOOKUP($B15,RD[#All],AC$2,0)/AC$1,"")</f>
        <v>2.9231714418020345</v>
      </c>
      <c r="AD15" s="174">
        <f>IFERROR(VLOOKUP($B15,RD[#All],AD$2,0)/AD$1,"")</f>
        <v>2.8868350883535947</v>
      </c>
      <c r="AE15" s="174">
        <f>IFERROR(VLOOKUP($B15,RD[#All],AE$2,0)/AE$1,"")</f>
        <v>2.9466397623451606</v>
      </c>
      <c r="AF15" s="174">
        <f>IFERROR(VLOOKUP($B15,RD[#All],AF$2,0)/AF$1,"")</f>
        <v>2.9165929855585029</v>
      </c>
      <c r="AG15" s="174">
        <f>IFERROR(VLOOKUP($B15,RD[#All],AG$2,0)/AG$1,"")</f>
        <v>2.9077279542047156</v>
      </c>
      <c r="AH15" s="174">
        <f>IFERROR(VLOOKUP($B15,RD[#All],AH$2,0)/AH$1,"")</f>
        <v>2.8948073522319278</v>
      </c>
      <c r="AI15" s="174">
        <f>IFERROR(VLOOKUP($B15,RD[#All],AI$2,0)/AI$1,"")</f>
        <v>2.9211939484803051</v>
      </c>
      <c r="AJ15" s="174">
        <f>IFERROR(VLOOKUP($B15,RD[#All],AJ$2,0)/AJ$1,"")</f>
        <v>2.920207581465188</v>
      </c>
      <c r="AK15" s="174">
        <f>IFERROR(VLOOKUP($B15,RD[#All],AK$2,0)/AK$1,"")</f>
        <v>2.902927580893683</v>
      </c>
      <c r="AL15" s="174">
        <f>IFERROR(VLOOKUP($B15,RD[#All],AL$2,0)/AL$1,"")</f>
        <v>2.7978056426332287</v>
      </c>
      <c r="AM15" s="174">
        <f>IFERROR(VLOOKUP($B15,RD[#All],AM$2,0)/AM$1,"")</f>
        <v>2.9156542166160722</v>
      </c>
      <c r="AN15" s="174">
        <f>IFERROR(VLOOKUP($B15,RD[#All],AN$2,0)/AN$1,"")</f>
        <v>2.9266930071954067</v>
      </c>
      <c r="AO15" s="174">
        <f>IFERROR(VLOOKUP($B15,RD[#All],AO$2,0)/AO$1,"")</f>
        <v>2.8727779385731687</v>
      </c>
      <c r="AP15" s="174">
        <f>IFERROR(VLOOKUP($B15,RD[#All],AP$2,0)/AP$1,"")</f>
        <v>2.8897399826340977</v>
      </c>
      <c r="AQ15" s="174">
        <f>IFERROR(VLOOKUP($B15,RD[#All],AQ$2,0)/AQ$1,"")</f>
        <v>2.8749012898131086</v>
      </c>
      <c r="AR15" s="174">
        <f>IFERROR(VLOOKUP($B15,RD[#All],AR$2,0)/AR$1,"")</f>
        <v>2.8985497594032541</v>
      </c>
      <c r="AS15" s="174">
        <f>IFERROR(VLOOKUP($B15,RD[#All],AS$2,0)/AS$1,"")</f>
        <v>2.901285341019602</v>
      </c>
      <c r="AT15" s="174">
        <f>IFERROR(VLOOKUP($B15,RD[#All],AT$2,0)/AT$1,"")</f>
        <v>2.9387190714629901</v>
      </c>
      <c r="AU15" s="174">
        <f>IFERROR(VLOOKUP($B15,RD[#All],AU$2,0)/AU$1,"")</f>
        <v>2.943848335069903</v>
      </c>
      <c r="AV15" s="174">
        <f>IFERROR(VLOOKUP($B15,RD[#All],AV$2,0)/AV$1,"")</f>
        <v>2.923786634684848</v>
      </c>
      <c r="AW15" s="174">
        <f>IFERROR(VLOOKUP($B15,RD[#All],AW$2,0)/AW$1,"")</f>
        <v>2.9635810437027481</v>
      </c>
      <c r="AX15" s="174">
        <f>IFERROR(VLOOKUP($B15,RD[#All],AX$2,0)/AX$1,"")</f>
        <v>3.0060246865203766</v>
      </c>
      <c r="AY15" s="174">
        <f>IFERROR(VLOOKUP($B15,RD[#All],AY$2,0)/AY$1,"")</f>
        <v>2.893789449076599</v>
      </c>
      <c r="AZ15" s="174">
        <f>IFERROR(VLOOKUP($B15,RD[#All],AZ$2,0)/AZ$1,"")</f>
        <v>2.8394175346344426</v>
      </c>
      <c r="BA15" s="174">
        <f>IFERROR(VLOOKUP($B15,RD[#All],BA$2,0)/BA$1,"")</f>
        <v>2.9376457796250501</v>
      </c>
      <c r="BB15" s="174">
        <f>IFERROR(VLOOKUP($B15,RD[#All],BB$2,0)/BB$1,"")</f>
        <v>3.0207874786011253</v>
      </c>
      <c r="BC15" s="174">
        <f>IFERROR(VLOOKUP($B15,RD[#All],BC$2,0)/BC$1,"")</f>
        <v>2.983296014330497</v>
      </c>
      <c r="BD15" s="174">
        <f>IFERROR(VLOOKUP($B15,RD[#All],BD$2,0)/BD$1,"")</f>
        <v>3.0405366573504358</v>
      </c>
      <c r="BE15" s="174">
        <f>IFERROR(VLOOKUP($B15,RD[#All],BE$2,0)/BE$1,"")</f>
        <v>3.0267618743503166</v>
      </c>
      <c r="BF15" s="174">
        <f>IFERROR(VLOOKUP($B15,RD[#All],BF$2,0)/BF$1,"")</f>
        <v>2.9537621339016633</v>
      </c>
      <c r="BG15" s="174">
        <f>IFERROR(VLOOKUP($B15,RD[#All],BG$2,0)/BG$1,"")</f>
        <v>3.0836760518823159</v>
      </c>
      <c r="BH15" s="174">
        <f>IFERROR(VLOOKUP($B15,RD[#All],BH$2,0)/BH$1,"")</f>
        <v>2.9264329469960599</v>
      </c>
      <c r="BI15" s="174">
        <f>IFERROR(VLOOKUP($B15,RD[#All],BI$2,0)/BI$1,"")</f>
        <v>3.0627883337242938</v>
      </c>
      <c r="BJ15" s="174">
        <f>IFERROR(VLOOKUP($B15,RD[#All],BJ$2,0)/BJ$1,"")</f>
        <v>3.0710391518697042</v>
      </c>
      <c r="BK15" s="174">
        <f>IFERROR(VLOOKUP($B15,RD[#All],BK$2,0)/BK$1,"")</f>
        <v>3.0789071695089274</v>
      </c>
      <c r="BL15" s="174">
        <f>IFERROR(VLOOKUP($B15,RD[#All],BL$2,0)/BL$1,"")</f>
        <v>3.0581341012137058</v>
      </c>
      <c r="BM15" s="174">
        <f>IFERROR(VLOOKUP($B15,RD[#All],BM$2,0)/BM$1,"")</f>
        <v>2.9648915044733122</v>
      </c>
      <c r="BN15" s="174">
        <f>IFERROR(VLOOKUP($B15,RD[#All],BN$2,0)/BN$1,"")</f>
        <v>2.9847955773135979</v>
      </c>
      <c r="BO15" s="174">
        <f>IFERROR(VLOOKUP($B15,RD[#All],BO$2,0)/BO$1,"")</f>
        <v>2.7964183046091633</v>
      </c>
      <c r="BP15" s="174">
        <f>IFERROR(VLOOKUP($B15,RD[#All],BP$2,0)/BP$1,"")</f>
        <v>3.0506779500163446</v>
      </c>
      <c r="BQ15" s="174">
        <f>IFERROR(VLOOKUP($B15,RD[#All],BQ$2,0)/BQ$1,"")</f>
        <v>2.901153871806843</v>
      </c>
      <c r="BR15" s="174">
        <f>IFERROR(VLOOKUP($B15,RD[#All],BR$2,0)/BR$1,"")</f>
        <v>2.2440630317378116</v>
      </c>
      <c r="BS15" s="174">
        <f>IFERROR(VLOOKUP($B15,RD[#All],BS$2,0)/BS$1,"")</f>
        <v>2.840137213475999</v>
      </c>
      <c r="BT15" s="174">
        <f>IFERROR(VLOOKUP($B15,RD[#All],BT$2,0)/BT$1,"")</f>
        <v>2.7542687453600592</v>
      </c>
      <c r="BU15" s="174">
        <f>IFERROR(VLOOKUP($B15,RD[#All],BU$2,0)/BU$1,"")</f>
        <v>0.99506008995060091</v>
      </c>
      <c r="BV15" s="174">
        <f>IFERROR(VLOOKUP($B15,RD[#All],BV$2,0)/BV$1,"")</f>
        <v>2.2988445378151261</v>
      </c>
      <c r="BW15" s="174">
        <f>IFERROR(VLOOKUP($B15,RD[#All],BW$2,0)/BW$1,"")</f>
        <v>3.0208626094476267</v>
      </c>
      <c r="BX15" s="174">
        <f>IFERROR(VLOOKUP($B15,RD[#All],BX$2,0)/BX$1,"")</f>
        <v>3.0037947533410327</v>
      </c>
      <c r="BY15" s="174">
        <f>AVERAGEIF(Inv_SY_B[[#This Row],[IS1Inv1M1]:[IS4Inv4M2]],"&gt;="&amp;0.1,Inv_SY_B[[#This Row],[IS1Inv1M1]:[IS4Inv4M2]])</f>
        <v>2.9524989212423489</v>
      </c>
      <c r="BZ15" s="174">
        <f>AVERAGEIF(Inv_SY_B[[#This Row],[IS5Inv1M1]:[IS9Inv2M2]],"&gt;="&amp;0.1,Inv_SY_B[[#This Row],[IS5Inv1M1]:[IS9Inv2M2]])</f>
        <v>2.9052143546825087</v>
      </c>
      <c r="CA15" s="174">
        <f>AVERAGEIF(Inv_SY_B[[#This Row],[IS10Inv1M1]:[IS14Inv2M4]],"&gt;="&amp;0.1,Inv_SY_B[[#This Row],[IS10Inv1M1]:[IS14Inv2M4]])</f>
        <v>2.8500553070227066</v>
      </c>
    </row>
    <row r="16" spans="2:79">
      <c r="B16" s="179">
        <f t="shared" si="32"/>
        <v>45840</v>
      </c>
      <c r="C16" s="174">
        <f>IFERROR(VLOOKUP($B16,RD[#All],C$2,0)/C$1,"")</f>
        <v>3.4388791615637362</v>
      </c>
      <c r="D16" s="174">
        <f>IFERROR(VLOOKUP($B16,RD[#All],D$2,0)/D$1,"")</f>
        <v>3.4421993290755841</v>
      </c>
      <c r="E16" s="174">
        <f>IFERROR(VLOOKUP($B16,RD[#All],E$2,0)/E$1,"")</f>
        <v>3.407848948533942</v>
      </c>
      <c r="F16" s="174">
        <f>IFERROR(VLOOKUP($B16,RD[#All],F$2,0)/F$1,"")</f>
        <v>3.3671011384260021</v>
      </c>
      <c r="G16" s="174">
        <f>IFERROR(VLOOKUP($B16,RD[#All],G$2,0)/G$1,"")</f>
        <v>3.3913706592160153</v>
      </c>
      <c r="H16" s="174">
        <f>IFERROR(VLOOKUP($B16,RD[#All],H$2,0)/H$1,"")</f>
        <v>3.3744904407300478</v>
      </c>
      <c r="I16" s="174">
        <f>IFERROR(VLOOKUP($B16,RD[#All],I$2,0)/I$1,"")</f>
        <v>3.4443018430327625</v>
      </c>
      <c r="J16" s="174">
        <f>IFERROR(VLOOKUP($B16,RD[#All],J$2,0)/J$1,"")</f>
        <v>3.4424760097015712</v>
      </c>
      <c r="K16" s="174">
        <f>IFERROR(VLOOKUP($B16,RD[#All],K$2,0)/K$1,"")</f>
        <v>3.3923331755797443</v>
      </c>
      <c r="L16" s="174">
        <f>IFERROR(VLOOKUP($B16,RD[#All],L$2,0)/L$1,"")</f>
        <v>3.446064906057023</v>
      </c>
      <c r="M16" s="174">
        <f>IFERROR(VLOOKUP($B16,RD[#All],M$2,0)/M$1,"")</f>
        <v>3.533140642448926</v>
      </c>
      <c r="N16" s="174">
        <f>IFERROR(VLOOKUP($B16,RD[#All],N$2,0)/N$1,"")</f>
        <v>3.4377750949470562</v>
      </c>
      <c r="O16" s="174">
        <f>IFERROR(VLOOKUP($B16,RD[#All],O$2,0)/O$1,"")</f>
        <v>3.6296692049719028</v>
      </c>
      <c r="P16" s="174">
        <f>IFERROR(VLOOKUP($B16,RD[#All],P$2,0)/P$1,"")</f>
        <v>3.332212717741835</v>
      </c>
      <c r="Q16" s="174">
        <f>IFERROR(VLOOKUP($B16,RD[#All],Q$2,0)/Q$1,"")</f>
        <v>3.4178363764305031</v>
      </c>
      <c r="R16" s="174">
        <f>IFERROR(VLOOKUP($B16,RD[#All],R$2,0)/R$1,"")</f>
        <v>3.4299949148069233</v>
      </c>
      <c r="S16" s="174">
        <f>IFERROR(VLOOKUP($B16,RD[#All],S$2,0)/S$1,"")</f>
        <v>3.4248648845211531</v>
      </c>
      <c r="T16" s="174">
        <f>IFERROR(VLOOKUP($B16,RD[#All],T$2,0)/T$1,"")</f>
        <v>3.4321215581008371</v>
      </c>
      <c r="U16" s="174">
        <f>IFERROR(VLOOKUP($B16,RD[#All],U$2,0)/U$1,"")</f>
        <v>3.4347347733278162</v>
      </c>
      <c r="V16" s="174">
        <f>IFERROR(VLOOKUP($B16,RD[#All],V$2,0)/V$1,"")</f>
        <v>3.457121066478932</v>
      </c>
      <c r="W16" s="174">
        <f>IFERROR(VLOOKUP($B16,RD[#All],W$2,0)/W$1,"")</f>
        <v>3.3657812242204255</v>
      </c>
      <c r="X16" s="174">
        <f>IFERROR(VLOOKUP($B16,RD[#All],X$2,0)/X$1,"")</f>
        <v>3.3444444067670163</v>
      </c>
      <c r="Y16" s="174">
        <f>IFERROR(VLOOKUP($B16,RD[#All],Y$2,0)/Y$1,"")</f>
        <v>3.4456624898559891</v>
      </c>
      <c r="Z16" s="174">
        <f>IFERROR(VLOOKUP($B16,RD[#All],Z$2,0)/Z$1,"")</f>
        <v>3.4713370078457424</v>
      </c>
      <c r="AA16" s="174">
        <f>IFERROR(VLOOKUP($B16,RD[#All],AA$2,0)/AA$1,"")</f>
        <v>3.4247617302052782</v>
      </c>
      <c r="AB16" s="174">
        <f>IFERROR(VLOOKUP($B16,RD[#All],AB$2,0)/AB$1,"")</f>
        <v>3.4220616964245147</v>
      </c>
      <c r="AC16" s="174">
        <f>IFERROR(VLOOKUP($B16,RD[#All],AC$2,0)/AC$1,"")</f>
        <v>3.4144854178415378</v>
      </c>
      <c r="AD16" s="174">
        <f>IFERROR(VLOOKUP($B16,RD[#All],AD$2,0)/AD$1,"")</f>
        <v>3.3912866633524645</v>
      </c>
      <c r="AE16" s="174">
        <f>IFERROR(VLOOKUP($B16,RD[#All],AE$2,0)/AE$1,"")</f>
        <v>3.5699792612521719</v>
      </c>
      <c r="AF16" s="174">
        <f>IFERROR(VLOOKUP($B16,RD[#All],AF$2,0)/AF$1,"")</f>
        <v>3.4948959086890121</v>
      </c>
      <c r="AG16" s="174">
        <f>IFERROR(VLOOKUP($B16,RD[#All],AG$2,0)/AG$1,"")</f>
        <v>3.4627777020580619</v>
      </c>
      <c r="AH16" s="174">
        <f>IFERROR(VLOOKUP($B16,RD[#All],AH$2,0)/AH$1,"")</f>
        <v>3.4351320936712932</v>
      </c>
      <c r="AI16" s="174">
        <f>IFERROR(VLOOKUP($B16,RD[#All],AI$2,0)/AI$1,"")</f>
        <v>3.1541501976284585</v>
      </c>
      <c r="AJ16" s="174">
        <f>IFERROR(VLOOKUP($B16,RD[#All],AJ$2,0)/AJ$1,"")</f>
        <v>3.1084534127130476</v>
      </c>
      <c r="AK16" s="174">
        <f>IFERROR(VLOOKUP($B16,RD[#All],AK$2,0)/AK$1,"")</f>
        <v>3.128048456511344</v>
      </c>
      <c r="AL16" s="174">
        <f>IFERROR(VLOOKUP($B16,RD[#All],AL$2,0)/AL$1,"")</f>
        <v>2.3820668035888013</v>
      </c>
      <c r="AM16" s="174">
        <f>IFERROR(VLOOKUP($B16,RD[#All],AM$2,0)/AM$1,"")</f>
        <v>3.5102680945297409</v>
      </c>
      <c r="AN16" s="174">
        <f>IFERROR(VLOOKUP($B16,RD[#All],AN$2,0)/AN$1,"")</f>
        <v>3.5302590750301208</v>
      </c>
      <c r="AO16" s="174">
        <f>IFERROR(VLOOKUP($B16,RD[#All],AO$2,0)/AO$1,"")</f>
        <v>2.607577725874521</v>
      </c>
      <c r="AP16" s="174">
        <f>IFERROR(VLOOKUP($B16,RD[#All],AP$2,0)/AP$1,"")</f>
        <v>2.6268282996897021</v>
      </c>
      <c r="AQ16" s="174">
        <f>IFERROR(VLOOKUP($B16,RD[#All],AQ$2,0)/AQ$1,"")</f>
        <v>2.5929849960515923</v>
      </c>
      <c r="AR16" s="174">
        <f>IFERROR(VLOOKUP($B16,RD[#All],AR$2,0)/AR$1,"")</f>
        <v>2.623220499841822</v>
      </c>
      <c r="AS16" s="174">
        <f>IFERROR(VLOOKUP($B16,RD[#All],AS$2,0)/AS$1,"")</f>
        <v>3.4863322670978474</v>
      </c>
      <c r="AT16" s="174">
        <f>IFERROR(VLOOKUP($B16,RD[#All],AT$2,0)/AT$1,"")</f>
        <v>3.4808824453709324</v>
      </c>
      <c r="AU16" s="174">
        <f>IFERROR(VLOOKUP($B16,RD[#All],AU$2,0)/AU$1,"")</f>
        <v>3.4872833762396636</v>
      </c>
      <c r="AV16" s="174">
        <f>IFERROR(VLOOKUP($B16,RD[#All],AV$2,0)/AV$1,"")</f>
        <v>3.4605995646569427</v>
      </c>
      <c r="AW16" s="174">
        <f>IFERROR(VLOOKUP($B16,RD[#All],AW$2,0)/AW$1,"")</f>
        <v>3.4432048681541585</v>
      </c>
      <c r="AX16" s="174">
        <f>IFERROR(VLOOKUP($B16,RD[#All],AX$2,0)/AX$1,"")</f>
        <v>3.4735991379310347</v>
      </c>
      <c r="AY16" s="174">
        <f>IFERROR(VLOOKUP($B16,RD[#All],AY$2,0)/AY$1,"")</f>
        <v>3.3858541780305984</v>
      </c>
      <c r="AZ16" s="174">
        <f>IFERROR(VLOOKUP($B16,RD[#All],AZ$2,0)/AZ$1,"")</f>
        <v>3.5340782687834968</v>
      </c>
      <c r="BA16" s="174">
        <f>IFERROR(VLOOKUP($B16,RD[#All],BA$2,0)/BA$1,"")</f>
        <v>3.5272092737763279</v>
      </c>
      <c r="BB16" s="174">
        <f>IFERROR(VLOOKUP($B16,RD[#All],BB$2,0)/BB$1,"")</f>
        <v>3.6532604104137487</v>
      </c>
      <c r="BC16" s="174">
        <f>IFERROR(VLOOKUP($B16,RD[#All],BC$2,0)/BC$1,"")</f>
        <v>3.5962830273175102</v>
      </c>
      <c r="BD16" s="174">
        <f>IFERROR(VLOOKUP($B16,RD[#All],BD$2,0)/BD$1,"")</f>
        <v>3.6853636734185025</v>
      </c>
      <c r="BE16" s="174">
        <f>IFERROR(VLOOKUP($B16,RD[#All],BE$2,0)/BE$1,"")</f>
        <v>3.7732951959072478</v>
      </c>
      <c r="BF16" s="174">
        <f>IFERROR(VLOOKUP($B16,RD[#All],BF$2,0)/BF$1,"")</f>
        <v>3.7083534524384349</v>
      </c>
      <c r="BG16" s="174">
        <f>IFERROR(VLOOKUP($B16,RD[#All],BG$2,0)/BG$1,"")</f>
        <v>3.8940496390670387</v>
      </c>
      <c r="BH16" s="174">
        <f>IFERROR(VLOOKUP($B16,RD[#All],BH$2,0)/BH$1,"")</f>
        <v>3.8620545857179835</v>
      </c>
      <c r="BI16" s="174">
        <f>IFERROR(VLOOKUP($B16,RD[#All],BI$2,0)/BI$1,"")</f>
        <v>3.8115437745979617</v>
      </c>
      <c r="BJ16" s="174">
        <f>IFERROR(VLOOKUP($B16,RD[#All],BJ$2,0)/BJ$1,"")</f>
        <v>3.8842884412035317</v>
      </c>
      <c r="BK16" s="174">
        <f>IFERROR(VLOOKUP($B16,RD[#All],BK$2,0)/BK$1,"")</f>
        <v>3.8738011168707587</v>
      </c>
      <c r="BL16" s="174">
        <f>IFERROR(VLOOKUP($B16,RD[#All],BL$2,0)/BL$1,"")</f>
        <v>3.8302453933492466</v>
      </c>
      <c r="BM16" s="174">
        <f>IFERROR(VLOOKUP($B16,RD[#All],BM$2,0)/BM$1,"")</f>
        <v>3.7505311022518732</v>
      </c>
      <c r="BN16" s="174">
        <f>IFERROR(VLOOKUP($B16,RD[#All],BN$2,0)/BN$1,"")</f>
        <v>3.7817765530889198</v>
      </c>
      <c r="BO16" s="174">
        <f>IFERROR(VLOOKUP($B16,RD[#All],BO$2,0)/BO$1,"")</f>
        <v>3.5485193183224899</v>
      </c>
      <c r="BP16" s="174">
        <f>IFERROR(VLOOKUP($B16,RD[#All],BP$2,0)/BP$1,"")</f>
        <v>3.8380445647172956</v>
      </c>
      <c r="BQ16" s="174">
        <f>IFERROR(VLOOKUP($B16,RD[#All],BQ$2,0)/BQ$1,"")</f>
        <v>3.6529713866471019</v>
      </c>
      <c r="BR16" s="174">
        <f>IFERROR(VLOOKUP($B16,RD[#All],BR$2,0)/BR$1,"")</f>
        <v>3.0869275726862471</v>
      </c>
      <c r="BS16" s="174">
        <f>IFERROR(VLOOKUP($B16,RD[#All],BS$2,0)/BS$1,"")</f>
        <v>3.6320679706490377</v>
      </c>
      <c r="BT16" s="174">
        <f>IFERROR(VLOOKUP($B16,RD[#All],BT$2,0)/BT$1,"")</f>
        <v>3.6355537558210163</v>
      </c>
      <c r="BU16" s="174">
        <f>IFERROR(VLOOKUP($B16,RD[#All],BU$2,0)/BU$1,"")</f>
        <v>1.7212268672122688</v>
      </c>
      <c r="BV16" s="174">
        <f>IFERROR(VLOOKUP($B16,RD[#All],BV$2,0)/BV$1,"")</f>
        <v>3.7447478991596639</v>
      </c>
      <c r="BW16" s="174">
        <f>IFERROR(VLOOKUP($B16,RD[#All],BW$2,0)/BW$1,"")</f>
        <v>3.816884661117717</v>
      </c>
      <c r="BX16" s="174">
        <f>IFERROR(VLOOKUP($B16,RD[#All],BX$2,0)/BX$1,"")</f>
        <v>3.7865038772479789</v>
      </c>
      <c r="BY16" s="174">
        <f>AVERAGEIF(Inv_SY_B[[#This Row],[IS1Inv1M1]:[IS4Inv4M2]],"&gt;="&amp;0.1,Inv_SY_B[[#This Row],[IS1Inv1M1]:[IS4Inv4M2]])</f>
        <v>3.4270127672216177</v>
      </c>
      <c r="BZ16" s="174">
        <f>AVERAGEIF(Inv_SY_B[[#This Row],[IS5Inv1M1]:[IS9Inv2M2]],"&gt;="&amp;0.1,Inv_SY_B[[#This Row],[IS5Inv1M1]:[IS9Inv2M2]])</f>
        <v>3.1745411211386156</v>
      </c>
      <c r="CA16" s="174">
        <f>AVERAGEIF(Inv_SY_B[[#This Row],[IS10Inv1M1]:[IS14Inv2M4]],"&gt;="&amp;0.1,Inv_SY_B[[#This Row],[IS10Inv1M1]:[IS14Inv2M4]])</f>
        <v>3.6047228559249711</v>
      </c>
    </row>
    <row r="17" spans="2:79">
      <c r="B17" s="179">
        <f t="shared" si="32"/>
        <v>45841</v>
      </c>
      <c r="C17" s="174">
        <f>IFERROR(VLOOKUP($B17,RD[#All],C$2,0)/C$1,"")</f>
        <v>3.3999768214720869</v>
      </c>
      <c r="D17" s="174">
        <f>IFERROR(VLOOKUP($B17,RD[#All],D$2,0)/D$1,"")</f>
        <v>3.4088097199470027</v>
      </c>
      <c r="E17" s="174">
        <f>IFERROR(VLOOKUP($B17,RD[#All],E$2,0)/E$1,"")</f>
        <v>3.3706188914234336</v>
      </c>
      <c r="F17" s="174">
        <f>IFERROR(VLOOKUP($B17,RD[#All],F$2,0)/F$1,"")</f>
        <v>3.3195842270252434</v>
      </c>
      <c r="G17" s="174">
        <f>IFERROR(VLOOKUP($B17,RD[#All],G$2,0)/G$1,"")</f>
        <v>3.3423475959474267</v>
      </c>
      <c r="H17" s="174">
        <f>IFERROR(VLOOKUP($B17,RD[#All],H$2,0)/H$1,"")</f>
        <v>3.3283358320839578</v>
      </c>
      <c r="I17" s="174">
        <f>IFERROR(VLOOKUP($B17,RD[#All],I$2,0)/I$1,"")</f>
        <v>3.4000664508101135</v>
      </c>
      <c r="J17" s="174">
        <f>IFERROR(VLOOKUP($B17,RD[#All],J$2,0)/J$1,"")</f>
        <v>3.3694798879866896</v>
      </c>
      <c r="K17" s="174">
        <f>IFERROR(VLOOKUP($B17,RD[#All],K$2,0)/K$1,"")</f>
        <v>3.3841299889572487</v>
      </c>
      <c r="L17" s="174">
        <f>IFERROR(VLOOKUP($B17,RD[#All],L$2,0)/L$1,"")</f>
        <v>3.4229404808829322</v>
      </c>
      <c r="M17" s="174">
        <f>IFERROR(VLOOKUP($B17,RD[#All],M$2,0)/M$1,"")</f>
        <v>3.5246666228732844</v>
      </c>
      <c r="N17" s="174">
        <f>IFERROR(VLOOKUP($B17,RD[#All],N$2,0)/N$1,"")</f>
        <v>3.43016675469705</v>
      </c>
      <c r="O17" s="174">
        <f>IFERROR(VLOOKUP($B17,RD[#All],O$2,0)/O$1,"")</f>
        <v>3.6135124522860838</v>
      </c>
      <c r="P17" s="174">
        <f>IFERROR(VLOOKUP($B17,RD[#All],P$2,0)/P$1,"")</f>
        <v>3.3518234905930546</v>
      </c>
      <c r="Q17" s="174">
        <f>IFERROR(VLOOKUP($B17,RD[#All],Q$2,0)/Q$1,"")</f>
        <v>3.4181450069750507</v>
      </c>
      <c r="R17" s="174">
        <f>IFERROR(VLOOKUP($B17,RD[#All],R$2,0)/R$1,"")</f>
        <v>3.4257465256544766</v>
      </c>
      <c r="S17" s="174">
        <f>IFERROR(VLOOKUP($B17,RD[#All],S$2,0)/S$1,"")</f>
        <v>3.4190011681977484</v>
      </c>
      <c r="T17" s="174">
        <f>IFERROR(VLOOKUP($B17,RD[#All],T$2,0)/T$1,"")</f>
        <v>3.4424052503512246</v>
      </c>
      <c r="U17" s="174">
        <f>IFERROR(VLOOKUP($B17,RD[#All],U$2,0)/U$1,"")</f>
        <v>3.4310673951270885</v>
      </c>
      <c r="V17" s="174">
        <f>IFERROR(VLOOKUP($B17,RD[#All],V$2,0)/V$1,"")</f>
        <v>3.4584749242967843</v>
      </c>
      <c r="W17" s="174">
        <f>IFERROR(VLOOKUP($B17,RD[#All],W$2,0)/W$1,"")</f>
        <v>3.4550816696914701</v>
      </c>
      <c r="X17" s="174">
        <f>IFERROR(VLOOKUP($B17,RD[#All],X$2,0)/X$1,"")</f>
        <v>3.4414261057100513</v>
      </c>
      <c r="Y17" s="174">
        <f>IFERROR(VLOOKUP($B17,RD[#All],Y$2,0)/Y$1,"")</f>
        <v>3.5552865768950381</v>
      </c>
      <c r="Z17" s="174">
        <f>IFERROR(VLOOKUP($B17,RD[#All],Z$2,0)/Z$1,"")</f>
        <v>3.5533402754088943</v>
      </c>
      <c r="AA17" s="174">
        <f>IFERROR(VLOOKUP($B17,RD[#All],AA$2,0)/AA$1,"")</f>
        <v>3.4953262463343107</v>
      </c>
      <c r="AB17" s="174">
        <f>IFERROR(VLOOKUP($B17,RD[#All],AB$2,0)/AB$1,"")</f>
        <v>3.4738994139293982</v>
      </c>
      <c r="AC17" s="174">
        <f>IFERROR(VLOOKUP($B17,RD[#All],AC$2,0)/AC$1,"")</f>
        <v>3.4887602070524371</v>
      </c>
      <c r="AD17" s="174">
        <f>IFERROR(VLOOKUP($B17,RD[#All],AD$2,0)/AD$1,"")</f>
        <v>3.4578569168888684</v>
      </c>
      <c r="AE17" s="174">
        <f>IFERROR(VLOOKUP($B17,RD[#All],AE$2,0)/AE$1,"")</f>
        <v>3.7621209573454406</v>
      </c>
      <c r="AF17" s="174">
        <f>IFERROR(VLOOKUP($B17,RD[#All],AF$2,0)/AF$1,"")</f>
        <v>3.69798783591887</v>
      </c>
      <c r="AG17" s="174">
        <f>IFERROR(VLOOKUP($B17,RD[#All],AG$2,0)/AG$1,"")</f>
        <v>3.6724001635545864</v>
      </c>
      <c r="AH17" s="174">
        <f>IFERROR(VLOOKUP($B17,RD[#All],AH$2,0)/AH$1,"")</f>
        <v>3.6339424468142116</v>
      </c>
      <c r="AI17" s="174">
        <f>IFERROR(VLOOKUP($B17,RD[#All],AI$2,0)/AI$1,"")</f>
        <v>3.708763799918223</v>
      </c>
      <c r="AJ17" s="174">
        <f>IFERROR(VLOOKUP($B17,RD[#All],AJ$2,0)/AJ$1,"")</f>
        <v>3.6868891757329889</v>
      </c>
      <c r="AK17" s="174">
        <f>IFERROR(VLOOKUP($B17,RD[#All],AK$2,0)/AK$1,"")</f>
        <v>3.6873173582700174</v>
      </c>
      <c r="AL17" s="174">
        <f>IFERROR(VLOOKUP($B17,RD[#All],AL$2,0)/AL$1,"")</f>
        <v>3.6856556047994808</v>
      </c>
      <c r="AM17" s="174">
        <f>IFERROR(VLOOKUP($B17,RD[#All],AM$2,0)/AM$1,"")</f>
        <v>3.6765230502063044</v>
      </c>
      <c r="AN17" s="174">
        <f>IFERROR(VLOOKUP($B17,RD[#All],AN$2,0)/AN$1,"")</f>
        <v>3.7142164814528127</v>
      </c>
      <c r="AO17" s="174">
        <f>IFERROR(VLOOKUP($B17,RD[#All],AO$2,0)/AO$1,"")</f>
        <v>3.6850040722367683</v>
      </c>
      <c r="AP17" s="174">
        <f>IFERROR(VLOOKUP($B17,RD[#All],AP$2,0)/AP$1,"")</f>
        <v>3.67571533382245</v>
      </c>
      <c r="AQ17" s="174">
        <f>IFERROR(VLOOKUP($B17,RD[#All],AQ$2,0)/AQ$1,"")</f>
        <v>3.6340484337983678</v>
      </c>
      <c r="AR17" s="174">
        <f>IFERROR(VLOOKUP($B17,RD[#All],AR$2,0)/AR$1,"")</f>
        <v>3.6542066967481976</v>
      </c>
      <c r="AS17" s="174">
        <f>IFERROR(VLOOKUP($B17,RD[#All],AS$2,0)/AS$1,"")</f>
        <v>3.6860815260056001</v>
      </c>
      <c r="AT17" s="174">
        <f>IFERROR(VLOOKUP($B17,RD[#All],AT$2,0)/AT$1,"")</f>
        <v>3.7150698707339047</v>
      </c>
      <c r="AU17" s="174">
        <f>IFERROR(VLOOKUP($B17,RD[#All],AU$2,0)/AU$1,"")</f>
        <v>3.7638768360958816</v>
      </c>
      <c r="AV17" s="174">
        <f>IFERROR(VLOOKUP($B17,RD[#All],AV$2,0)/AV$1,"")</f>
        <v>3.7037211915745529</v>
      </c>
      <c r="AW17" s="174">
        <f>IFERROR(VLOOKUP($B17,RD[#All],AW$2,0)/AW$1,"")</f>
        <v>3.5029503964595246</v>
      </c>
      <c r="AX17" s="174">
        <f>IFERROR(VLOOKUP($B17,RD[#All],AX$2,0)/AX$1,"")</f>
        <v>3.5676430250783699</v>
      </c>
      <c r="AY17" s="174">
        <f>IFERROR(VLOOKUP($B17,RD[#All],AY$2,0)/AY$1,"")</f>
        <v>3.5308969064131537</v>
      </c>
      <c r="AZ17" s="174">
        <f>IFERROR(VLOOKUP($B17,RD[#All],AZ$2,0)/AZ$1,"")</f>
        <v>3.2765699261806045</v>
      </c>
      <c r="BA17" s="174">
        <f>IFERROR(VLOOKUP($B17,RD[#All],BA$2,0)/BA$1,"")</f>
        <v>3.5441328633310536</v>
      </c>
      <c r="BB17" s="174">
        <f>IFERROR(VLOOKUP($B17,RD[#All],BB$2,0)/BB$1,"")</f>
        <v>3.6547722270392851</v>
      </c>
      <c r="BC17" s="174">
        <f>IFERROR(VLOOKUP($B17,RD[#All],BC$2,0)/BC$1,"")</f>
        <v>3.6271831616659203</v>
      </c>
      <c r="BD17" s="174">
        <f>IFERROR(VLOOKUP($B17,RD[#All],BD$2,0)/BD$1,"")</f>
        <v>3.6955758659806666</v>
      </c>
      <c r="BE17" s="174">
        <f>IFERROR(VLOOKUP($B17,RD[#All],BE$2,0)/BE$1,"")</f>
        <v>3.7128958399858685</v>
      </c>
      <c r="BF17" s="174">
        <f>IFERROR(VLOOKUP($B17,RD[#All],BF$2,0)/BF$1,"")</f>
        <v>3.6375897034582656</v>
      </c>
      <c r="BG17" s="174">
        <f>IFERROR(VLOOKUP($B17,RD[#All],BG$2,0)/BG$1,"")</f>
        <v>3.8066204595783844</v>
      </c>
      <c r="BH17" s="174">
        <f>IFERROR(VLOOKUP($B17,RD[#All],BH$2,0)/BH$1,"")</f>
        <v>3.7749849012107792</v>
      </c>
      <c r="BI17" s="174">
        <f>IFERROR(VLOOKUP($B17,RD[#All],BI$2,0)/BI$1,"")</f>
        <v>3.7660619803476942</v>
      </c>
      <c r="BJ17" s="174">
        <f>IFERROR(VLOOKUP($B17,RD[#All],BJ$2,0)/BJ$1,"")</f>
        <v>3.8194701932188027</v>
      </c>
      <c r="BK17" s="174">
        <f>IFERROR(VLOOKUP($B17,RD[#All],BK$2,0)/BK$1,"")</f>
        <v>3.8029324117897478</v>
      </c>
      <c r="BL17" s="174">
        <f>IFERROR(VLOOKUP($B17,RD[#All],BL$2,0)/BL$1,"")</f>
        <v>3.7636873413405074</v>
      </c>
      <c r="BM17" s="174">
        <f>IFERROR(VLOOKUP($B17,RD[#All],BM$2,0)/BM$1,"")</f>
        <v>3.6751974495038522</v>
      </c>
      <c r="BN17" s="174">
        <f>IFERROR(VLOOKUP($B17,RD[#All],BN$2,0)/BN$1,"")</f>
        <v>3.7501941540921933</v>
      </c>
      <c r="BO17" s="174">
        <f>IFERROR(VLOOKUP($B17,RD[#All],BO$2,0)/BO$1,"")</f>
        <v>3.4700081152084508</v>
      </c>
      <c r="BP17" s="174">
        <f>IFERROR(VLOOKUP($B17,RD[#All],BP$2,0)/BP$1,"")</f>
        <v>3.7663951462652672</v>
      </c>
      <c r="BQ17" s="174">
        <f>IFERROR(VLOOKUP($B17,RD[#All],BQ$2,0)/BQ$1,"")</f>
        <v>3.6891215900753687</v>
      </c>
      <c r="BR17" s="174">
        <f>IFERROR(VLOOKUP($B17,RD[#All],BR$2,0)/BR$1,"")</f>
        <v>3.7977361840645107</v>
      </c>
      <c r="BS17" s="174">
        <f>IFERROR(VLOOKUP($B17,RD[#All],BS$2,0)/BS$1,"")</f>
        <v>3.660616249043974</v>
      </c>
      <c r="BT17" s="174">
        <f>IFERROR(VLOOKUP($B17,RD[#All],BT$2,0)/BT$1,"")</f>
        <v>3.6751029223189575</v>
      </c>
      <c r="BU17" s="174">
        <f>IFERROR(VLOOKUP($B17,RD[#All],BU$2,0)/BU$1,"")</f>
        <v>1.8139792081397923</v>
      </c>
      <c r="BV17" s="174">
        <f>IFERROR(VLOOKUP($B17,RD[#All],BV$2,0)/BV$1,"")</f>
        <v>3.7956932773109244</v>
      </c>
      <c r="BW17" s="174">
        <f>IFERROR(VLOOKUP($B17,RD[#All],BW$2,0)/BW$1,"")</f>
        <v>3.7884913342701689</v>
      </c>
      <c r="BX17" s="174">
        <f>IFERROR(VLOOKUP($B17,RD[#All],BX$2,0)/BX$1,"")</f>
        <v>3.7342352747071441</v>
      </c>
      <c r="BY17" s="174">
        <f>AVERAGEIF(Inv_SY_B[[#This Row],[IS1Inv1M1]:[IS4Inv4M2]],"&gt;="&amp;0.1,Inv_SY_B[[#This Row],[IS1Inv1M1]:[IS4Inv4M2]])</f>
        <v>3.4350813178392303</v>
      </c>
      <c r="BZ17" s="174">
        <f>AVERAGEIF(Inv_SY_B[[#This Row],[IS5Inv1M1]:[IS9Inv2M2]],"&gt;="&amp;0.1,Inv_SY_B[[#This Row],[IS5Inv1M1]:[IS9Inv2M2]])</f>
        <v>3.6913078241682595</v>
      </c>
      <c r="CA17" s="174">
        <f>AVERAGEIF(Inv_SY_B[[#This Row],[IS10Inv1M1]:[IS14Inv2M4]],"&gt;="&amp;0.1,Inv_SY_B[[#This Row],[IS10Inv1M1]:[IS14Inv2M4]])</f>
        <v>3.6107406467171157</v>
      </c>
    </row>
    <row r="18" spans="2:79">
      <c r="B18" s="179">
        <f t="shared" si="32"/>
        <v>45842</v>
      </c>
      <c r="C18" s="174">
        <f>IFERROR(VLOOKUP($B18,RD[#All],C$2,0)/C$1,"")</f>
        <v>2.8401840500405626</v>
      </c>
      <c r="D18" s="174">
        <f>IFERROR(VLOOKUP($B18,RD[#All],D$2,0)/D$1,"")</f>
        <v>2.8158779180670361</v>
      </c>
      <c r="E18" s="174">
        <f>IFERROR(VLOOKUP($B18,RD[#All],E$2,0)/E$1,"")</f>
        <v>2.7897234386186915</v>
      </c>
      <c r="F18" s="174">
        <f>IFERROR(VLOOKUP($B18,RD[#All],F$2,0)/F$1,"")</f>
        <v>2.8115492492987952</v>
      </c>
      <c r="G18" s="174">
        <f>IFERROR(VLOOKUP($B18,RD[#All],G$2,0)/G$1,"")</f>
        <v>2.8428890925286288</v>
      </c>
      <c r="H18" s="174">
        <f>IFERROR(VLOOKUP($B18,RD[#All],H$2,0)/H$1,"")</f>
        <v>2.8294943437372222</v>
      </c>
      <c r="I18" s="174">
        <f>IFERROR(VLOOKUP($B18,RD[#All],I$2,0)/I$1,"")</f>
        <v>2.871196179729897</v>
      </c>
      <c r="J18" s="174">
        <f>IFERROR(VLOOKUP($B18,RD[#All],J$2,0)/J$1,"")</f>
        <v>2.8600888139008984</v>
      </c>
      <c r="K18" s="174">
        <f>IFERROR(VLOOKUP($B18,RD[#All],K$2,0)/K$1,"")</f>
        <v>2.8173528947783564</v>
      </c>
      <c r="L18" s="174">
        <f>IFERROR(VLOOKUP($B18,RD[#All],L$2,0)/L$1,"")</f>
        <v>2.8789252397845226</v>
      </c>
      <c r="M18" s="174">
        <f>IFERROR(VLOOKUP($B18,RD[#All],M$2,0)/M$1,"")</f>
        <v>2.9362149379228799</v>
      </c>
      <c r="N18" s="174">
        <f>IFERROR(VLOOKUP($B18,RD[#All],N$2,0)/N$1,"")</f>
        <v>2.8440101612213589</v>
      </c>
      <c r="O18" s="174">
        <f>IFERROR(VLOOKUP($B18,RD[#All],O$2,0)/O$1,"")</f>
        <v>2.9858451397784402</v>
      </c>
      <c r="P18" s="174">
        <f>IFERROR(VLOOKUP($B18,RD[#All],P$2,0)/P$1,"")</f>
        <v>2.7618816380909692</v>
      </c>
      <c r="Q18" s="174">
        <f>IFERROR(VLOOKUP($B18,RD[#All],Q$2,0)/Q$1,"")</f>
        <v>2.8331666728392775</v>
      </c>
      <c r="R18" s="174">
        <f>IFERROR(VLOOKUP($B18,RD[#All],R$2,0)/R$1,"")</f>
        <v>2.8186774635829361</v>
      </c>
      <c r="S18" s="174">
        <f>IFERROR(VLOOKUP($B18,RD[#All],S$2,0)/S$1,"")</f>
        <v>2.80817465692714</v>
      </c>
      <c r="T18" s="174">
        <f>IFERROR(VLOOKUP($B18,RD[#All],T$2,0)/T$1,"")</f>
        <v>2.8345337722121684</v>
      </c>
      <c r="U18" s="174">
        <f>IFERROR(VLOOKUP($B18,RD[#All],U$2,0)/U$1,"")</f>
        <v>2.8249626209529541</v>
      </c>
      <c r="V18" s="174">
        <f>IFERROR(VLOOKUP($B18,RD[#All],V$2,0)/V$1,"")</f>
        <v>2.8382275293448682</v>
      </c>
      <c r="W18" s="174">
        <f>IFERROR(VLOOKUP($B18,RD[#All],W$2,0)/W$1,"")</f>
        <v>2.7774294670846396</v>
      </c>
      <c r="X18" s="174">
        <f>IFERROR(VLOOKUP($B18,RD[#All],X$2,0)/X$1,"")</f>
        <v>2.7673693883710127</v>
      </c>
      <c r="Y18" s="174">
        <f>IFERROR(VLOOKUP($B18,RD[#All],Y$2,0)/Y$1,"")</f>
        <v>2.8658147990225071</v>
      </c>
      <c r="Z18" s="174">
        <f>IFERROR(VLOOKUP($B18,RD[#All],Z$2,0)/Z$1,"")</f>
        <v>2.8724034542810464</v>
      </c>
      <c r="AA18" s="174">
        <f>IFERROR(VLOOKUP($B18,RD[#All],AA$2,0)/AA$1,"")</f>
        <v>2.8380681818181817</v>
      </c>
      <c r="AB18" s="174">
        <f>IFERROR(VLOOKUP($B18,RD[#All],AB$2,0)/AB$1,"")</f>
        <v>2.8249511607832445</v>
      </c>
      <c r="AC18" s="174">
        <f>IFERROR(VLOOKUP($B18,RD[#All],AC$2,0)/AC$1,"")</f>
        <v>2.8376178883035545</v>
      </c>
      <c r="AD18" s="174">
        <f>IFERROR(VLOOKUP($B18,RD[#All],AD$2,0)/AD$1,"")</f>
        <v>2.8162425995390246</v>
      </c>
      <c r="AE18" s="174">
        <f>IFERROR(VLOOKUP($B18,RD[#All],AE$2,0)/AE$1,"")</f>
        <v>2.9338602096295054</v>
      </c>
      <c r="AF18" s="174">
        <f>IFERROR(VLOOKUP($B18,RD[#All],AF$2,0)/AF$1,"")</f>
        <v>2.9053398708571123</v>
      </c>
      <c r="AG18" s="174">
        <f>IFERROR(VLOOKUP($B18,RD[#All],AG$2,0)/AG$1,"")</f>
        <v>2.9050020444323295</v>
      </c>
      <c r="AH18" s="174">
        <f>IFERROR(VLOOKUP($B18,RD[#All],AH$2,0)/AH$1,"")</f>
        <v>2.8793205080113609</v>
      </c>
      <c r="AI18" s="174">
        <f>IFERROR(VLOOKUP($B18,RD[#All],AI$2,0)/AI$1,"")</f>
        <v>2.9082186179637453</v>
      </c>
      <c r="AJ18" s="174">
        <f>IFERROR(VLOOKUP($B18,RD[#All],AJ$2,0)/AJ$1,"")</f>
        <v>2.9108295355759859</v>
      </c>
      <c r="AK18" s="174">
        <f>IFERROR(VLOOKUP($B18,RD[#All],AK$2,0)/AK$1,"")</f>
        <v>2.8919823601296426</v>
      </c>
      <c r="AL18" s="174">
        <f>IFERROR(VLOOKUP($B18,RD[#All],AL$2,0)/AL$1,"")</f>
        <v>2.8986055561560913</v>
      </c>
      <c r="AM18" s="174">
        <f>IFERROR(VLOOKUP($B18,RD[#All],AM$2,0)/AM$1,"")</f>
        <v>2.8946535906358748</v>
      </c>
      <c r="AN18" s="174">
        <f>IFERROR(VLOOKUP($B18,RD[#All],AN$2,0)/AN$1,"")</f>
        <v>2.9123560413820027</v>
      </c>
      <c r="AO18" s="174">
        <f>IFERROR(VLOOKUP($B18,RD[#All],AO$2,0)/AO$1,"")</f>
        <v>2.9298565630321671</v>
      </c>
      <c r="AP18" s="174">
        <f>IFERROR(VLOOKUP($B18,RD[#All],AP$2,0)/AP$1,"")</f>
        <v>2.9034711611596116</v>
      </c>
      <c r="AQ18" s="174">
        <f>IFERROR(VLOOKUP($B18,RD[#All],AQ$2,0)/AQ$1,"")</f>
        <v>2.9047775730455383</v>
      </c>
      <c r="AR18" s="174">
        <f>IFERROR(VLOOKUP($B18,RD[#All],AR$2,0)/AR$1,"")</f>
        <v>2.8871609583909157</v>
      </c>
      <c r="AS18" s="174">
        <f>IFERROR(VLOOKUP($B18,RD[#All],AS$2,0)/AS$1,"")</f>
        <v>2.8835225608398654</v>
      </c>
      <c r="AT18" s="174">
        <f>IFERROR(VLOOKUP($B18,RD[#All],AT$2,0)/AT$1,"")</f>
        <v>2.9236764366973245</v>
      </c>
      <c r="AU18" s="174">
        <f>IFERROR(VLOOKUP($B18,RD[#All],AU$2,0)/AU$1,"")</f>
        <v>2.9185398883758182</v>
      </c>
      <c r="AV18" s="174">
        <f>IFERROR(VLOOKUP($B18,RD[#All],AV$2,0)/AV$1,"")</f>
        <v>2.900461312545151</v>
      </c>
      <c r="AW18" s="174">
        <f>IFERROR(VLOOKUP($B18,RD[#All],AW$2,0)/AW$1,"")</f>
        <v>2.9026369168357</v>
      </c>
      <c r="AX18" s="174">
        <f>IFERROR(VLOOKUP($B18,RD[#All],AX$2,0)/AX$1,"")</f>
        <v>2.9500881661442007</v>
      </c>
      <c r="AY18" s="174">
        <f>IFERROR(VLOOKUP($B18,RD[#All],AY$2,0)/AY$1,"")</f>
        <v>2.7838645159614535</v>
      </c>
      <c r="AZ18" s="174">
        <f>IFERROR(VLOOKUP($B18,RD[#All],AZ$2,0)/AZ$1,"")</f>
        <v>2.151532005258368</v>
      </c>
      <c r="BA18" s="174">
        <f>IFERROR(VLOOKUP($B18,RD[#All],BA$2,0)/BA$1,"")</f>
        <v>2.8479858297820102</v>
      </c>
      <c r="BB18" s="174">
        <f>IFERROR(VLOOKUP($B18,RD[#All],BB$2,0)/BB$1,"")</f>
        <v>2.9154938971520048</v>
      </c>
      <c r="BC18" s="174">
        <f>IFERROR(VLOOKUP($B18,RD[#All],BC$2,0)/BC$1,"")</f>
        <v>2.8732646663681147</v>
      </c>
      <c r="BD18" s="174">
        <f>IFERROR(VLOOKUP($B18,RD[#All],BD$2,0)/BD$1,"")</f>
        <v>2.9186534759916216</v>
      </c>
      <c r="BE18" s="174">
        <f>IFERROR(VLOOKUP($B18,RD[#All],BE$2,0)/BE$1,"")</f>
        <v>2.8820480069571364</v>
      </c>
      <c r="BF18" s="174">
        <f>IFERROR(VLOOKUP($B18,RD[#All],BF$2,0)/BF$1,"")</f>
        <v>2.8080720624719024</v>
      </c>
      <c r="BG18" s="174">
        <f>IFERROR(VLOOKUP($B18,RD[#All],BG$2,0)/BG$1,"")</f>
        <v>2.9265048459923504</v>
      </c>
      <c r="BH18" s="174">
        <f>IFERROR(VLOOKUP($B18,RD[#All],BH$2,0)/BH$1,"")</f>
        <v>2.8989675304132758</v>
      </c>
      <c r="BI18" s="174">
        <f>IFERROR(VLOOKUP($B18,RD[#All],BI$2,0)/BI$1,"")</f>
        <v>2.9355956942163837</v>
      </c>
      <c r="BJ18" s="174">
        <f>IFERROR(VLOOKUP($B18,RD[#All],BJ$2,0)/BJ$1,"")</f>
        <v>2.9222455677776398</v>
      </c>
      <c r="BK18" s="174">
        <f>IFERROR(VLOOKUP($B18,RD[#All],BK$2,0)/BK$1,"")</f>
        <v>2.9591440663110711</v>
      </c>
      <c r="BL18" s="174">
        <f>IFERROR(VLOOKUP($B18,RD[#All],BL$2,0)/BL$1,"")</f>
        <v>2.9336692809962237</v>
      </c>
      <c r="BM18" s="174">
        <f>IFERROR(VLOOKUP($B18,RD[#All],BM$2,0)/BM$1,"")</f>
        <v>2.8137420635996828</v>
      </c>
      <c r="BN18" s="174">
        <f>IFERROR(VLOOKUP($B18,RD[#All],BN$2,0)/BN$1,"")</f>
        <v>2.8905085974308382</v>
      </c>
      <c r="BO18" s="174">
        <f>IFERROR(VLOOKUP($B18,RD[#All],BO$2,0)/BO$1,"")</f>
        <v>2.6851711758799497</v>
      </c>
      <c r="BP18" s="174">
        <f>IFERROR(VLOOKUP($B18,RD[#All],BP$2,0)/BP$1,"")</f>
        <v>2.9061026323807644</v>
      </c>
      <c r="BQ18" s="174">
        <f>IFERROR(VLOOKUP($B18,RD[#All],BQ$2,0)/BQ$1,"")</f>
        <v>2.5970786366971255</v>
      </c>
      <c r="BR18" s="174">
        <f>IFERROR(VLOOKUP($B18,RD[#All],BR$2,0)/BR$1,"")</f>
        <v>2.8994599393356513</v>
      </c>
      <c r="BS18" s="174">
        <f>IFERROR(VLOOKUP($B18,RD[#All],BS$2,0)/BS$1,"")</f>
        <v>2.7672141575228881</v>
      </c>
      <c r="BT18" s="174">
        <f>IFERROR(VLOOKUP($B18,RD[#All],BT$2,0)/BT$1,"")</f>
        <v>2.8051562394546803</v>
      </c>
      <c r="BU18" s="174">
        <f>IFERROR(VLOOKUP($B18,RD[#All],BU$2,0)/BU$1,"")</f>
        <v>1.358770183587702</v>
      </c>
      <c r="BV18" s="174">
        <f>IFERROR(VLOOKUP($B18,RD[#All],BV$2,0)/BV$1,"")</f>
        <v>2.7043067226890756</v>
      </c>
      <c r="BW18" s="174">
        <f>IFERROR(VLOOKUP($B18,RD[#All],BW$2,0)/BW$1,"")</f>
        <v>2.8897776816920691</v>
      </c>
      <c r="BX18" s="174">
        <f>IFERROR(VLOOKUP($B18,RD[#All],BX$2,0)/BX$1,"")</f>
        <v>2.8603200791948526</v>
      </c>
      <c r="BY18" s="174">
        <f>AVERAGEIF(Inv_SY_B[[#This Row],[IS1Inv1M1]:[IS4Inv4M2]],"&gt;="&amp;0.1,Inv_SY_B[[#This Row],[IS1Inv1M1]:[IS4Inv4M2]])</f>
        <v>2.8372454554486004</v>
      </c>
      <c r="BZ18" s="174">
        <f>AVERAGEIF(Inv_SY_B[[#This Row],[IS5Inv1M1]:[IS9Inv2M2]],"&gt;="&amp;0.1,Inv_SY_B[[#This Row],[IS5Inv1M1]:[IS9Inv2M2]])</f>
        <v>2.905090821603336</v>
      </c>
      <c r="CA18" s="174">
        <f>AVERAGEIF(Inv_SY_B[[#This Row],[IS10Inv1M1]:[IS14Inv2M4]],"&gt;="&amp;0.1,Inv_SY_B[[#This Row],[IS10Inv1M1]:[IS14Inv2M4]])</f>
        <v>2.7781205227890973</v>
      </c>
    </row>
    <row r="19" spans="2:79">
      <c r="B19" s="179">
        <f t="shared" si="32"/>
        <v>45843</v>
      </c>
      <c r="C19" s="174">
        <f>IFERROR(VLOOKUP($B19,RD[#All],C$2,0)/C$1,"")</f>
        <v>2.5235152430143364</v>
      </c>
      <c r="D19" s="174">
        <f>IFERROR(VLOOKUP($B19,RD[#All],D$2,0)/D$1,"")</f>
        <v>2.5307820247383801</v>
      </c>
      <c r="E19" s="174">
        <f>IFERROR(VLOOKUP($B19,RD[#All],E$2,0)/E$1,"")</f>
        <v>2.5016733545347076</v>
      </c>
      <c r="F19" s="174">
        <f>IFERROR(VLOOKUP($B19,RD[#All],F$2,0)/F$1,"")</f>
        <v>2.4412473189242698</v>
      </c>
      <c r="G19" s="174">
        <f>IFERROR(VLOOKUP($B19,RD[#All],G$2,0)/G$1,"")</f>
        <v>2.4505764215086288</v>
      </c>
      <c r="H19" s="174">
        <f>IFERROR(VLOOKUP($B19,RD[#All],H$2,0)/H$1,"")</f>
        <v>2.4587086621978265</v>
      </c>
      <c r="I19" s="174">
        <f>IFERROR(VLOOKUP($B19,RD[#All],I$2,0)/I$1,"")</f>
        <v>2.524088418666163</v>
      </c>
      <c r="J19" s="174">
        <f>IFERROR(VLOOKUP($B19,RD[#All],J$2,0)/J$1,"")</f>
        <v>2.4854417847141668</v>
      </c>
      <c r="K19" s="174">
        <f>IFERROR(VLOOKUP($B19,RD[#All],K$2,0)/K$1,"")</f>
        <v>2.5076510490613662</v>
      </c>
      <c r="L19" s="174">
        <f>IFERROR(VLOOKUP($B19,RD[#All],L$2,0)/L$1,"")</f>
        <v>2.5241098410195768</v>
      </c>
      <c r="M19" s="174">
        <f>IFERROR(VLOOKUP($B19,RD[#All],M$2,0)/M$1,"")</f>
        <v>2.5837219996058596</v>
      </c>
      <c r="N19" s="174">
        <f>IFERROR(VLOOKUP($B19,RD[#All],N$2,0)/N$1,"")</f>
        <v>2.5241454764958879</v>
      </c>
      <c r="O19" s="174">
        <f>IFERROR(VLOOKUP($B19,RD[#All],O$2,0)/O$1,"")</f>
        <v>2.6565949804638471</v>
      </c>
      <c r="P19" s="174">
        <f>IFERROR(VLOOKUP($B19,RD[#All],P$2,0)/P$1,"")</f>
        <v>2.445805784866709</v>
      </c>
      <c r="Q19" s="174">
        <f>IFERROR(VLOOKUP($B19,RD[#All],Q$2,0)/Q$1,"")</f>
        <v>2.5194128612520523</v>
      </c>
      <c r="R19" s="174">
        <f>IFERROR(VLOOKUP($B19,RD[#All],R$2,0)/R$1,"")</f>
        <v>2.5362883240104788</v>
      </c>
      <c r="S19" s="174">
        <f>IFERROR(VLOOKUP($B19,RD[#All],S$2,0)/S$1,"")</f>
        <v>2.319622540307368</v>
      </c>
      <c r="T19" s="174">
        <f>IFERROR(VLOOKUP($B19,RD[#All],T$2,0)/T$1,"")</f>
        <v>2.3348839845663645</v>
      </c>
      <c r="U19" s="174">
        <f>IFERROR(VLOOKUP($B19,RD[#All],U$2,0)/U$1,"")</f>
        <v>2.3396932567258775</v>
      </c>
      <c r="V19" s="174">
        <f>IFERROR(VLOOKUP($B19,RD[#All],V$2,0)/V$1,"")</f>
        <v>2.3565700463470658</v>
      </c>
      <c r="W19" s="174">
        <f>IFERROR(VLOOKUP($B19,RD[#All],W$2,0)/W$1,"")</f>
        <v>2.4864296320739152</v>
      </c>
      <c r="X19" s="174">
        <f>IFERROR(VLOOKUP($B19,RD[#All],X$2,0)/X$1,"")</f>
        <v>2.4631316950434212</v>
      </c>
      <c r="Y19" s="174">
        <f>IFERROR(VLOOKUP($B19,RD[#All],Y$2,0)/Y$1,"")</f>
        <v>2.5506054312293394</v>
      </c>
      <c r="Z19" s="174">
        <f>IFERROR(VLOOKUP($B19,RD[#All],Z$2,0)/Z$1,"")</f>
        <v>2.5351891416362951</v>
      </c>
      <c r="AA19" s="174">
        <f>IFERROR(VLOOKUP($B19,RD[#All],AA$2,0)/AA$1,"")</f>
        <v>1.6436033724340176</v>
      </c>
      <c r="AB19" s="174">
        <f>IFERROR(VLOOKUP($B19,RD[#All],AB$2,0)/AB$1,"")</f>
        <v>1.630094043887147</v>
      </c>
      <c r="AC19" s="174">
        <f>IFERROR(VLOOKUP($B19,RD[#All],AC$2,0)/AC$1,"")</f>
        <v>2.5260764113356164</v>
      </c>
      <c r="AD19" s="174">
        <f>IFERROR(VLOOKUP($B19,RD[#All],AD$2,0)/AD$1,"")</f>
        <v>2.4964522980973465</v>
      </c>
      <c r="AE19" s="174">
        <f>IFERROR(VLOOKUP($B19,RD[#All],AE$2,0)/AE$1,"")</f>
        <v>2.5555181884423521</v>
      </c>
      <c r="AF19" s="174">
        <f>IFERROR(VLOOKUP($B19,RD[#All],AF$2,0)/AF$1,"")</f>
        <v>2.5233234198751435</v>
      </c>
      <c r="AG19" s="174">
        <f>IFERROR(VLOOKUP($B19,RD[#All],AG$2,0)/AG$1,"")</f>
        <v>2.5325337331334334</v>
      </c>
      <c r="AH19" s="174">
        <f>IFERROR(VLOOKUP($B19,RD[#All],AH$2,0)/AH$1,"")</f>
        <v>2.508440062161728</v>
      </c>
      <c r="AI19" s="174">
        <f>IFERROR(VLOOKUP($B19,RD[#All],AI$2,0)/AI$1,"")</f>
        <v>2.5527599836445414</v>
      </c>
      <c r="AJ19" s="174">
        <f>IFERROR(VLOOKUP($B19,RD[#All],AJ$2,0)/AJ$1,"")</f>
        <v>2.5631042385606277</v>
      </c>
      <c r="AK19" s="174">
        <f>IFERROR(VLOOKUP($B19,RD[#All],AK$2,0)/AK$1,"")</f>
        <v>2.5470485096434836</v>
      </c>
      <c r="AL19" s="174">
        <f>IFERROR(VLOOKUP($B19,RD[#All],AL$2,0)/AL$1,"")</f>
        <v>2.5644795157280296</v>
      </c>
      <c r="AM19" s="174">
        <f>IFERROR(VLOOKUP($B19,RD[#All],AM$2,0)/AM$1,"")</f>
        <v>2.5448450867285466</v>
      </c>
      <c r="AN19" s="174">
        <f>IFERROR(VLOOKUP($B19,RD[#All],AN$2,0)/AN$1,"")</f>
        <v>2.5623456083787115</v>
      </c>
      <c r="AO19" s="174">
        <f>IFERROR(VLOOKUP($B19,RD[#All],AO$2,0)/AO$1,"")</f>
        <v>2.5626821568719835</v>
      </c>
      <c r="AP19" s="174">
        <f>IFERROR(VLOOKUP($B19,RD[#All],AP$2,0)/AP$1,"")</f>
        <v>2.5335370573545939</v>
      </c>
      <c r="AQ19" s="174">
        <f>IFERROR(VLOOKUP($B19,RD[#All],AQ$2,0)/AQ$1,"")</f>
        <v>2.5400763358778624</v>
      </c>
      <c r="AR19" s="174">
        <f>IFERROR(VLOOKUP($B19,RD[#All],AR$2,0)/AR$1,"")</f>
        <v>2.5339749246574201</v>
      </c>
      <c r="AS19" s="174">
        <f>IFERROR(VLOOKUP($B19,RD[#All],AS$2,0)/AS$1,"")</f>
        <v>2.5524974515800203</v>
      </c>
      <c r="AT19" s="174">
        <f>IFERROR(VLOOKUP($B19,RD[#All],AT$2,0)/AT$1,"")</f>
        <v>2.609038151306279</v>
      </c>
      <c r="AU19" s="174">
        <f>IFERROR(VLOOKUP($B19,RD[#All],AU$2,0)/AU$1,"")</f>
        <v>2.6191920452533597</v>
      </c>
      <c r="AV19" s="174">
        <f>IFERROR(VLOOKUP($B19,RD[#All],AV$2,0)/AV$1,"")</f>
        <v>2.5960044761954224</v>
      </c>
      <c r="AW19" s="174">
        <f>IFERROR(VLOOKUP($B19,RD[#All],AW$2,0)/AW$1,"")</f>
        <v>2.5038262954084458</v>
      </c>
      <c r="AX19" s="174">
        <f>IFERROR(VLOOKUP($B19,RD[#All],AX$2,0)/AX$1,"")</f>
        <v>2.5621571316614418</v>
      </c>
      <c r="AY19" s="174">
        <f>IFERROR(VLOOKUP($B19,RD[#All],AY$2,0)/AY$1,"")</f>
        <v>1.1512506818358919</v>
      </c>
      <c r="AZ19" s="174">
        <f>IFERROR(VLOOKUP($B19,RD[#All],AZ$2,0)/AZ$1,"")</f>
        <v>8.089796743856811E-3</v>
      </c>
      <c r="BA19" s="174">
        <f>IFERROR(VLOOKUP($B19,RD[#All],BA$2,0)/BA$1,"")</f>
        <v>2.5452026446396938</v>
      </c>
      <c r="BB19" s="174">
        <f>IFERROR(VLOOKUP($B19,RD[#All],BB$2,0)/BB$1,"")</f>
        <v>2.5707552413348456</v>
      </c>
      <c r="BC19" s="174">
        <f>IFERROR(VLOOKUP($B19,RD[#All],BC$2,0)/BC$1,"")</f>
        <v>2.5943573667711597</v>
      </c>
      <c r="BD19" s="174">
        <f>IFERROR(VLOOKUP($B19,RD[#All],BD$2,0)/BD$1,"")</f>
        <v>2.6393875867483763</v>
      </c>
      <c r="BE19" s="174">
        <f>IFERROR(VLOOKUP($B19,RD[#All],BE$2,0)/BE$1,"")</f>
        <v>2.6348114982980837</v>
      </c>
      <c r="BF19" s="174">
        <f>IFERROR(VLOOKUP($B19,RD[#All],BF$2,0)/BF$1,"")</f>
        <v>2.5740521820210125</v>
      </c>
      <c r="BG19" s="174">
        <f>IFERROR(VLOOKUP($B19,RD[#All],BG$2,0)/BG$1,"")</f>
        <v>2.6921141180869119</v>
      </c>
      <c r="BH19" s="174">
        <f>IFERROR(VLOOKUP($B19,RD[#All],BH$2,0)/BH$1,"")</f>
        <v>2.6713353081590983</v>
      </c>
      <c r="BI19" s="174">
        <f>IFERROR(VLOOKUP($B19,RD[#All],BI$2,0)/BI$1,"")</f>
        <v>2.6546250684181718</v>
      </c>
      <c r="BJ19" s="174">
        <f>IFERROR(VLOOKUP($B19,RD[#All],BJ$2,0)/BJ$1,"")</f>
        <v>2.6933904612807096</v>
      </c>
      <c r="BK19" s="174">
        <f>IFERROR(VLOOKUP($B19,RD[#All],BK$2,0)/BK$1,"")</f>
        <v>2.6797385620915031</v>
      </c>
      <c r="BL19" s="174">
        <f>IFERROR(VLOOKUP($B19,RD[#All],BL$2,0)/BL$1,"")</f>
        <v>2.6548074615744075</v>
      </c>
      <c r="BM19" s="174">
        <f>IFERROR(VLOOKUP($B19,RD[#All],BM$2,0)/BM$1,"")</f>
        <v>2.5994931551843115</v>
      </c>
      <c r="BN19" s="174">
        <f>IFERROR(VLOOKUP($B19,RD[#All],BN$2,0)/BN$1,"")</f>
        <v>2.6769678595877604</v>
      </c>
      <c r="BO19" s="174">
        <f>IFERROR(VLOOKUP($B19,RD[#All],BO$2,0)/BO$1,"")</f>
        <v>2.4923318157435044</v>
      </c>
      <c r="BP19" s="174">
        <f>IFERROR(VLOOKUP($B19,RD[#All],BP$2,0)/BP$1,"")</f>
        <v>2.6722846618630292</v>
      </c>
      <c r="BQ19" s="174">
        <f>IFERROR(VLOOKUP($B19,RD[#All],BQ$2,0)/BQ$1,"")</f>
        <v>2.5451210564930302</v>
      </c>
      <c r="BR19" s="174">
        <f>IFERROR(VLOOKUP($B19,RD[#All],BR$2,0)/BR$1,"")</f>
        <v>2.6061996005030701</v>
      </c>
      <c r="BS19" s="174">
        <f>IFERROR(VLOOKUP($B19,RD[#All],BS$2,0)/BS$1,"")</f>
        <v>2.4600740589290986</v>
      </c>
      <c r="BT19" s="174">
        <f>IFERROR(VLOOKUP($B19,RD[#All],BT$2,0)/BT$1,"")</f>
        <v>2.5046230680974553</v>
      </c>
      <c r="BU19" s="174">
        <f>IFERROR(VLOOKUP($B19,RD[#All],BU$2,0)/BU$1,"")</f>
        <v>1.2176509621765097</v>
      </c>
      <c r="BV19" s="174">
        <f>IFERROR(VLOOKUP($B19,RD[#All],BV$2,0)/BV$1,"")</f>
        <v>2.4852941176470589</v>
      </c>
      <c r="BW19" s="174">
        <f>IFERROR(VLOOKUP($B19,RD[#All],BW$2,0)/BW$1,"")</f>
        <v>2.6188159838576008</v>
      </c>
      <c r="BX19" s="174">
        <f>IFERROR(VLOOKUP($B19,RD[#All],BX$2,0)/BX$1,"")</f>
        <v>2.5981191222570534</v>
      </c>
      <c r="BY19" s="174">
        <f>AVERAGEIF(Inv_SY_B[[#This Row],[IS1Inv1M1]:[IS4Inv4M2]],"&gt;="&amp;0.1,Inv_SY_B[[#This Row],[IS1Inv1M1]:[IS4Inv4M2]])</f>
        <v>2.4248612642413585</v>
      </c>
      <c r="BZ19" s="174">
        <f>AVERAGEIF(Inv_SY_B[[#This Row],[IS5Inv1M1]:[IS9Inv2M2]],"&gt;="&amp;0.1,Inv_SY_B[[#This Row],[IS5Inv1M1]:[IS9Inv2M2]])</f>
        <v>2.5556333858551965</v>
      </c>
      <c r="CA19" s="174">
        <f>AVERAGEIF(Inv_SY_B[[#This Row],[IS10Inv1M1]:[IS14Inv2M4]],"&gt;="&amp;0.1,Inv_SY_B[[#This Row],[IS10Inv1M1]:[IS14Inv2M4]])</f>
        <v>2.4925476692840465</v>
      </c>
    </row>
    <row r="20" spans="2:79">
      <c r="B20" s="179">
        <f t="shared" si="32"/>
        <v>45844</v>
      </c>
      <c r="C20" s="174">
        <f>IFERROR(VLOOKUP($B20,RD[#All],C$2,0)/C$1,"")</f>
        <v>2.3754232430519231</v>
      </c>
      <c r="D20" s="174">
        <f>IFERROR(VLOOKUP($B20,RD[#All],D$2,0)/D$1,"")</f>
        <v>2.3617040603142883</v>
      </c>
      <c r="E20" s="174">
        <f>IFERROR(VLOOKUP($B20,RD[#All],E$2,0)/E$1,"")</f>
        <v>2.3512212990559287</v>
      </c>
      <c r="F20" s="174">
        <f>IFERROR(VLOOKUP($B20,RD[#All],F$2,0)/F$1,"")</f>
        <v>2.3609305395149316</v>
      </c>
      <c r="G20" s="174">
        <f>IFERROR(VLOOKUP($B20,RD[#All],G$2,0)/G$1,"")</f>
        <v>2.3921973226358388</v>
      </c>
      <c r="H20" s="174">
        <f>IFERROR(VLOOKUP($B20,RD[#All],H$2,0)/H$1,"")</f>
        <v>2.3817017111279069</v>
      </c>
      <c r="I20" s="174">
        <f>IFERROR(VLOOKUP($B20,RD[#All],I$2,0)/I$1,"")</f>
        <v>2.4058450653758707</v>
      </c>
      <c r="J20" s="174">
        <f>IFERROR(VLOOKUP($B20,RD[#All],J$2,0)/J$1,"")</f>
        <v>2.381806038876586</v>
      </c>
      <c r="K20" s="174">
        <f>IFERROR(VLOOKUP($B20,RD[#All],K$2,0)/K$1,"")</f>
        <v>2.3471840984382393</v>
      </c>
      <c r="L20" s="174">
        <f>IFERROR(VLOOKUP($B20,RD[#All],L$2,0)/L$1,"")</f>
        <v>2.4128235448692683</v>
      </c>
      <c r="M20" s="174">
        <f>IFERROR(VLOOKUP($B20,RD[#All],M$2,0)/M$1,"")</f>
        <v>2.4519477107009129</v>
      </c>
      <c r="N20" s="174">
        <f>IFERROR(VLOOKUP($B20,RD[#All],N$2,0)/N$1,"")</f>
        <v>2.3691491234689006</v>
      </c>
      <c r="O20" s="174">
        <f>IFERROR(VLOOKUP($B20,RD[#All],O$2,0)/O$1,"")</f>
        <v>2.4876893268877973</v>
      </c>
      <c r="P20" s="174">
        <f>IFERROR(VLOOKUP($B20,RD[#All],P$2,0)/P$1,"")</f>
        <v>2.2988806295369368</v>
      </c>
      <c r="Q20" s="174">
        <f>IFERROR(VLOOKUP($B20,RD[#All],Q$2,0)/Q$1,"")</f>
        <v>2.3721343653938742</v>
      </c>
      <c r="R20" s="174">
        <f>IFERROR(VLOOKUP($B20,RD[#All],R$2,0)/R$1,"")</f>
        <v>2.3657734321191093</v>
      </c>
      <c r="S20" s="174">
        <f>IFERROR(VLOOKUP($B20,RD[#All],S$2,0)/S$1,"")</f>
        <v>2.366259539902817</v>
      </c>
      <c r="T20" s="174">
        <f>IFERROR(VLOOKUP($B20,RD[#All],T$2,0)/T$1,"")</f>
        <v>2.3692169413708082</v>
      </c>
      <c r="U20" s="174">
        <f>IFERROR(VLOOKUP($B20,RD[#All],U$2,0)/U$1,"")</f>
        <v>2.3873221556660993</v>
      </c>
      <c r="V20" s="174">
        <f>IFERROR(VLOOKUP($B20,RD[#All],V$2,0)/V$1,"")</f>
        <v>2.3922216355505013</v>
      </c>
      <c r="W20" s="174">
        <f>IFERROR(VLOOKUP($B20,RD[#All],W$2,0)/W$1,"")</f>
        <v>2.3125721828081174</v>
      </c>
      <c r="X20" s="174">
        <f>IFERROR(VLOOKUP($B20,RD[#All],X$2,0)/X$1,"")</f>
        <v>2.3042987307604923</v>
      </c>
      <c r="Y20" s="174">
        <f>IFERROR(VLOOKUP($B20,RD[#All],Y$2,0)/Y$1,"")</f>
        <v>2.3897684185430221</v>
      </c>
      <c r="Z20" s="174">
        <f>IFERROR(VLOOKUP($B20,RD[#All],Z$2,0)/Z$1,"")</f>
        <v>2.4025117147525088</v>
      </c>
      <c r="AA20" s="174">
        <f>IFERROR(VLOOKUP($B20,RD[#All],AA$2,0)/AA$1,"")</f>
        <v>2.3519978005865103</v>
      </c>
      <c r="AB20" s="174">
        <f>IFERROR(VLOOKUP($B20,RD[#All],AB$2,0)/AB$1,"")</f>
        <v>2.3460996774340099</v>
      </c>
      <c r="AC20" s="174">
        <f>IFERROR(VLOOKUP($B20,RD[#All],AC$2,0)/AC$1,"")</f>
        <v>2.3685405003920055</v>
      </c>
      <c r="AD20" s="174">
        <f>IFERROR(VLOOKUP($B20,RD[#All],AD$2,0)/AD$1,"")</f>
        <v>2.3529624440728516</v>
      </c>
      <c r="AE20" s="174">
        <f>IFERROR(VLOOKUP($B20,RD[#All],AE$2,0)/AE$1,"")</f>
        <v>2.4853988005156662</v>
      </c>
      <c r="AF20" s="174">
        <f>IFERROR(VLOOKUP($B20,RD[#All],AF$2,0)/AF$1,"")</f>
        <v>2.4514642445676929</v>
      </c>
      <c r="AG20" s="174">
        <f>IFERROR(VLOOKUP($B20,RD[#All],AG$2,0)/AG$1,"")</f>
        <v>2.4517377674798966</v>
      </c>
      <c r="AH20" s="174">
        <f>IFERROR(VLOOKUP($B20,RD[#All],AH$2,0)/AH$1,"")</f>
        <v>2.4404372756015222</v>
      </c>
      <c r="AI20" s="174">
        <f>IFERROR(VLOOKUP($B20,RD[#All],AI$2,0)/AI$1,"")</f>
        <v>2.4597519422107128</v>
      </c>
      <c r="AJ20" s="174">
        <f>IFERROR(VLOOKUP($B20,RD[#All],AJ$2,0)/AJ$1,"")</f>
        <v>2.4575221938305103</v>
      </c>
      <c r="AK20" s="174">
        <f>IFERROR(VLOOKUP($B20,RD[#All],AK$2,0)/AK$1,"")</f>
        <v>2.4361617342330377</v>
      </c>
      <c r="AL20" s="174">
        <f>IFERROR(VLOOKUP($B20,RD[#All],AL$2,0)/AL$1,"")</f>
        <v>2.4547616473894713</v>
      </c>
      <c r="AM20" s="174">
        <f>IFERROR(VLOOKUP($B20,RD[#All],AM$2,0)/AM$1,"")</f>
        <v>2.4298801214266961</v>
      </c>
      <c r="AN20" s="174">
        <f>IFERROR(VLOOKUP($B20,RD[#All],AN$2,0)/AN$1,"")</f>
        <v>2.4482556691593693</v>
      </c>
      <c r="AO20" s="174">
        <f>IFERROR(VLOOKUP($B20,RD[#All],AO$2,0)/AO$1,"")</f>
        <v>2.4596983179306307</v>
      </c>
      <c r="AP20" s="174">
        <f>IFERROR(VLOOKUP($B20,RD[#All],AP$2,0)/AP$1,"")</f>
        <v>2.4489287661459138</v>
      </c>
      <c r="AQ20" s="174">
        <f>IFERROR(VLOOKUP($B20,RD[#All],AQ$2,0)/AQ$1,"")</f>
        <v>2.4484732824427478</v>
      </c>
      <c r="AR20" s="174">
        <f>IFERROR(VLOOKUP($B20,RD[#All],AR$2,0)/AR$1,"")</f>
        <v>2.4366706072362176</v>
      </c>
      <c r="AS20" s="174">
        <f>IFERROR(VLOOKUP($B20,RD[#All],AS$2,0)/AS$1,"")</f>
        <v>2.4312043774239278</v>
      </c>
      <c r="AT20" s="174">
        <f>IFERROR(VLOOKUP($B20,RD[#All],AT$2,0)/AT$1,"")</f>
        <v>2.4409293750392824</v>
      </c>
      <c r="AU20" s="174">
        <f>IFERROR(VLOOKUP($B20,RD[#All],AU$2,0)/AU$1,"")</f>
        <v>2.4381437763569185</v>
      </c>
      <c r="AV20" s="174">
        <f>IFERROR(VLOOKUP($B20,RD[#All],AV$2,0)/AV$1,"")</f>
        <v>2.4239920297279811</v>
      </c>
      <c r="AW20" s="174">
        <f>IFERROR(VLOOKUP($B20,RD[#All],AW$2,0)/AW$1,"")</f>
        <v>2.0143370827955009</v>
      </c>
      <c r="AX20" s="174">
        <f>IFERROR(VLOOKUP($B20,RD[#All],AX$2,0)/AX$1,"")</f>
        <v>2.0646061912225706</v>
      </c>
      <c r="AY20" s="174">
        <f>IFERROR(VLOOKUP($B20,RD[#All],AY$2,0)/AY$1,"")</f>
        <v>1.3621652510454816</v>
      </c>
      <c r="AZ20" s="174">
        <f>IFERROR(VLOOKUP($B20,RD[#All],AZ$2,0)/AZ$1,"")</f>
        <v>1.7797552836484987E-2</v>
      </c>
      <c r="BA20" s="174">
        <f>IFERROR(VLOOKUP($B20,RD[#All],BA$2,0)/BA$1,"")</f>
        <v>2.3474246330299362</v>
      </c>
      <c r="BB20" s="174">
        <f>IFERROR(VLOOKUP($B20,RD[#All],BB$2,0)/BB$1,"")</f>
        <v>2.4030325262900467</v>
      </c>
      <c r="BC20" s="174">
        <f>IFERROR(VLOOKUP($B20,RD[#All],BC$2,0)/BC$1,"")</f>
        <v>2.3650246305418721</v>
      </c>
      <c r="BD20" s="174">
        <f>IFERROR(VLOOKUP($B20,RD[#All],BD$2,0)/BD$1,"")</f>
        <v>2.415515105645353</v>
      </c>
      <c r="BE20" s="174">
        <f>IFERROR(VLOOKUP($B20,RD[#All],BE$2,0)/BE$1,"")</f>
        <v>2.3851970622405512</v>
      </c>
      <c r="BF20" s="174">
        <f>IFERROR(VLOOKUP($B20,RD[#All],BF$2,0)/BF$1,"")</f>
        <v>2.3199686974475098</v>
      </c>
      <c r="BG20" s="174">
        <f>IFERROR(VLOOKUP($B20,RD[#All],BG$2,0)/BG$1,"")</f>
        <v>2.4131460124816662</v>
      </c>
      <c r="BH20" s="174">
        <f>IFERROR(VLOOKUP($B20,RD[#All],BH$2,0)/BH$1,"")</f>
        <v>2.3987662132236638</v>
      </c>
      <c r="BI20" s="174">
        <f>IFERROR(VLOOKUP($B20,RD[#All],BI$2,0)/BI$1,"")</f>
        <v>2.3901399640315897</v>
      </c>
      <c r="BJ20" s="174">
        <f>IFERROR(VLOOKUP($B20,RD[#All],BJ$2,0)/BJ$1,"")</f>
        <v>2.4108405773218524</v>
      </c>
      <c r="BK20" s="174">
        <f>IFERROR(VLOOKUP($B20,RD[#All],BK$2,0)/BK$1,"")</f>
        <v>2.4187388876367919</v>
      </c>
      <c r="BL20" s="174">
        <f>IFERROR(VLOOKUP($B20,RD[#All],BL$2,0)/BL$1,"")</f>
        <v>2.393879690321929</v>
      </c>
      <c r="BM20" s="174">
        <f>IFERROR(VLOOKUP($B20,RD[#All],BM$2,0)/BM$1,"")</f>
        <v>2.3678873731757957</v>
      </c>
      <c r="BN20" s="174">
        <f>IFERROR(VLOOKUP($B20,RD[#All],BN$2,0)/BN$1,"")</f>
        <v>2.4172903567257853</v>
      </c>
      <c r="BO20" s="174">
        <f>IFERROR(VLOOKUP($B20,RD[#All],BO$2,0)/BO$1,"")</f>
        <v>2.0791439142813912</v>
      </c>
      <c r="BP20" s="174">
        <f>IFERROR(VLOOKUP($B20,RD[#All],BP$2,0)/BP$1,"")</f>
        <v>2.4131035742015476</v>
      </c>
      <c r="BQ20" s="174">
        <f>IFERROR(VLOOKUP($B20,RD[#All],BQ$2,0)/BQ$1,"")</f>
        <v>2.3683052090975791</v>
      </c>
      <c r="BR20" s="174">
        <f>IFERROR(VLOOKUP($B20,RD[#All],BR$2,0)/BR$1,"")</f>
        <v>2.4069690019974845</v>
      </c>
      <c r="BS20" s="174">
        <f>IFERROR(VLOOKUP($B20,RD[#All],BS$2,0)/BS$1,"")</f>
        <v>2.3053681364865173</v>
      </c>
      <c r="BT20" s="174">
        <f>IFERROR(VLOOKUP($B20,RD[#All],BT$2,0)/BT$1,"")</f>
        <v>2.3277316595802118</v>
      </c>
      <c r="BU20" s="174">
        <f>IFERROR(VLOOKUP($B20,RD[#All],BU$2,0)/BU$1,"")</f>
        <v>1.1210646612106467</v>
      </c>
      <c r="BV20" s="174">
        <f>IFERROR(VLOOKUP($B20,RD[#All],BV$2,0)/BV$1,"")</f>
        <v>2.1864495798319328</v>
      </c>
      <c r="BW20" s="174">
        <f>IFERROR(VLOOKUP($B20,RD[#All],BW$2,0)/BW$1,"")</f>
        <v>2.4049291968435842</v>
      </c>
      <c r="BX20" s="174">
        <f>IFERROR(VLOOKUP($B20,RD[#All],BX$2,0)/BX$1,"")</f>
        <v>2.3947863388879722</v>
      </c>
      <c r="BY20" s="174">
        <f>AVERAGEIF(Inv_SY_B[[#This Row],[IS1Inv1M1]:[IS4Inv4M2]],"&gt;="&amp;0.1,Inv_SY_B[[#This Row],[IS1Inv1M1]:[IS4Inv4M2]])</f>
        <v>2.3735779733288593</v>
      </c>
      <c r="BZ20" s="174">
        <f>AVERAGEIF(Inv_SY_B[[#This Row],[IS5Inv1M1]:[IS9Inv2M2]],"&gt;="&amp;0.1,Inv_SY_B[[#This Row],[IS5Inv1M1]:[IS9Inv2M2]])</f>
        <v>2.4468562182621221</v>
      </c>
      <c r="CA20" s="174">
        <f>AVERAGEIF(Inv_SY_B[[#This Row],[IS10Inv1M1]:[IS14Inv2M4]],"&gt;="&amp;0.1,Inv_SY_B[[#This Row],[IS10Inv1M1]:[IS14Inv2M4]])</f>
        <v>2.2554004269480279</v>
      </c>
    </row>
    <row r="21" spans="2:79">
      <c r="B21" s="179">
        <f t="shared" si="32"/>
        <v>45845</v>
      </c>
      <c r="C21" s="174">
        <f>IFERROR(VLOOKUP($B21,RD[#All],C$2,0)/C$1,"")</f>
        <v>1.5549659996053384</v>
      </c>
      <c r="D21" s="174">
        <f>IFERROR(VLOOKUP($B21,RD[#All],D$2,0)/D$1,"")</f>
        <v>1.5471980605210158</v>
      </c>
      <c r="E21" s="174">
        <f>IFERROR(VLOOKUP($B21,RD[#All],E$2,0)/E$1,"")</f>
        <v>1.5298956026573869</v>
      </c>
      <c r="F21" s="174">
        <f>IFERROR(VLOOKUP($B21,RD[#All],F$2,0)/F$1,"")</f>
        <v>1.5174393664411814</v>
      </c>
      <c r="G21" s="174">
        <f>IFERROR(VLOOKUP($B21,RD[#All],G$2,0)/G$1,"")</f>
        <v>1.5327236957622286</v>
      </c>
      <c r="H21" s="174">
        <f>IFERROR(VLOOKUP($B21,RD[#All],H$2,0)/H$1,"")</f>
        <v>1.5341296294001761</v>
      </c>
      <c r="I21" s="174">
        <f>IFERROR(VLOOKUP($B21,RD[#All],I$2,0)/I$1,"")</f>
        <v>1.5565776529834461</v>
      </c>
      <c r="J21" s="174">
        <f>IFERROR(VLOOKUP($B21,RD[#All],J$2,0)/J$1,"")</f>
        <v>1.5605117930331469</v>
      </c>
      <c r="K21" s="174">
        <f>IFERROR(VLOOKUP($B21,RD[#All],K$2,0)/K$1,"")</f>
        <v>1.5422621864647421</v>
      </c>
      <c r="L21" s="174">
        <f>IFERROR(VLOOKUP($B21,RD[#All],L$2,0)/L$1,"")</f>
        <v>1.5681250821179871</v>
      </c>
      <c r="M21" s="174">
        <f>IFERROR(VLOOKUP($B21,RD[#All],M$2,0)/M$1,"")</f>
        <v>1.5941667214083954</v>
      </c>
      <c r="N21" s="174">
        <f>IFERROR(VLOOKUP($B21,RD[#All],N$2,0)/N$1,"")</f>
        <v>1.5512211071707036</v>
      </c>
      <c r="O21" s="174">
        <f>IFERROR(VLOOKUP($B21,RD[#All],O$2,0)/O$1,"")</f>
        <v>1.6269399367891191</v>
      </c>
      <c r="P21" s="174">
        <f>IFERROR(VLOOKUP($B21,RD[#All],P$2,0)/P$1,"")</f>
        <v>1.5045509444299179</v>
      </c>
      <c r="Q21" s="174">
        <f>IFERROR(VLOOKUP($B21,RD[#All],Q$2,0)/Q$1,"")</f>
        <v>1.5502512252632619</v>
      </c>
      <c r="R21" s="174">
        <f>IFERROR(VLOOKUP($B21,RD[#All],R$2,0)/R$1,"")</f>
        <v>1.5515632140995024</v>
      </c>
      <c r="S21" s="174">
        <f>IFERROR(VLOOKUP($B21,RD[#All],S$2,0)/S$1,"")</f>
        <v>1.5758396705409621</v>
      </c>
      <c r="T21" s="174">
        <f>IFERROR(VLOOKUP($B21,RD[#All],T$2,0)/T$1,"")</f>
        <v>1.5977375877049149</v>
      </c>
      <c r="U21" s="174">
        <f>IFERROR(VLOOKUP($B21,RD[#All],U$2,0)/U$1,"")</f>
        <v>1.5920182804698004</v>
      </c>
      <c r="V21" s="174">
        <f>IFERROR(VLOOKUP($B21,RD[#All],V$2,0)/V$1,"")</f>
        <v>1.6011173839856674</v>
      </c>
      <c r="W21" s="174">
        <f>IFERROR(VLOOKUP($B21,RD[#All],W$2,0)/W$1,"")</f>
        <v>1.5482181158224715</v>
      </c>
      <c r="X21" s="174">
        <f>IFERROR(VLOOKUP($B21,RD[#All],X$2,0)/X$1,"")</f>
        <v>1.5279704036269799</v>
      </c>
      <c r="Y21" s="174">
        <f>IFERROR(VLOOKUP($B21,RD[#All],Y$2,0)/Y$1,"")</f>
        <v>1.5887469109481955</v>
      </c>
      <c r="Z21" s="174">
        <f>IFERROR(VLOOKUP($B21,RD[#All],Z$2,0)/Z$1,"")</f>
        <v>1.5897951489254745</v>
      </c>
      <c r="AA21" s="174">
        <f>IFERROR(VLOOKUP($B21,RD[#All],AA$2,0)/AA$1,"")</f>
        <v>1.5724890029325513</v>
      </c>
      <c r="AB21" s="174">
        <f>IFERROR(VLOOKUP($B21,RD[#All],AB$2,0)/AB$1,"")</f>
        <v>1.576484485030212</v>
      </c>
      <c r="AC21" s="174">
        <f>IFERROR(VLOOKUP($B21,RD[#All],AC$2,0)/AC$1,"")</f>
        <v>1.5820071615568361</v>
      </c>
      <c r="AD21" s="174">
        <f>IFERROR(VLOOKUP($B21,RD[#All],AD$2,0)/AD$1,"")</f>
        <v>1.5653274280291045</v>
      </c>
      <c r="AE21" s="174">
        <f>IFERROR(VLOOKUP($B21,RD[#All],AE$2,0)/AE$1,"")</f>
        <v>1.572333389384003</v>
      </c>
      <c r="AF21" s="174">
        <f>IFERROR(VLOOKUP($B21,RD[#All],AF$2,0)/AF$1,"")</f>
        <v>1.5575382471934194</v>
      </c>
      <c r="AG21" s="174">
        <f>IFERROR(VLOOKUP($B21,RD[#All],AG$2,0)/AG$1,"")</f>
        <v>1.5605833446912907</v>
      </c>
      <c r="AH21" s="174">
        <f>IFERROR(VLOOKUP($B21,RD[#All],AH$2,0)/AH$1,"")</f>
        <v>1.5511494560848829</v>
      </c>
      <c r="AI21" s="174">
        <f>IFERROR(VLOOKUP($B21,RD[#All],AI$2,0)/AI$1,"")</f>
        <v>1.5614011176230067</v>
      </c>
      <c r="AJ21" s="174">
        <f>IFERROR(VLOOKUP($B21,RD[#All],AJ$2,0)/AJ$1,"")</f>
        <v>1.5648165222201733</v>
      </c>
      <c r="AK21" s="174">
        <f>IFERROR(VLOOKUP($B21,RD[#All],AK$2,0)/AK$1,"")</f>
        <v>1.5248924074172467</v>
      </c>
      <c r="AL21" s="174">
        <f>IFERROR(VLOOKUP($B21,RD[#All],AL$2,0)/AL$1,"")</f>
        <v>1.4179548156956003</v>
      </c>
      <c r="AM21" s="174">
        <f>IFERROR(VLOOKUP($B21,RD[#All],AM$2,0)/AM$1,"")</f>
        <v>1.5139970518351991</v>
      </c>
      <c r="AN21" s="174">
        <f>IFERROR(VLOOKUP($B21,RD[#All],AN$2,0)/AN$1,"")</f>
        <v>1.5257089394010781</v>
      </c>
      <c r="AO21" s="174">
        <f>IFERROR(VLOOKUP($B21,RD[#All],AO$2,0)/AO$1,"")</f>
        <v>1.5348630584180876</v>
      </c>
      <c r="AP21" s="174">
        <f>IFERROR(VLOOKUP($B21,RD[#All],AP$2,0)/AP$1,"")</f>
        <v>1.5260454878943506</v>
      </c>
      <c r="AQ21" s="174">
        <f>IFERROR(VLOOKUP($B21,RD[#All],AQ$2,0)/AQ$1,"")</f>
        <v>1.5232956041063437</v>
      </c>
      <c r="AR21" s="174">
        <f>IFERROR(VLOOKUP($B21,RD[#All],AR$2,0)/AR$1,"")</f>
        <v>1.5183069981185167</v>
      </c>
      <c r="AS21" s="174">
        <f>IFERROR(VLOOKUP($B21,RD[#All],AS$2,0)/AS$1,"")</f>
        <v>1.5393628364207295</v>
      </c>
      <c r="AT21" s="174">
        <f>IFERROR(VLOOKUP($B21,RD[#All],AT$2,0)/AT$1,"")</f>
        <v>1.5596991473046866</v>
      </c>
      <c r="AU21" s="174">
        <f>IFERROR(VLOOKUP($B21,RD[#All],AU$2,0)/AU$1,"")</f>
        <v>1.5611132233731631</v>
      </c>
      <c r="AV21" s="174">
        <f>IFERROR(VLOOKUP($B21,RD[#All],AV$2,0)/AV$1,"")</f>
        <v>1.5643547526524288</v>
      </c>
      <c r="AW21" s="174">
        <f>IFERROR(VLOOKUP($B21,RD[#All],AW$2,0)/AW$1,"")</f>
        <v>0.96957403651115615</v>
      </c>
      <c r="AX21" s="174">
        <f>IFERROR(VLOOKUP($B21,RD[#All],AX$2,0)/AX$1,"")</f>
        <v>1.0005387931034484</v>
      </c>
      <c r="AY21" s="174">
        <f>IFERROR(VLOOKUP($B21,RD[#All],AY$2,0)/AY$1,"")</f>
        <v>1.5636250292215383</v>
      </c>
      <c r="AZ21" s="174">
        <f>IFERROR(VLOOKUP($B21,RD[#All],AZ$2,0)/AZ$1,"")</f>
        <v>1.3397714632419861</v>
      </c>
      <c r="BA21" s="174">
        <f>IFERROR(VLOOKUP($B21,RD[#All],BA$2,0)/BA$1,"")</f>
        <v>1.5695094789638904</v>
      </c>
      <c r="BB21" s="174">
        <f>IFERROR(VLOOKUP($B21,RD[#All],BB$2,0)/BB$1,"")</f>
        <v>1.6125302919140045</v>
      </c>
      <c r="BC21" s="174">
        <f>IFERROR(VLOOKUP($B21,RD[#All],BC$2,0)/BC$1,"")</f>
        <v>1.5963278101209135</v>
      </c>
      <c r="BD21" s="174">
        <f>IFERROR(VLOOKUP($B21,RD[#All],BD$2,0)/BD$1,"")</f>
        <v>1.6269658470682165</v>
      </c>
      <c r="BE21" s="174">
        <f>IFERROR(VLOOKUP($B21,RD[#All],BE$2,0)/BE$1,"")</f>
        <v>1.5646762281995015</v>
      </c>
      <c r="BF21" s="174">
        <f>IFERROR(VLOOKUP($B21,RD[#All],BF$2,0)/BF$1,"")</f>
        <v>1.5065185900531144</v>
      </c>
      <c r="BG21" s="174">
        <f>IFERROR(VLOOKUP($B21,RD[#All],BG$2,0)/BG$1,"")</f>
        <v>1.5898306059647407</v>
      </c>
      <c r="BH21" s="174">
        <f>IFERROR(VLOOKUP($B21,RD[#All],BH$2,0)/BH$1,"")</f>
        <v>1.5738690287883581</v>
      </c>
      <c r="BI21" s="174">
        <f>IFERROR(VLOOKUP($B21,RD[#All],BI$2,0)/BI$1,"")</f>
        <v>1.5781791643860608</v>
      </c>
      <c r="BJ21" s="174">
        <f>IFERROR(VLOOKUP($B21,RD[#All],BJ$2,0)/BJ$1,"")</f>
        <v>1.5890083632019114</v>
      </c>
      <c r="BK21" s="174">
        <f>IFERROR(VLOOKUP($B21,RD[#All],BK$2,0)/BK$1,"")</f>
        <v>1.5989908096060903</v>
      </c>
      <c r="BL21" s="174">
        <f>IFERROR(VLOOKUP($B21,RD[#All],BL$2,0)/BL$1,"")</f>
        <v>1.5848267848798292</v>
      </c>
      <c r="BM21" s="174">
        <f>IFERROR(VLOOKUP($B21,RD[#All],BM$2,0)/BM$1,"")</f>
        <v>1.6071380142651803</v>
      </c>
      <c r="BN21" s="174">
        <f>IFERROR(VLOOKUP($B21,RD[#All],BN$2,0)/BN$1,"")</f>
        <v>1.6080561004653946</v>
      </c>
      <c r="BO21" s="174">
        <f>IFERROR(VLOOKUP($B21,RD[#All],BO$2,0)/BO$1,"")</f>
        <v>1.4450572878698265</v>
      </c>
      <c r="BP21" s="174">
        <f>IFERROR(VLOOKUP($B21,RD[#All],BP$2,0)/BP$1,"")</f>
        <v>1.6047582761738213</v>
      </c>
      <c r="BQ21" s="174">
        <f>IFERROR(VLOOKUP($B21,RD[#All],BQ$2,0)/BQ$1,"")</f>
        <v>1.5209097578870141</v>
      </c>
      <c r="BR21" s="174">
        <f>IFERROR(VLOOKUP($B21,RD[#All],BR$2,0)/BR$1,"")</f>
        <v>1.5514537249389657</v>
      </c>
      <c r="BS21" s="174">
        <f>IFERROR(VLOOKUP($B21,RD[#All],BS$2,0)/BS$1,"")</f>
        <v>1.4621716380048011</v>
      </c>
      <c r="BT21" s="174">
        <f>IFERROR(VLOOKUP($B21,RD[#All],BT$2,0)/BT$1,"")</f>
        <v>1.4957818721738545</v>
      </c>
      <c r="BU21" s="174">
        <f>IFERROR(VLOOKUP($B21,RD[#All],BU$2,0)/BU$1,"")</f>
        <v>0.69018653690186538</v>
      </c>
      <c r="BV21" s="174">
        <f>IFERROR(VLOOKUP($B21,RD[#All],BV$2,0)/BV$1,"")</f>
        <v>1.1365546218487395</v>
      </c>
      <c r="BW21" s="174">
        <f>IFERROR(VLOOKUP($B21,RD[#All],BW$2,0)/BW$1,"")</f>
        <v>1.5512557201023311</v>
      </c>
      <c r="BX21" s="174">
        <f>IFERROR(VLOOKUP($B21,RD[#All],BX$2,0)/BX$1,"")</f>
        <v>1.5586866853654513</v>
      </c>
      <c r="BY21" s="174">
        <f>AVERAGEIF(Inv_SY_B[[#This Row],[IS1Inv1M1]:[IS4Inv4M2]],"&gt;="&amp;0.1,Inv_SY_B[[#This Row],[IS1Inv1M1]:[IS4Inv4M2]])</f>
        <v>1.562152635632883</v>
      </c>
      <c r="BZ21" s="174">
        <f>AVERAGEIF(Inv_SY_B[[#This Row],[IS5Inv1M1]:[IS9Inv2M2]],"&gt;="&amp;0.1,Inv_SY_B[[#This Row],[IS5Inv1M1]:[IS9Inv2M2]])</f>
        <v>1.5376342444352336</v>
      </c>
      <c r="CA21" s="174">
        <f>AVERAGEIF(Inv_SY_B[[#This Row],[IS10Inv1M1]:[IS14Inv2M4]],"&gt;="&amp;0.1,Inv_SY_B[[#This Row],[IS10Inv1M1]:[IS14Inv2M4]])</f>
        <v>1.4677411629007862</v>
      </c>
    </row>
    <row r="22" spans="2:79">
      <c r="B22" s="179">
        <f t="shared" si="32"/>
        <v>45846</v>
      </c>
      <c r="C22" s="174">
        <f>IFERROR(VLOOKUP($B22,RD[#All],C$2,0)/C$1,"")</f>
        <v>1.7581226645283952</v>
      </c>
      <c r="D22" s="174">
        <f>IFERROR(VLOOKUP($B22,RD[#All],D$2,0)/D$1,"")</f>
        <v>1.7512317508245605</v>
      </c>
      <c r="E22" s="174">
        <f>IFERROR(VLOOKUP($B22,RD[#All],E$2,0)/E$1,"")</f>
        <v>1.7275012903977758</v>
      </c>
      <c r="F22" s="174">
        <f>IFERROR(VLOOKUP($B22,RD[#All],F$2,0)/F$1,"")</f>
        <v>1.7059231149975251</v>
      </c>
      <c r="G22" s="174">
        <f>IFERROR(VLOOKUP($B22,RD[#All],G$2,0)/G$1,"")</f>
        <v>1.7239456837275471</v>
      </c>
      <c r="H22" s="174">
        <f>IFERROR(VLOOKUP($B22,RD[#All],H$2,0)/H$1,"")</f>
        <v>1.7292799881051211</v>
      </c>
      <c r="I22" s="174">
        <f>IFERROR(VLOOKUP($B22,RD[#All],I$2,0)/I$1,"")</f>
        <v>1.756842153266839</v>
      </c>
      <c r="J22" s="174">
        <f>IFERROR(VLOOKUP($B22,RD[#All],J$2,0)/J$1,"")</f>
        <v>1.7655570787491064</v>
      </c>
      <c r="K22" s="174">
        <f>IFERROR(VLOOKUP($B22,RD[#All],K$2,0)/K$1,"")</f>
        <v>1.738570752484619</v>
      </c>
      <c r="L22" s="174">
        <f>IFERROR(VLOOKUP($B22,RD[#All],L$2,0)/L$1,"")</f>
        <v>1.7604782551570097</v>
      </c>
      <c r="M22" s="174">
        <f>IFERROR(VLOOKUP($B22,RD[#All],M$2,0)/M$1,"")</f>
        <v>1.78420810615516</v>
      </c>
      <c r="N22" s="174">
        <f>IFERROR(VLOOKUP($B22,RD[#All],N$2,0)/N$1,"")</f>
        <v>1.7394803692245782</v>
      </c>
      <c r="O22" s="174">
        <f>IFERROR(VLOOKUP($B22,RD[#All],O$2,0)/O$1,"")</f>
        <v>1.8228164245299416</v>
      </c>
      <c r="P22" s="174">
        <f>IFERROR(VLOOKUP($B22,RD[#All],P$2,0)/P$1,"")</f>
        <v>1.6803008230298955</v>
      </c>
      <c r="Q22" s="174">
        <f>IFERROR(VLOOKUP($B22,RD[#All],Q$2,0)/Q$1,"")</f>
        <v>1.7406145451403037</v>
      </c>
      <c r="R22" s="174">
        <f>IFERROR(VLOOKUP($B22,RD[#All],R$2,0)/R$1,"")</f>
        <v>1.7503363308079016</v>
      </c>
      <c r="S22" s="174">
        <f>IFERROR(VLOOKUP($B22,RD[#All],S$2,0)/S$1,"")</f>
        <v>1.7567057732605444</v>
      </c>
      <c r="T22" s="174">
        <f>IFERROR(VLOOKUP($B22,RD[#All],T$2,0)/T$1,"")</f>
        <v>1.7770544104488792</v>
      </c>
      <c r="U22" s="174">
        <f>IFERROR(VLOOKUP($B22,RD[#All],U$2,0)/U$1,"")</f>
        <v>1.7833331766077691</v>
      </c>
      <c r="V22" s="174">
        <f>IFERROR(VLOOKUP($B22,RD[#All],V$2,0)/V$1,"")</f>
        <v>1.7943128945931432</v>
      </c>
      <c r="W22" s="174">
        <f>IFERROR(VLOOKUP($B22,RD[#All],W$2,0)/W$1,"")</f>
        <v>1.7061953473024252</v>
      </c>
      <c r="X22" s="174">
        <f>IFERROR(VLOOKUP($B22,RD[#All],X$2,0)/X$1,"")</f>
        <v>1.6901943364044203</v>
      </c>
      <c r="Y22" s="174">
        <f>IFERROR(VLOOKUP($B22,RD[#All],Y$2,0)/Y$1,"")</f>
        <v>1.7593496829566868</v>
      </c>
      <c r="Z22" s="174">
        <f>IFERROR(VLOOKUP($B22,RD[#All],Z$2,0)/Z$1,"")</f>
        <v>1.7606689527639634</v>
      </c>
      <c r="AA22" s="174">
        <f>IFERROR(VLOOKUP($B22,RD[#All],AA$2,0)/AA$1,"")</f>
        <v>1.7404692082111437</v>
      </c>
      <c r="AB22" s="174">
        <f>IFERROR(VLOOKUP($B22,RD[#All],AB$2,0)/AB$1,"")</f>
        <v>1.7473081640997681</v>
      </c>
      <c r="AC22" s="174">
        <f>IFERROR(VLOOKUP($B22,RD[#All],AC$2,0)/AC$1,"")</f>
        <v>1.7534810576363193</v>
      </c>
      <c r="AD22" s="174">
        <f>IFERROR(VLOOKUP($B22,RD[#All],AD$2,0)/AD$1,"")</f>
        <v>1.7340353414380618</v>
      </c>
      <c r="AE22" s="174">
        <f>IFERROR(VLOOKUP($B22,RD[#All],AE$2,0)/AE$1,"")</f>
        <v>1.724398856566336</v>
      </c>
      <c r="AF22" s="174">
        <f>IFERROR(VLOOKUP($B22,RD[#All],AF$2,0)/AF$1,"")</f>
        <v>1.71208102242585</v>
      </c>
      <c r="AG22" s="174">
        <f>IFERROR(VLOOKUP($B22,RD[#All],AG$2,0)/AG$1,"")</f>
        <v>1.7239743764481394</v>
      </c>
      <c r="AH22" s="174">
        <f>IFERROR(VLOOKUP($B22,RD[#All],AH$2,0)/AH$1,"")</f>
        <v>1.7143775789078828</v>
      </c>
      <c r="AI22" s="174">
        <f>IFERROR(VLOOKUP($B22,RD[#All],AI$2,0)/AI$1,"")</f>
        <v>1.7208123211121713</v>
      </c>
      <c r="AJ22" s="174">
        <f>IFERROR(VLOOKUP($B22,RD[#All],AJ$2,0)/AJ$1,"")</f>
        <v>1.7276678696556993</v>
      </c>
      <c r="AK22" s="174">
        <f>IFERROR(VLOOKUP($B22,RD[#All],AK$2,0)/AK$1,"")</f>
        <v>1.7095265926358856</v>
      </c>
      <c r="AL22" s="174">
        <f>IFERROR(VLOOKUP($B22,RD[#All],AL$2,0)/AL$1,"")</f>
        <v>1.6366879256296616</v>
      </c>
      <c r="AM22" s="174">
        <f>IFERROR(VLOOKUP($B22,RD[#All],AM$2,0)/AM$1,"")</f>
        <v>1.6831463245539049</v>
      </c>
      <c r="AN22" s="174">
        <f>IFERROR(VLOOKUP($B22,RD[#All],AN$2,0)/AN$1,"")</f>
        <v>1.6957332382022927</v>
      </c>
      <c r="AO22" s="174">
        <f>IFERROR(VLOOKUP($B22,RD[#All],AO$2,0)/AO$1,"")</f>
        <v>1.7048200475206472</v>
      </c>
      <c r="AP22" s="174">
        <f>IFERROR(VLOOKUP($B22,RD[#All],AP$2,0)/AP$1,"")</f>
        <v>1.6931754696534222</v>
      </c>
      <c r="AQ22" s="174">
        <f>IFERROR(VLOOKUP($B22,RD[#All],AQ$2,0)/AQ$1,"")</f>
        <v>1.6911029218215319</v>
      </c>
      <c r="AR22" s="174">
        <f>IFERROR(VLOOKUP($B22,RD[#All],AR$2,0)/AR$1,"")</f>
        <v>1.6866747698096873</v>
      </c>
      <c r="AS22" s="174">
        <f>IFERROR(VLOOKUP($B22,RD[#All],AS$2,0)/AS$1,"")</f>
        <v>1.7019461726832812</v>
      </c>
      <c r="AT22" s="174">
        <f>IFERROR(VLOOKUP($B22,RD[#All],AT$2,0)/AT$1,"")</f>
        <v>1.729483983155601</v>
      </c>
      <c r="AU22" s="174">
        <f>IFERROR(VLOOKUP($B22,RD[#All],AU$2,0)/AU$1,"")</f>
        <v>1.6744788114317555</v>
      </c>
      <c r="AV22" s="174">
        <f>IFERROR(VLOOKUP($B22,RD[#All],AV$2,0)/AV$1,"")</f>
        <v>1.7314093877339023</v>
      </c>
      <c r="AW22" s="174">
        <f>IFERROR(VLOOKUP($B22,RD[#All],AW$2,0)/AW$1,"")</f>
        <v>1.8629909644108429</v>
      </c>
      <c r="AX22" s="174">
        <f>IFERROR(VLOOKUP($B22,RD[#All],AX$2,0)/AX$1,"")</f>
        <v>1.8282719435736678</v>
      </c>
      <c r="AY22" s="174">
        <f>IFERROR(VLOOKUP($B22,RD[#All],AY$2,0)/AY$1,"")</f>
        <v>1.2964492584222966</v>
      </c>
      <c r="AZ22" s="174">
        <f>IFERROR(VLOOKUP($B22,RD[#All],AZ$2,0)/AZ$1,"")</f>
        <v>1.7885529376074427</v>
      </c>
      <c r="BA22" s="174">
        <f>IFERROR(VLOOKUP($B22,RD[#All],BA$2,0)/BA$1,"")</f>
        <v>1.8031076270146087</v>
      </c>
      <c r="BB22" s="174">
        <f>IFERROR(VLOOKUP($B22,RD[#All],BB$2,0)/BB$1,"")</f>
        <v>1.872651681895996</v>
      </c>
      <c r="BC22" s="174">
        <f>IFERROR(VLOOKUP($B22,RD[#All],BC$2,0)/BC$1,"")</f>
        <v>1.8201522615315719</v>
      </c>
      <c r="BD22" s="174">
        <f>IFERROR(VLOOKUP($B22,RD[#All],BD$2,0)/BD$1,"")</f>
        <v>1.8834642940191917</v>
      </c>
      <c r="BE22" s="174">
        <f>IFERROR(VLOOKUP($B22,RD[#All],BE$2,0)/BE$1,"")</f>
        <v>1.8257726565525492</v>
      </c>
      <c r="BF22" s="174">
        <f>IFERROR(VLOOKUP($B22,RD[#All],BF$2,0)/BF$1,"")</f>
        <v>1.7711750112389484</v>
      </c>
      <c r="BG22" s="174">
        <f>IFERROR(VLOOKUP($B22,RD[#All],BG$2,0)/BG$1,"")</f>
        <v>1.8591642460671252</v>
      </c>
      <c r="BH22" s="174">
        <f>IFERROR(VLOOKUP($B22,RD[#All],BH$2,0)/BH$1,"")</f>
        <v>1.8391763250985018</v>
      </c>
      <c r="BI22" s="174">
        <f>IFERROR(VLOOKUP($B22,RD[#All],BI$2,0)/BI$1,"")</f>
        <v>1.8629290796778482</v>
      </c>
      <c r="BJ22" s="174">
        <f>IFERROR(VLOOKUP($B22,RD[#All],BJ$2,0)/BJ$1,"")</f>
        <v>1.8767080020324363</v>
      </c>
      <c r="BK22" s="174">
        <f>IFERROR(VLOOKUP($B22,RD[#All],BK$2,0)/BK$1,"")</f>
        <v>1.8849698244559638</v>
      </c>
      <c r="BL22" s="174">
        <f>IFERROR(VLOOKUP($B22,RD[#All],BL$2,0)/BL$1,"")</f>
        <v>1.8628676795615</v>
      </c>
      <c r="BM22" s="174">
        <f>IFERROR(VLOOKUP($B22,RD[#All],BM$2,0)/BM$1,"")</f>
        <v>1.8887653416983821</v>
      </c>
      <c r="BN22" s="174">
        <f>IFERROR(VLOOKUP($B22,RD[#All],BN$2,0)/BN$1,"")</f>
        <v>1.862153470899897</v>
      </c>
      <c r="BO22" s="174">
        <f>IFERROR(VLOOKUP($B22,RD[#All],BO$2,0)/BO$1,"")</f>
        <v>1.6734935284651251</v>
      </c>
      <c r="BP22" s="174">
        <f>IFERROR(VLOOKUP($B22,RD[#All],BP$2,0)/BP$1,"")</f>
        <v>1.8769816669617372</v>
      </c>
      <c r="BQ22" s="174">
        <f>IFERROR(VLOOKUP($B22,RD[#All],BQ$2,0)/BQ$1,"")</f>
        <v>1.7997065297138666</v>
      </c>
      <c r="BR22" s="174">
        <f>IFERROR(VLOOKUP($B22,RD[#All],BR$2,0)/BR$1,"")</f>
        <v>1.8415328845157948</v>
      </c>
      <c r="BS22" s="174">
        <f>IFERROR(VLOOKUP($B22,RD[#All],BS$2,0)/BS$1,"")</f>
        <v>1.7616635240842971</v>
      </c>
      <c r="BT22" s="174">
        <f>IFERROR(VLOOKUP($B22,RD[#All],BT$2,0)/BT$1,"")</f>
        <v>1.7870014172909496</v>
      </c>
      <c r="BU22" s="174">
        <f>IFERROR(VLOOKUP($B22,RD[#All],BU$2,0)/BU$1,"")</f>
        <v>0.84177541841775427</v>
      </c>
      <c r="BV22" s="174">
        <f>IFERROR(VLOOKUP($B22,RD[#All],BV$2,0)/BV$1,"")</f>
        <v>1.4842436974789917</v>
      </c>
      <c r="BW22" s="174">
        <f>IFERROR(VLOOKUP($B22,RD[#All],BW$2,0)/BW$1,"")</f>
        <v>1.8281987532879327</v>
      </c>
      <c r="BX22" s="174">
        <f>IFERROR(VLOOKUP($B22,RD[#All],BX$2,0)/BX$1,"")</f>
        <v>1.8277511961722488</v>
      </c>
      <c r="BY22" s="174">
        <f>AVERAGEIF(Inv_SY_B[[#This Row],[IS1Inv1M1]:[IS4Inv4M2]],"&gt;="&amp;0.1,Inv_SY_B[[#This Row],[IS1Inv1M1]:[IS4Inv4M2]])</f>
        <v>1.7477970598874788</v>
      </c>
      <c r="BZ22" s="174">
        <f>AVERAGEIF(Inv_SY_B[[#This Row],[IS5Inv1M1]:[IS9Inv2M2]],"&gt;="&amp;0.1,Inv_SY_B[[#This Row],[IS5Inv1M1]:[IS9Inv2M2]])</f>
        <v>1.7034165372193142</v>
      </c>
      <c r="CA22" s="174">
        <f>AVERAGEIF(Inv_SY_B[[#This Row],[IS10Inv1M1]:[IS14Inv2M4]],"&gt;="&amp;0.1,Inv_SY_B[[#This Row],[IS10Inv1M1]:[IS14Inv2M4]])</f>
        <v>1.7647025436481241</v>
      </c>
    </row>
    <row r="23" spans="2:79">
      <c r="B23" s="179">
        <f t="shared" si="32"/>
        <v>45847</v>
      </c>
      <c r="C23" s="174">
        <f>IFERROR(VLOOKUP($B23,RD[#All],C$2,0)/C$1,"")</f>
        <v>1.909472187332621</v>
      </c>
      <c r="D23" s="174">
        <f>IFERROR(VLOOKUP($B23,RD[#All],D$2,0)/D$1,"")</f>
        <v>1.9048991264200763</v>
      </c>
      <c r="E23" s="174">
        <f>IFERROR(VLOOKUP($B23,RD[#All],E$2,0)/E$1,"")</f>
        <v>1.8800845834928988</v>
      </c>
      <c r="F23" s="174">
        <f>IFERROR(VLOOKUP($B23,RD[#All],F$2,0)/F$1,"")</f>
        <v>1.8594951328163669</v>
      </c>
      <c r="G23" s="174">
        <f>IFERROR(VLOOKUP($B23,RD[#All],G$2,0)/G$1,"")</f>
        <v>1.8799864145236431</v>
      </c>
      <c r="H23" s="174">
        <f>IFERROR(VLOOKUP($B23,RD[#All],H$2,0)/H$1,"")</f>
        <v>1.8811255529260162</v>
      </c>
      <c r="I23" s="174">
        <f>IFERROR(VLOOKUP($B23,RD[#All],I$2,0)/I$1,"")</f>
        <v>1.8913073219672045</v>
      </c>
      <c r="J23" s="174">
        <f>IFERROR(VLOOKUP($B23,RD[#All],J$2,0)/J$1,"")</f>
        <v>1.9161774871993158</v>
      </c>
      <c r="K23" s="174">
        <f>IFERROR(VLOOKUP($B23,RD[#All],K$2,0)/K$1,"")</f>
        <v>1.892853762423095</v>
      </c>
      <c r="L23" s="174">
        <f>IFERROR(VLOOKUP($B23,RD[#All],L$2,0)/L$1,"")</f>
        <v>1.9262252003678884</v>
      </c>
      <c r="M23" s="174">
        <f>IFERROR(VLOOKUP($B23,RD[#All],M$2,0)/M$1,"")</f>
        <v>1.9542797083360706</v>
      </c>
      <c r="N23" s="174">
        <f>IFERROR(VLOOKUP($B23,RD[#All],N$2,0)/N$1,"")</f>
        <v>1.9045373374581858</v>
      </c>
      <c r="O23" s="174">
        <f>IFERROR(VLOOKUP($B23,RD[#All],O$2,0)/O$1,"")</f>
        <v>1.9858644506382239</v>
      </c>
      <c r="P23" s="174">
        <f>IFERROR(VLOOKUP($B23,RD[#All],P$2,0)/P$1,"")</f>
        <v>1.8447822892931405</v>
      </c>
      <c r="Q23" s="174">
        <f>IFERROR(VLOOKUP($B23,RD[#All],Q$2,0)/Q$1,"")</f>
        <v>1.9015962371764008</v>
      </c>
      <c r="R23" s="174">
        <f>IFERROR(VLOOKUP($B23,RD[#All],R$2,0)/R$1,"")</f>
        <v>1.9070117731875147</v>
      </c>
      <c r="S23" s="174">
        <f>IFERROR(VLOOKUP($B23,RD[#All],S$2,0)/S$1,"")</f>
        <v>1.9158443069678226</v>
      </c>
      <c r="T23" s="174">
        <f>IFERROR(VLOOKUP($B23,RD[#All],T$2,0)/T$1,"")</f>
        <v>1.9440631920742695</v>
      </c>
      <c r="U23" s="174">
        <f>IFERROR(VLOOKUP($B23,RD[#All],U$2,0)/U$1,"")</f>
        <v>1.9379742907384594</v>
      </c>
      <c r="V23" s="174">
        <f>IFERROR(VLOOKUP($B23,RD[#All],V$2,0)/V$1,"")</f>
        <v>1.9493296147371937</v>
      </c>
      <c r="W23" s="174">
        <f>IFERROR(VLOOKUP($B23,RD[#All],W$2,0)/W$1,"")</f>
        <v>1.8866523675961062</v>
      </c>
      <c r="X23" s="174">
        <f>IFERROR(VLOOKUP($B23,RD[#All],X$2,0)/X$1,"")</f>
        <v>1.8705260409425535</v>
      </c>
      <c r="Y23" s="174">
        <f>IFERROR(VLOOKUP($B23,RD[#All],Y$2,0)/Y$1,"")</f>
        <v>1.9463662664080801</v>
      </c>
      <c r="Z23" s="174">
        <f>IFERROR(VLOOKUP($B23,RD[#All],Z$2,0)/Z$1,"")</f>
        <v>1.9514264169913282</v>
      </c>
      <c r="AA23" s="174">
        <f>IFERROR(VLOOKUP($B23,RD[#All],AA$2,0)/AA$1,"")</f>
        <v>1.923432917888563</v>
      </c>
      <c r="AB23" s="174">
        <f>IFERROR(VLOOKUP($B23,RD[#All],AB$2,0)/AB$1,"")</f>
        <v>1.9208577529417106</v>
      </c>
      <c r="AC23" s="174">
        <f>IFERROR(VLOOKUP($B23,RD[#All],AC$2,0)/AC$1,"")</f>
        <v>1.9356376857442839</v>
      </c>
      <c r="AD23" s="174">
        <f>IFERROR(VLOOKUP($B23,RD[#All],AD$2,0)/AD$1,"")</f>
        <v>1.9175667736249828</v>
      </c>
      <c r="AE23" s="174">
        <f>IFERROR(VLOOKUP($B23,RD[#All],AE$2,0)/AE$1,"")</f>
        <v>1.9390729219214171</v>
      </c>
      <c r="AF23" s="174">
        <f>IFERROR(VLOOKUP($B23,RD[#All],AF$2,0)/AF$1,"")</f>
        <v>1.9234252337700612</v>
      </c>
      <c r="AG23" s="174">
        <f>IFERROR(VLOOKUP($B23,RD[#All],AG$2,0)/AG$1,"")</f>
        <v>1.9345781654627232</v>
      </c>
      <c r="AH23" s="174">
        <f>IFERROR(VLOOKUP($B23,RD[#All],AH$2,0)/AH$1,"")</f>
        <v>1.9214404372756015</v>
      </c>
      <c r="AI23" s="174">
        <f>IFERROR(VLOOKUP($B23,RD[#All],AI$2,0)/AI$1,"")</f>
        <v>1.9349597928308573</v>
      </c>
      <c r="AJ23" s="174">
        <f>IFERROR(VLOOKUP($B23,RD[#All],AJ$2,0)/AJ$1,"")</f>
        <v>1.9434682964094729</v>
      </c>
      <c r="AK23" s="174">
        <f>IFERROR(VLOOKUP($B23,RD[#All],AK$2,0)/AK$1,"")</f>
        <v>1.9207268476701558</v>
      </c>
      <c r="AL23" s="174">
        <f>IFERROR(VLOOKUP($B23,RD[#All],AL$2,0)/AL$1,"")</f>
        <v>1.8772024645984215</v>
      </c>
      <c r="AM23" s="174">
        <f>IFERROR(VLOOKUP($B23,RD[#All],AM$2,0)/AM$1,"")</f>
        <v>1.9041240652365599</v>
      </c>
      <c r="AN23" s="174">
        <f>IFERROR(VLOOKUP($B23,RD[#All],AN$2,0)/AN$1,"")</f>
        <v>1.9187975795432362</v>
      </c>
      <c r="AO23" s="174">
        <f>IFERROR(VLOOKUP($B23,RD[#All],AO$2,0)/AO$1,"")</f>
        <v>1.9276151500669731</v>
      </c>
      <c r="AP23" s="174">
        <f>IFERROR(VLOOKUP($B23,RD[#All],AP$2,0)/AP$1,"")</f>
        <v>1.9119319902804794</v>
      </c>
      <c r="AQ23" s="174">
        <f>IFERROR(VLOOKUP($B23,RD[#All],AQ$2,0)/AQ$1,"")</f>
        <v>1.9112266385891024</v>
      </c>
      <c r="AR23" s="174">
        <f>IFERROR(VLOOKUP($B23,RD[#All],AR$2,0)/AR$1,"")</f>
        <v>1.9077240713298591</v>
      </c>
      <c r="AS23" s="174">
        <f>IFERROR(VLOOKUP($B23,RD[#All],AS$2,0)/AS$1,"")</f>
        <v>1.9148183298768555</v>
      </c>
      <c r="AT23" s="174">
        <f>IFERROR(VLOOKUP($B23,RD[#All],AT$2,0)/AT$1,"")</f>
        <v>1.9482097588569272</v>
      </c>
      <c r="AU23" s="174">
        <f>IFERROR(VLOOKUP($B23,RD[#All],AU$2,0)/AU$1,"")</f>
        <v>1.954845319533651</v>
      </c>
      <c r="AV23" s="174">
        <f>IFERROR(VLOOKUP($B23,RD[#All],AV$2,0)/AV$1,"")</f>
        <v>1.9551719416205902</v>
      </c>
      <c r="AW23" s="174">
        <f>IFERROR(VLOOKUP($B23,RD[#All],AW$2,0)/AW$1,"")</f>
        <v>1.9704038355153974</v>
      </c>
      <c r="AX23" s="174">
        <f>IFERROR(VLOOKUP($B23,RD[#All],AX$2,0)/AX$1,"")</f>
        <v>1.8894004702194358</v>
      </c>
      <c r="AY23" s="174">
        <f>IFERROR(VLOOKUP($B23,RD[#All],AY$2,0)/AY$1,"")</f>
        <v>1.8796851866282243</v>
      </c>
      <c r="AZ23" s="174">
        <f>IFERROR(VLOOKUP($B23,RD[#All],AZ$2,0)/AZ$1,"")</f>
        <v>2.0237637779350792</v>
      </c>
      <c r="BA23" s="174">
        <f>IFERROR(VLOOKUP($B23,RD[#All],BA$2,0)/BA$1,"")</f>
        <v>1.8966696480244118</v>
      </c>
      <c r="BB23" s="174">
        <f>IFERROR(VLOOKUP($B23,RD[#All],BB$2,0)/BB$1,"")</f>
        <v>1.9679850596945241</v>
      </c>
      <c r="BC23" s="174">
        <f>IFERROR(VLOOKUP($B23,RD[#All],BC$2,0)/BC$1,"")</f>
        <v>1.9508284818629646</v>
      </c>
      <c r="BD23" s="174">
        <f>IFERROR(VLOOKUP($B23,RD[#All],BD$2,0)/BD$1,"")</f>
        <v>1.9832431624728892</v>
      </c>
      <c r="BE23" s="174">
        <f>IFERROR(VLOOKUP($B23,RD[#All],BE$2,0)/BE$1,"")</f>
        <v>1.9321679224388026</v>
      </c>
      <c r="BF23" s="174">
        <f>IFERROR(VLOOKUP($B23,RD[#All],BF$2,0)/BF$1,"")</f>
        <v>1.8719092891989542</v>
      </c>
      <c r="BG23" s="174">
        <f>IFERROR(VLOOKUP($B23,RD[#All],BG$2,0)/BG$1,"")</f>
        <v>1.9712547812832533</v>
      </c>
      <c r="BH23" s="174">
        <f>IFERROR(VLOOKUP($B23,RD[#All],BH$2,0)/BH$1,"")</f>
        <v>1.9491817894222199</v>
      </c>
      <c r="BI23" s="174">
        <f>IFERROR(VLOOKUP($B23,RD[#All],BI$2,0)/BI$1,"")</f>
        <v>1.9583235593087809</v>
      </c>
      <c r="BJ23" s="174">
        <f>IFERROR(VLOOKUP($B23,RD[#All],BJ$2,0)/BJ$1,"")</f>
        <v>1.9716694818659963</v>
      </c>
      <c r="BK23" s="174">
        <f>IFERROR(VLOOKUP($B23,RD[#All],BK$2,0)/BK$1,"")</f>
        <v>1.9829464352790926</v>
      </c>
      <c r="BL23" s="174">
        <f>IFERROR(VLOOKUP($B23,RD[#All],BL$2,0)/BL$1,"")</f>
        <v>1.9623890172899381</v>
      </c>
      <c r="BM23" s="174">
        <f>IFERROR(VLOOKUP($B23,RD[#All],BM$2,0)/BM$1,"")</f>
        <v>1.9833844095498965</v>
      </c>
      <c r="BN23" s="174">
        <f>IFERROR(VLOOKUP($B23,RD[#All],BN$2,0)/BN$1,"")</f>
        <v>1.9655297386542101</v>
      </c>
      <c r="BO23" s="174">
        <f>IFERROR(VLOOKUP($B23,RD[#All],BO$2,0)/BO$1,"")</f>
        <v>1.7578366779912795</v>
      </c>
      <c r="BP23" s="174">
        <f>IFERROR(VLOOKUP($B23,RD[#All],BP$2,0)/BP$1,"")</f>
        <v>1.9680002930355767</v>
      </c>
      <c r="BQ23" s="174">
        <f>IFERROR(VLOOKUP($B23,RD[#All],BQ$2,0)/BQ$1,"")</f>
        <v>1.8896151537384112</v>
      </c>
      <c r="BR23" s="174">
        <f>IFERROR(VLOOKUP($B23,RD[#All],BR$2,0)/BR$1,"")</f>
        <v>1.9346748538876968</v>
      </c>
      <c r="BS23" s="174">
        <f>IFERROR(VLOOKUP($B23,RD[#All],BS$2,0)/BS$1,"")</f>
        <v>1.8339807810263751</v>
      </c>
      <c r="BT23" s="174">
        <f>IFERROR(VLOOKUP($B23,RD[#All],BT$2,0)/BT$1,"")</f>
        <v>1.8745360059391238</v>
      </c>
      <c r="BU23" s="174">
        <f>IFERROR(VLOOKUP($B23,RD[#All],BU$2,0)/BU$1,"")</f>
        <v>0.88166334881663344</v>
      </c>
      <c r="BV23" s="174">
        <f>IFERROR(VLOOKUP($B23,RD[#All],BV$2,0)/BV$1,"")</f>
        <v>1.5871848739495797</v>
      </c>
      <c r="BW23" s="174">
        <f>IFERROR(VLOOKUP($B23,RD[#All],BW$2,0)/BW$1,"")</f>
        <v>1.925341404532843</v>
      </c>
      <c r="BX23" s="174">
        <f>IFERROR(VLOOKUP($B23,RD[#All],BX$2,0)/BX$1,"")</f>
        <v>1.9260188087774295</v>
      </c>
      <c r="BY23" s="174">
        <f>AVERAGEIF(Inv_SY_B[[#This Row],[IS1Inv1M1]:[IS4Inv4M2]],"&gt;="&amp;0.1,Inv_SY_B[[#This Row],[IS1Inv1M1]:[IS4Inv4M2]])</f>
        <v>1.9121205782933575</v>
      </c>
      <c r="BZ23" s="174">
        <f>AVERAGEIF(Inv_SY_B[[#This Row],[IS5Inv1M1]:[IS9Inv2M2]],"&gt;="&amp;0.1,Inv_SY_B[[#This Row],[IS5Inv1M1]:[IS9Inv2M2]])</f>
        <v>1.9249632780484969</v>
      </c>
      <c r="CA23" s="174">
        <f>AVERAGEIF(Inv_SY_B[[#This Row],[IS10Inv1M1]:[IS14Inv2M4]],"&gt;="&amp;0.1,Inv_SY_B[[#This Row],[IS10Inv1M1]:[IS14Inv2M4]])</f>
        <v>1.8817710088692507</v>
      </c>
    </row>
    <row r="24" spans="2:79">
      <c r="B24" s="179">
        <f t="shared" si="32"/>
        <v>45848</v>
      </c>
      <c r="C24" s="174">
        <f>IFERROR(VLOOKUP($B24,RD[#All],C$2,0)/C$1,"")</f>
        <v>2.1943801466511723</v>
      </c>
      <c r="D24" s="174">
        <f>IFERROR(VLOOKUP($B24,RD[#All],D$2,0)/D$1,"")</f>
        <v>2.1884915476678954</v>
      </c>
      <c r="E24" s="174">
        <f>IFERROR(VLOOKUP($B24,RD[#All],E$2,0)/E$1,"")</f>
        <v>2.1664030370136036</v>
      </c>
      <c r="F24" s="174">
        <f>IFERROR(VLOOKUP($B24,RD[#All],F$2,0)/F$1,"")</f>
        <v>2.1359511631743935</v>
      </c>
      <c r="G24" s="174">
        <f>IFERROR(VLOOKUP($B24,RD[#All],G$2,0)/G$1,"")</f>
        <v>2.1636152746893607</v>
      </c>
      <c r="H24" s="174">
        <f>IFERROR(VLOOKUP($B24,RD[#All],H$2,0)/H$1,"")</f>
        <v>2.1677797464903912</v>
      </c>
      <c r="I24" s="174">
        <f>IFERROR(VLOOKUP($B24,RD[#All],I$2,0)/I$1,"")</f>
        <v>2.2025837638520622</v>
      </c>
      <c r="J24" s="174">
        <f>IFERROR(VLOOKUP($B24,RD[#All],J$2,0)/J$1,"")</f>
        <v>2.2095094145078327</v>
      </c>
      <c r="K24" s="174">
        <f>IFERROR(VLOOKUP($B24,RD[#All],K$2,0)/K$1,"")</f>
        <v>2.123426407950781</v>
      </c>
      <c r="L24" s="174">
        <f>IFERROR(VLOOKUP($B24,RD[#All],L$2,0)/L$1,"")</f>
        <v>2.2093680199710946</v>
      </c>
      <c r="M24" s="174">
        <f>IFERROR(VLOOKUP($B24,RD[#All],M$2,0)/M$1,"")</f>
        <v>2.236812717598371</v>
      </c>
      <c r="N24" s="174">
        <f>IFERROR(VLOOKUP($B24,RD[#All],N$2,0)/N$1,"")</f>
        <v>2.1829648633013909</v>
      </c>
      <c r="O24" s="174">
        <f>IFERROR(VLOOKUP($B24,RD[#All],O$2,0)/O$1,"")</f>
        <v>2.2752698692654794</v>
      </c>
      <c r="P24" s="174">
        <f>IFERROR(VLOOKUP($B24,RD[#All],P$2,0)/P$1,"")</f>
        <v>2.1132319798787247</v>
      </c>
      <c r="Q24" s="174">
        <f>IFERROR(VLOOKUP($B24,RD[#All],Q$2,0)/Q$1,"")</f>
        <v>2.1781909312000791</v>
      </c>
      <c r="R24" s="174">
        <f>IFERROR(VLOOKUP($B24,RD[#All],R$2,0)/R$1,"")</f>
        <v>2.1835432852922052</v>
      </c>
      <c r="S24" s="174">
        <f>IFERROR(VLOOKUP($B24,RD[#All],S$2,0)/S$1,"")</f>
        <v>2.1841206925548988</v>
      </c>
      <c r="T24" s="174">
        <f>IFERROR(VLOOKUP($B24,RD[#All],T$2,0)/T$1,"")</f>
        <v>2.2141113310903551</v>
      </c>
      <c r="U24" s="174">
        <f>IFERROR(VLOOKUP($B24,RD[#All],U$2,0)/U$1,"")</f>
        <v>2.2051757050299501</v>
      </c>
      <c r="V24" s="174">
        <f>IFERROR(VLOOKUP($B24,RD[#All],V$2,0)/V$1,"")</f>
        <v>2.2192437350229484</v>
      </c>
      <c r="W24" s="174">
        <f>IFERROR(VLOOKUP($B24,RD[#All],W$2,0)/W$1,"")</f>
        <v>2.1191635043722155</v>
      </c>
      <c r="X24" s="174">
        <f>IFERROR(VLOOKUP($B24,RD[#All],X$2,0)/X$1,"")</f>
        <v>2.1194231284397134</v>
      </c>
      <c r="Y24" s="174">
        <f>IFERROR(VLOOKUP($B24,RD[#All],Y$2,0)/Y$1,"")</f>
        <v>2.2079785795175808</v>
      </c>
      <c r="Z24" s="174">
        <f>IFERROR(VLOOKUP($B24,RD[#All],Z$2,0)/Z$1,"")</f>
        <v>2.2132803102389631</v>
      </c>
      <c r="AA24" s="174">
        <f>IFERROR(VLOOKUP($B24,RD[#All],AA$2,0)/AA$1,"")</f>
        <v>2.2024376832844577</v>
      </c>
      <c r="AB24" s="174">
        <f>IFERROR(VLOOKUP($B24,RD[#All],AB$2,0)/AB$1,"")</f>
        <v>2.1825450910908177</v>
      </c>
      <c r="AC24" s="174">
        <f>IFERROR(VLOOKUP($B24,RD[#All],AC$2,0)/AC$1,"")</f>
        <v>2.196516420688738</v>
      </c>
      <c r="AD24" s="174">
        <f>IFERROR(VLOOKUP($B24,RD[#All],AD$2,0)/AD$1,"")</f>
        <v>2.1761648664527495</v>
      </c>
      <c r="AE24" s="174">
        <f>IFERROR(VLOOKUP($B24,RD[#All],AE$2,0)/AE$1,"")</f>
        <v>2.1618182837284907</v>
      </c>
      <c r="AF24" s="174">
        <f>IFERROR(VLOOKUP($B24,RD[#All],AF$2,0)/AF$1,"")</f>
        <v>2.1507381507381504</v>
      </c>
      <c r="AG24" s="174">
        <f>IFERROR(VLOOKUP($B24,RD[#All],AG$2,0)/AG$1,"")</f>
        <v>2.1684067057380401</v>
      </c>
      <c r="AH24" s="174">
        <f>IFERROR(VLOOKUP($B24,RD[#All],AH$2,0)/AH$1,"")</f>
        <v>2.1532608113177214</v>
      </c>
      <c r="AI24" s="174">
        <f>IFERROR(VLOOKUP($B24,RD[#All],AI$2,0)/AI$1,"")</f>
        <v>2.1637726591249828</v>
      </c>
      <c r="AJ24" s="174">
        <f>IFERROR(VLOOKUP($B24,RD[#All],AJ$2,0)/AJ$1,"")</f>
        <v>2.1750744184821262</v>
      </c>
      <c r="AK24" s="174">
        <f>IFERROR(VLOOKUP($B24,RD[#All],AK$2,0)/AK$1,"")</f>
        <v>2.1456883268689233</v>
      </c>
      <c r="AL24" s="174">
        <f>IFERROR(VLOOKUP($B24,RD[#All],AL$2,0)/AL$1,"")</f>
        <v>1.9965949627067343</v>
      </c>
      <c r="AM24" s="174">
        <f>IFERROR(VLOOKUP($B24,RD[#All],AM$2,0)/AM$1,"")</f>
        <v>2.1446889282276684</v>
      </c>
      <c r="AN24" s="174">
        <f>IFERROR(VLOOKUP($B24,RD[#All],AN$2,0)/AN$1,"")</f>
        <v>2.1627279274670688</v>
      </c>
      <c r="AO24" s="174">
        <f>IFERROR(VLOOKUP($B24,RD[#All],AO$2,0)/AO$1,"")</f>
        <v>2.1702666137163704</v>
      </c>
      <c r="AP24" s="174">
        <f>IFERROR(VLOOKUP($B24,RD[#All],AP$2,0)/AP$1,"")</f>
        <v>2.1513525883944618</v>
      </c>
      <c r="AQ24" s="174">
        <f>IFERROR(VLOOKUP($B24,RD[#All],AQ$2,0)/AQ$1,"")</f>
        <v>2.152145301395104</v>
      </c>
      <c r="AR24" s="174">
        <f>IFERROR(VLOOKUP($B24,RD[#All],AR$2,0)/AR$1,"")</f>
        <v>2.1486871243277443</v>
      </c>
      <c r="AS24" s="174">
        <f>IFERROR(VLOOKUP($B24,RD[#All],AS$2,0)/AS$1,"")</f>
        <v>2.141047722825641</v>
      </c>
      <c r="AT24" s="174">
        <f>IFERROR(VLOOKUP($B24,RD[#All],AT$2,0)/AT$1,"")</f>
        <v>2.1730950535291527</v>
      </c>
      <c r="AU24" s="174">
        <f>IFERROR(VLOOKUP($B24,RD[#All],AU$2,0)/AU$1,"")</f>
        <v>2.1763522750029747</v>
      </c>
      <c r="AV24" s="174">
        <f>IFERROR(VLOOKUP($B24,RD[#All],AV$2,0)/AV$1,"")</f>
        <v>2.1836090033854769</v>
      </c>
      <c r="AW24" s="174">
        <f>IFERROR(VLOOKUP($B24,RD[#All],AW$2,0)/AW$1,"")</f>
        <v>2.3008482389821134</v>
      </c>
      <c r="AX24" s="174">
        <f>IFERROR(VLOOKUP($B24,RD[#All],AX$2,0)/AX$1,"")</f>
        <v>2.3259208463949848</v>
      </c>
      <c r="AY24" s="174">
        <f>IFERROR(VLOOKUP($B24,RD[#All],AY$2,0)/AY$1,"")</f>
        <v>2.2120574560378192</v>
      </c>
      <c r="AZ24" s="174">
        <f>IFERROR(VLOOKUP($B24,RD[#All],AZ$2,0)/AZ$1,"")</f>
        <v>2.3679846293861866</v>
      </c>
      <c r="BA24" s="174">
        <f>IFERROR(VLOOKUP($B24,RD[#All],BA$2,0)/BA$1,"")</f>
        <v>2.226197365882745</v>
      </c>
      <c r="BB24" s="174">
        <f>IFERROR(VLOOKUP($B24,RD[#All],BB$2,0)/BB$1,"")</f>
        <v>2.3135240890193205</v>
      </c>
      <c r="BC24" s="174">
        <f>IFERROR(VLOOKUP($B24,RD[#All],BC$2,0)/BC$1,"")</f>
        <v>2.2879086430810567</v>
      </c>
      <c r="BD24" s="174">
        <f>IFERROR(VLOOKUP($B24,RD[#All],BD$2,0)/BD$1,"")</f>
        <v>2.293278255280057</v>
      </c>
      <c r="BE24" s="174">
        <f>IFERROR(VLOOKUP($B24,RD[#All],BE$2,0)/BE$1,"")</f>
        <v>2.2756765203448674</v>
      </c>
      <c r="BF24" s="174">
        <f>IFERROR(VLOOKUP($B24,RD[#All],BF$2,0)/BF$1,"")</f>
        <v>2.2197339283038344</v>
      </c>
      <c r="BG24" s="174">
        <f>IFERROR(VLOOKUP($B24,RD[#All],BG$2,0)/BG$1,"")</f>
        <v>2.3226251761525409</v>
      </c>
      <c r="BH24" s="174">
        <f>IFERROR(VLOOKUP($B24,RD[#All],BH$2,0)/BH$1,"")</f>
        <v>2.2576284835063705</v>
      </c>
      <c r="BI24" s="174">
        <f>IFERROR(VLOOKUP($B24,RD[#All],BI$2,0)/BI$1,"")</f>
        <v>2.3309093752443504</v>
      </c>
      <c r="BJ24" s="174">
        <f>IFERROR(VLOOKUP($B24,RD[#All],BJ$2,0)/BJ$1,"")</f>
        <v>2.3489061920652574</v>
      </c>
      <c r="BK24" s="174">
        <f>IFERROR(VLOOKUP($B24,RD[#All],BK$2,0)/BK$1,"")</f>
        <v>2.3572609120276464</v>
      </c>
      <c r="BL24" s="174">
        <f>IFERROR(VLOOKUP($B24,RD[#All],BL$2,0)/BL$1,"")</f>
        <v>2.3271321941423864</v>
      </c>
      <c r="BM24" s="174">
        <f>IFERROR(VLOOKUP($B24,RD[#All],BM$2,0)/BM$1,"")</f>
        <v>2.3425752658524606</v>
      </c>
      <c r="BN24" s="174">
        <f>IFERROR(VLOOKUP($B24,RD[#All],BN$2,0)/BN$1,"")</f>
        <v>2.3154673217090163</v>
      </c>
      <c r="BO24" s="174">
        <f>IFERROR(VLOOKUP($B24,RD[#All],BO$2,0)/BO$1,"")</f>
        <v>2.1116047480846731</v>
      </c>
      <c r="BP24" s="174">
        <f>IFERROR(VLOOKUP($B24,RD[#All],BP$2,0)/BP$1,"")</f>
        <v>2.329299839218927</v>
      </c>
      <c r="BQ24" s="174">
        <f>IFERROR(VLOOKUP($B24,RD[#All],BQ$2,0)/BQ$1,"")</f>
        <v>2.2500500233442273</v>
      </c>
      <c r="BR24" s="174">
        <f>IFERROR(VLOOKUP($B24,RD[#All],BR$2,0)/BR$1,"")</f>
        <v>2.3031737811644595</v>
      </c>
      <c r="BS24" s="174">
        <f>IFERROR(VLOOKUP($B24,RD[#All],BS$2,0)/BS$1,"")</f>
        <v>2.2048812255313992</v>
      </c>
      <c r="BT24" s="174">
        <f>IFERROR(VLOOKUP($B24,RD[#All],BT$2,0)/BT$1,"")</f>
        <v>2.2387797799824525</v>
      </c>
      <c r="BU24" s="174">
        <f>IFERROR(VLOOKUP($B24,RD[#All],BU$2,0)/BU$1,"")</f>
        <v>1.0732876207328763</v>
      </c>
      <c r="BV24" s="174">
        <f>IFERROR(VLOOKUP($B24,RD[#All],BV$2,0)/BV$1,"")</f>
        <v>2.0525210084033612</v>
      </c>
      <c r="BW24" s="174">
        <f>IFERROR(VLOOKUP($B24,RD[#All],BW$2,0)/BW$1,"")</f>
        <v>2.2955356177710518</v>
      </c>
      <c r="BX24" s="174">
        <f>IFERROR(VLOOKUP($B24,RD[#All],BX$2,0)/BX$1,"")</f>
        <v>2.2932189407688504</v>
      </c>
      <c r="BY24" s="174">
        <f>AVERAGEIF(Inv_SY_B[[#This Row],[IS1Inv1M1]:[IS4Inv4M2]],"&gt;="&amp;0.1,Inv_SY_B[[#This Row],[IS1Inv1M1]:[IS4Inv4M2]])</f>
        <v>2.1847029720102937</v>
      </c>
      <c r="BZ24" s="174">
        <f>AVERAGEIF(Inv_SY_B[[#This Row],[IS5Inv1M1]:[IS9Inv2M2]],"&gt;="&amp;0.1,Inv_SY_B[[#This Row],[IS5Inv1M1]:[IS9Inv2M2]])</f>
        <v>2.1510737142764906</v>
      </c>
      <c r="CA24" s="174">
        <f>AVERAGEIF(Inv_SY_B[[#This Row],[IS10Inv1M1]:[IS14Inv2M4]],"&gt;="&amp;0.1,Inv_SY_B[[#This Row],[IS10Inv1M1]:[IS14Inv2M4]])</f>
        <v>2.2349281242291177</v>
      </c>
    </row>
    <row r="25" spans="2:79">
      <c r="B25" s="179">
        <f t="shared" si="32"/>
        <v>45849</v>
      </c>
      <c r="C25" s="174">
        <f>IFERROR(VLOOKUP($B25,RD[#All],C$2,0)/C$1,"")</f>
        <v>4.9266900748917024</v>
      </c>
      <c r="D25" s="174">
        <f>IFERROR(VLOOKUP($B25,RD[#All],D$2,0)/D$1,"")</f>
        <v>4.8842169886080669</v>
      </c>
      <c r="E25" s="174">
        <f>IFERROR(VLOOKUP($B25,RD[#All],E$2,0)/E$1,"")</f>
        <v>4.9315506418688297</v>
      </c>
      <c r="F25" s="174">
        <f>IFERROR(VLOOKUP($B25,RD[#All],F$2,0)/F$1,"")</f>
        <v>4.8826266292690974</v>
      </c>
      <c r="G25" s="174">
        <f>IFERROR(VLOOKUP($B25,RD[#All],G$2,0)/G$1,"")</f>
        <v>4.6962172138238625</v>
      </c>
      <c r="H25" s="174">
        <f>IFERROR(VLOOKUP($B25,RD[#All],H$2,0)/H$1,"")</f>
        <v>4.6627306181619934</v>
      </c>
      <c r="I25" s="174">
        <f>IFERROR(VLOOKUP($B25,RD[#All],I$2,0)/I$1,"")</f>
        <v>4.8706489377642557</v>
      </c>
      <c r="J25" s="174">
        <f>IFERROR(VLOOKUP($B25,RD[#All],J$2,0)/J$1,"")</f>
        <v>4.6885655031811311</v>
      </c>
      <c r="K25" s="174">
        <f>IFERROR(VLOOKUP($B25,RD[#All],K$2,0)/K$1,"")</f>
        <v>4.8814639533049373</v>
      </c>
      <c r="L25" s="174">
        <f>IFERROR(VLOOKUP($B25,RD[#All],L$2,0)/L$1,"")</f>
        <v>4.9849559847589013</v>
      </c>
      <c r="M25" s="174">
        <f>IFERROR(VLOOKUP($B25,RD[#All],M$2,0)/M$1,"")</f>
        <v>5.057413124876831</v>
      </c>
      <c r="N25" s="174">
        <f>IFERROR(VLOOKUP($B25,RD[#All],N$2,0)/N$1,"")</f>
        <v>4.9320279685102744</v>
      </c>
      <c r="O25" s="174">
        <f>IFERROR(VLOOKUP($B25,RD[#All],O$2,0)/O$1,"")</f>
        <v>5.2016375609096697</v>
      </c>
      <c r="P25" s="174">
        <f>IFERROR(VLOOKUP($B25,RD[#All],P$2,0)/P$1,"")</f>
        <v>4.8140400682330382</v>
      </c>
      <c r="Q25" s="174">
        <f>IFERROR(VLOOKUP($B25,RD[#All],Q$2,0)/Q$1,"")</f>
        <v>4.9430885275853989</v>
      </c>
      <c r="R25" s="174">
        <f>IFERROR(VLOOKUP($B25,RD[#All],R$2,0)/R$1,"")</f>
        <v>5.0097519841908422</v>
      </c>
      <c r="S25" s="174">
        <f>IFERROR(VLOOKUP($B25,RD[#All],S$2,0)/S$1,"")</f>
        <v>4.9260217184779798</v>
      </c>
      <c r="T25" s="174">
        <f>IFERROR(VLOOKUP($B25,RD[#All],T$2,0)/T$1,"")</f>
        <v>4.7646694440733137</v>
      </c>
      <c r="U25" s="174">
        <f>IFERROR(VLOOKUP($B25,RD[#All],U$2,0)/U$1,"")</f>
        <v>4.9625739352848797</v>
      </c>
      <c r="V25" s="174">
        <f>IFERROR(VLOOKUP($B25,RD[#All],V$2,0)/V$1,"")</f>
        <v>4.9316978730893686</v>
      </c>
      <c r="W25" s="174">
        <f>IFERROR(VLOOKUP($B25,RD[#All],W$2,0)/W$1,"")</f>
        <v>4.6903976241544294</v>
      </c>
      <c r="X25" s="174">
        <f>IFERROR(VLOOKUP($B25,RD[#All],X$2,0)/X$1,"")</f>
        <v>4.7877084174010935</v>
      </c>
      <c r="Y25" s="174">
        <f>IFERROR(VLOOKUP($B25,RD[#All],Y$2,0)/Y$1,"")</f>
        <v>4.8587632789110025</v>
      </c>
      <c r="Z25" s="174">
        <f>IFERROR(VLOOKUP($B25,RD[#All],Z$2,0)/Z$1,"")</f>
        <v>4.8547550225318234</v>
      </c>
      <c r="AA25" s="174">
        <f>IFERROR(VLOOKUP($B25,RD[#All],AA$2,0)/AA$1,"")</f>
        <v>4.9060667155425222</v>
      </c>
      <c r="AB25" s="174">
        <f>IFERROR(VLOOKUP($B25,RD[#All],AB$2,0)/AB$1,"")</f>
        <v>4.8861932670028612</v>
      </c>
      <c r="AC25" s="174">
        <f>IFERROR(VLOOKUP($B25,RD[#All],AC$2,0)/AC$1,"")</f>
        <v>4.8495018545772988</v>
      </c>
      <c r="AD25" s="174">
        <f>IFERROR(VLOOKUP($B25,RD[#All],AD$2,0)/AD$1,"")</f>
        <v>4.7943688706105654</v>
      </c>
      <c r="AE25" s="174">
        <f>IFERROR(VLOOKUP($B25,RD[#All],AE$2,0)/AE$1,"")</f>
        <v>4.9539263494198753</v>
      </c>
      <c r="AF25" s="174">
        <f>IFERROR(VLOOKUP($B25,RD[#All],AF$2,0)/AF$1,"")</f>
        <v>4.8786003268761888</v>
      </c>
      <c r="AG25" s="174">
        <f>IFERROR(VLOOKUP($B25,RD[#All],AG$2,0)/AG$1,"")</f>
        <v>4.9240834128390354</v>
      </c>
      <c r="AH25" s="174">
        <f>IFERROR(VLOOKUP($B25,RD[#All],AH$2,0)/AH$1,"")</f>
        <v>4.8589035957344198</v>
      </c>
      <c r="AI25" s="174">
        <f>IFERROR(VLOOKUP($B25,RD[#All],AI$2,0)/AI$1,"")</f>
        <v>4.9552133024396898</v>
      </c>
      <c r="AJ25" s="174">
        <f>IFERROR(VLOOKUP($B25,RD[#All],AJ$2,0)/AJ$1,"")</f>
        <v>4.963146387081478</v>
      </c>
      <c r="AK25" s="174">
        <f>IFERROR(VLOOKUP($B25,RD[#All],AK$2,0)/AK$1,"")</f>
        <v>4.8687636151107805</v>
      </c>
      <c r="AL25" s="174">
        <f>IFERROR(VLOOKUP($B25,RD[#All],AL$2,0)/AL$1,"")</f>
        <v>4.7785644795157278</v>
      </c>
      <c r="AM25" s="174">
        <f>IFERROR(VLOOKUP($B25,RD[#All],AM$2,0)/AM$1,"")</f>
        <v>4.9356182732369902</v>
      </c>
      <c r="AN25" s="174">
        <f>IFERROR(VLOOKUP($B25,RD[#All],AN$2,0)/AN$1,"")</f>
        <v>4.9529841754898465</v>
      </c>
      <c r="AO25" s="174">
        <f>IFERROR(VLOOKUP($B25,RD[#All],AO$2,0)/AO$1,"")</f>
        <v>4.9849562823507236</v>
      </c>
      <c r="AP25" s="174">
        <f>IFERROR(VLOOKUP($B25,RD[#All],AP$2,0)/AP$1,"")</f>
        <v>4.7581225978851291</v>
      </c>
      <c r="AQ25" s="174">
        <f>IFERROR(VLOOKUP($B25,RD[#All],AQ$2,0)/AQ$1,"")</f>
        <v>4.9107001842590154</v>
      </c>
      <c r="AR25" s="174">
        <f>IFERROR(VLOOKUP($B25,RD[#All],AR$2,0)/AR$1,"")</f>
        <v>4.906175593999234</v>
      </c>
      <c r="AS25" s="174">
        <f>IFERROR(VLOOKUP($B25,RD[#All],AS$2,0)/AS$1,"")</f>
        <v>4.9351002378525308</v>
      </c>
      <c r="AT25" s="174">
        <f>IFERROR(VLOOKUP($B25,RD[#All],AT$2,0)/AT$1,"")</f>
        <v>4.8730175357733962</v>
      </c>
      <c r="AU25" s="174">
        <f>IFERROR(VLOOKUP($B25,RD[#All],AU$2,0)/AU$1,"")</f>
        <v>5.0698159042690589</v>
      </c>
      <c r="AV25" s="174">
        <f>IFERROR(VLOOKUP($B25,RD[#All],AV$2,0)/AV$1,"")</f>
        <v>4.9455821178825889</v>
      </c>
      <c r="AW25" s="174">
        <f>IFERROR(VLOOKUP($B25,RD[#All],AW$2,0)/AW$1,"")</f>
        <v>4.1432325281209668</v>
      </c>
      <c r="AX25" s="174">
        <f>IFERROR(VLOOKUP($B25,RD[#All],AX$2,0)/AX$1,"")</f>
        <v>4.2567104231974922</v>
      </c>
      <c r="AY25" s="174">
        <f>IFERROR(VLOOKUP($B25,RD[#All],AY$2,0)/AY$1,"")</f>
        <v>4.6736278864386085</v>
      </c>
      <c r="AZ25" s="174">
        <f>IFERROR(VLOOKUP($B25,RD[#All],AZ$2,0)/AZ$1,"")</f>
        <v>4.9668318333501871</v>
      </c>
      <c r="BA25" s="174">
        <f>IFERROR(VLOOKUP($B25,RD[#All],BA$2,0)/BA$1,"")</f>
        <v>4.5580137142456287</v>
      </c>
      <c r="BB25" s="174">
        <f>IFERROR(VLOOKUP($B25,RD[#All],BB$2,0)/BB$1,"")</f>
        <v>4.6543942728829011</v>
      </c>
      <c r="BC25" s="174">
        <f>IFERROR(VLOOKUP($B25,RD[#All],BC$2,0)/BC$1,"")</f>
        <v>4.6593819973130319</v>
      </c>
      <c r="BD25" s="174">
        <f>IFERROR(VLOOKUP($B25,RD[#All],BD$2,0)/BD$1,"")</f>
        <v>4.6798809196455178</v>
      </c>
      <c r="BE25" s="174">
        <f>IFERROR(VLOOKUP($B25,RD[#All],BE$2,0)/BE$1,"")</f>
        <v>4.7232432212083948</v>
      </c>
      <c r="BF25" s="174">
        <f>IFERROR(VLOOKUP($B25,RD[#All],BF$2,0)/BF$1,"")</f>
        <v>4.6346093008541596</v>
      </c>
      <c r="BG25" s="174">
        <f>IFERROR(VLOOKUP($B25,RD[#All],BG$2,0)/BG$1,"")</f>
        <v>4.746771735066579</v>
      </c>
      <c r="BH25" s="174">
        <f>IFERROR(VLOOKUP($B25,RD[#All],BH$2,0)/BH$1,"")</f>
        <v>4.7208880964021747</v>
      </c>
      <c r="BI25" s="174">
        <f>IFERROR(VLOOKUP($B25,RD[#All],BI$2,0)/BI$1,"")</f>
        <v>4.7256105507337036</v>
      </c>
      <c r="BJ25" s="174">
        <f>IFERROR(VLOOKUP($B25,RD[#All],BJ$2,0)/BJ$1,"")</f>
        <v>4.7912632692017185</v>
      </c>
      <c r="BK25" s="174">
        <f>IFERROR(VLOOKUP($B25,RD[#All],BK$2,0)/BK$1,"")</f>
        <v>4.6952395262063957</v>
      </c>
      <c r="BL25" s="174">
        <f>IFERROR(VLOOKUP($B25,RD[#All],BL$2,0)/BL$1,"")</f>
        <v>4.71033986284242</v>
      </c>
      <c r="BM25" s="174">
        <f>IFERROR(VLOOKUP($B25,RD[#All],BM$2,0)/BM$1,"")</f>
        <v>4.6676731242673801</v>
      </c>
      <c r="BN25" s="174">
        <f>IFERROR(VLOOKUP($B25,RD[#All],BN$2,0)/BN$1,"")</f>
        <v>4.613676501889767</v>
      </c>
      <c r="BO25" s="174">
        <f>IFERROR(VLOOKUP($B25,RD[#All],BO$2,0)/BO$1,"")</f>
        <v>4.2133061909412266</v>
      </c>
      <c r="BP25" s="174">
        <f>IFERROR(VLOOKUP($B25,RD[#All],BP$2,0)/BP$1,"")</f>
        <v>4.6547147370810436</v>
      </c>
      <c r="BQ25" s="174">
        <f>IFERROR(VLOOKUP($B25,RD[#All],BQ$2,0)/BQ$1,"")</f>
        <v>4.7221369972653902</v>
      </c>
      <c r="BR25" s="174">
        <f>IFERROR(VLOOKUP($B25,RD[#All],BR$2,0)/BR$1,"")</f>
        <v>4.8288081674927872</v>
      </c>
      <c r="BS25" s="174">
        <f>IFERROR(VLOOKUP($B25,RD[#All],BS$2,0)/BS$1,"")</f>
        <v>4.6796459104780519</v>
      </c>
      <c r="BT25" s="174">
        <f>IFERROR(VLOOKUP($B25,RD[#All],BT$2,0)/BT$1,"")</f>
        <v>4.7201862725248018</v>
      </c>
      <c r="BU25" s="174">
        <f>IFERROR(VLOOKUP($B25,RD[#All],BU$2,0)/BU$1,"")</f>
        <v>2.3443191034431909</v>
      </c>
      <c r="BV25" s="174">
        <f>IFERROR(VLOOKUP($B25,RD[#All],BV$2,0)/BV$1,"")</f>
        <v>5.055147058823529</v>
      </c>
      <c r="BW25" s="174">
        <f>IFERROR(VLOOKUP($B25,RD[#All],BW$2,0)/BW$1,"")</f>
        <v>4.7893200735055661</v>
      </c>
      <c r="BX25" s="174">
        <f>IFERROR(VLOOKUP($B25,RD[#All],BX$2,0)/BX$1,"")</f>
        <v>4.6187097838640492</v>
      </c>
      <c r="BY25" s="174">
        <f>AVERAGEIF(Inv_SY_B[[#This Row],[IS1Inv1M1]:[IS4Inv4M2]],"&gt;="&amp;0.1,Inv_SY_B[[#This Row],[IS1Inv1M1]:[IS4Inv4M2]])</f>
        <v>4.8778694214855705</v>
      </c>
      <c r="BZ25" s="174">
        <f>AVERAGEIF(Inv_SY_B[[#This Row],[IS5Inv1M1]:[IS9Inv2M2]],"&gt;="&amp;0.1,Inv_SY_B[[#This Row],[IS5Inv1M1]:[IS9Inv2M2]])</f>
        <v>4.9140707984453176</v>
      </c>
      <c r="CA25" s="174">
        <f>AVERAGEIF(Inv_SY_B[[#This Row],[IS10Inv1M1]:[IS14Inv2M4]],"&gt;="&amp;0.1,Inv_SY_B[[#This Row],[IS10Inv1M1]:[IS14Inv2M4]])</f>
        <v>4.5802743949745244</v>
      </c>
    </row>
    <row r="26" spans="2:79">
      <c r="B26" s="179">
        <f t="shared" si="32"/>
        <v>45850</v>
      </c>
      <c r="C26" s="174">
        <f>IFERROR(VLOOKUP($B26,RD[#All],C$2,0)/C$1,"")</f>
        <v>3.689144618353009</v>
      </c>
      <c r="D26" s="174">
        <f>IFERROR(VLOOKUP($B26,RD[#All],D$2,0)/D$1,"")</f>
        <v>3.6904601564237414</v>
      </c>
      <c r="E26" s="174">
        <f>IFERROR(VLOOKUP($B26,RD[#All],E$2,0)/E$1,"")</f>
        <v>3.6796483457933031</v>
      </c>
      <c r="F26" s="174">
        <f>IFERROR(VLOOKUP($B26,RD[#All],F$2,0)/F$1,"")</f>
        <v>3.6697574657647256</v>
      </c>
      <c r="G26" s="174">
        <f>IFERROR(VLOOKUP($B26,RD[#All],G$2,0)/G$1,"")</f>
        <v>3.6647463296784983</v>
      </c>
      <c r="H26" s="174">
        <f>IFERROR(VLOOKUP($B26,RD[#All],H$2,0)/H$1,"")</f>
        <v>3.637292923786041</v>
      </c>
      <c r="I26" s="174">
        <f>IFERROR(VLOOKUP($B26,RD[#All],I$2,0)/I$1,"")</f>
        <v>3.7190954872082189</v>
      </c>
      <c r="J26" s="174">
        <f>IFERROR(VLOOKUP($B26,RD[#All],J$2,0)/J$1,"")</f>
        <v>3.6834920969688447</v>
      </c>
      <c r="K26" s="174">
        <f>IFERROR(VLOOKUP($B26,RD[#All],K$2,0)/K$1,"")</f>
        <v>3.6087079981069565</v>
      </c>
      <c r="L26" s="174">
        <f>IFERROR(VLOOKUP($B26,RD[#All],L$2,0)/L$1,"")</f>
        <v>3.7571935356720534</v>
      </c>
      <c r="M26" s="174">
        <f>IFERROR(VLOOKUP($B26,RD[#All],M$2,0)/M$1,"")</f>
        <v>3.8081192931748018</v>
      </c>
      <c r="N26" s="174">
        <f>IFERROR(VLOOKUP($B26,RD[#All],N$2,0)/N$1,"")</f>
        <v>3.7042556402324007</v>
      </c>
      <c r="O26" s="174">
        <f>IFERROR(VLOOKUP($B26,RD[#All],O$2,0)/O$1,"")</f>
        <v>3.8551556777146243</v>
      </c>
      <c r="P26" s="174">
        <f>IFERROR(VLOOKUP($B26,RD[#All],P$2,0)/P$1,"")</f>
        <v>3.613923026160148</v>
      </c>
      <c r="Q26" s="174">
        <f>IFERROR(VLOOKUP($B26,RD[#All],Q$2,0)/Q$1,"")</f>
        <v>3.706714566127181</v>
      </c>
      <c r="R26" s="174">
        <f>IFERROR(VLOOKUP($B26,RD[#All],R$2,0)/R$1,"")</f>
        <v>3.7230050272604966</v>
      </c>
      <c r="S26" s="174">
        <f>IFERROR(VLOOKUP($B26,RD[#All],S$2,0)/S$1,"")</f>
        <v>3.6687773015086571</v>
      </c>
      <c r="T26" s="174">
        <f>IFERROR(VLOOKUP($B26,RD[#All],T$2,0)/T$1,"")</f>
        <v>3.6858939322167026</v>
      </c>
      <c r="U26" s="174">
        <f>IFERROR(VLOOKUP($B26,RD[#All],U$2,0)/U$1,"")</f>
        <v>3.7001965338574236</v>
      </c>
      <c r="V26" s="174">
        <f>IFERROR(VLOOKUP($B26,RD[#All],V$2,0)/V$1,"")</f>
        <v>3.7117817220168874</v>
      </c>
      <c r="W26" s="174">
        <f>IFERROR(VLOOKUP($B26,RD[#All],W$2,0)/W$1,"")</f>
        <v>3.6096766210196334</v>
      </c>
      <c r="X26" s="174">
        <f>IFERROR(VLOOKUP($B26,RD[#All],X$2,0)/X$1,"")</f>
        <v>3.7503433355600686</v>
      </c>
      <c r="Y26" s="174">
        <f>IFERROR(VLOOKUP($B26,RD[#All],Y$2,0)/Y$1,"")</f>
        <v>3.8116262969432713</v>
      </c>
      <c r="Z26" s="174">
        <f>IFERROR(VLOOKUP($B26,RD[#All],Z$2,0)/Z$1,"")</f>
        <v>3.8245749474855923</v>
      </c>
      <c r="AA26" s="174">
        <f>IFERROR(VLOOKUP($B26,RD[#All],AA$2,0)/AA$1,"")</f>
        <v>3.7768053519061584</v>
      </c>
      <c r="AB26" s="174">
        <f>IFERROR(VLOOKUP($B26,RD[#All],AB$2,0)/AB$1,"")</f>
        <v>3.6999681977193215</v>
      </c>
      <c r="AC26" s="174">
        <f>IFERROR(VLOOKUP($B26,RD[#All],AC$2,0)/AC$1,"")</f>
        <v>3.7885185847443248</v>
      </c>
      <c r="AD26" s="174">
        <f>IFERROR(VLOOKUP($B26,RD[#All],AD$2,0)/AD$1,"")</f>
        <v>3.759840918335065</v>
      </c>
      <c r="AE26" s="174">
        <f>IFERROR(VLOOKUP($B26,RD[#All],AE$2,0)/AE$1,"")</f>
        <v>3.9192309848102687</v>
      </c>
      <c r="AF26" s="174">
        <f>IFERROR(VLOOKUP($B26,RD[#All],AF$2,0)/AF$1,"")</f>
        <v>3.8614259303914475</v>
      </c>
      <c r="AG26" s="174">
        <f>IFERROR(VLOOKUP($B26,RD[#All],AG$2,0)/AG$1,"")</f>
        <v>3.913643178410795</v>
      </c>
      <c r="AH26" s="174">
        <f>IFERROR(VLOOKUP($B26,RD[#All],AH$2,0)/AH$1,"")</f>
        <v>3.878302341782327</v>
      </c>
      <c r="AI26" s="174">
        <f>IFERROR(VLOOKUP($B26,RD[#All],AI$2,0)/AI$1,"")</f>
        <v>3.9023033937576668</v>
      </c>
      <c r="AJ26" s="174">
        <f>IFERROR(VLOOKUP($B26,RD[#All],AJ$2,0)/AJ$1,"")</f>
        <v>3.9080635388951821</v>
      </c>
      <c r="AK26" s="174">
        <f>IFERROR(VLOOKUP($B26,RD[#All],AK$2,0)/AK$1,"")</f>
        <v>3.8559587694596464</v>
      </c>
      <c r="AL26" s="174">
        <f>IFERROR(VLOOKUP($B26,RD[#All],AL$2,0)/AL$1,"")</f>
        <v>3.8722300291860337</v>
      </c>
      <c r="AM26" s="174">
        <f>IFERROR(VLOOKUP($B26,RD[#All],AM$2,0)/AM$1,"")</f>
        <v>3.8862600712136608</v>
      </c>
      <c r="AN26" s="174">
        <f>IFERROR(VLOOKUP($B26,RD[#All],AN$2,0)/AN$1,"")</f>
        <v>3.9117704470037089</v>
      </c>
      <c r="AO26" s="174">
        <f>IFERROR(VLOOKUP($B26,RD[#All],AO$2,0)/AO$1,"")</f>
        <v>3.946233012714802</v>
      </c>
      <c r="AP26" s="174">
        <f>IFERROR(VLOOKUP($B26,RD[#All],AP$2,0)/AP$1,"")</f>
        <v>3.7503617896302677</v>
      </c>
      <c r="AQ26" s="174">
        <f>IFERROR(VLOOKUP($B26,RD[#All],AQ$2,0)/AQ$1,"")</f>
        <v>3.9000394840747563</v>
      </c>
      <c r="AR26" s="174">
        <f>IFERROR(VLOOKUP($B26,RD[#All],AR$2,0)/AR$1,"")</f>
        <v>3.8892422451256268</v>
      </c>
      <c r="AS26" s="174">
        <f>IFERROR(VLOOKUP($B26,RD[#All],AS$2,0)/AS$1,"")</f>
        <v>3.8159044840474761</v>
      </c>
      <c r="AT26" s="174">
        <f>IFERROR(VLOOKUP($B26,RD[#All],AT$2,0)/AT$1,"")</f>
        <v>3.8212482453751231</v>
      </c>
      <c r="AU26" s="174">
        <f>IFERROR(VLOOKUP($B26,RD[#All],AU$2,0)/AU$1,"")</f>
        <v>3.9158436100525611</v>
      </c>
      <c r="AV26" s="174">
        <f>IFERROR(VLOOKUP($B26,RD[#All],AV$2,0)/AV$1,"")</f>
        <v>3.8795110181455885</v>
      </c>
      <c r="AW26" s="174">
        <f>IFERROR(VLOOKUP($B26,RD[#All],AW$2,0)/AW$1,"")</f>
        <v>3.7165775401069521</v>
      </c>
      <c r="AX26" s="174">
        <f>IFERROR(VLOOKUP($B26,RD[#All],AX$2,0)/AX$1,"")</f>
        <v>3.8009404388714736</v>
      </c>
      <c r="AY26" s="174">
        <f>IFERROR(VLOOKUP($B26,RD[#All],AY$2,0)/AY$1,"")</f>
        <v>3.8047741499779213</v>
      </c>
      <c r="AZ26" s="174">
        <f>IFERROR(VLOOKUP($B26,RD[#All],AZ$2,0)/AZ$1,"")</f>
        <v>4.0833249064617254</v>
      </c>
      <c r="BA26" s="174">
        <f>IFERROR(VLOOKUP($B26,RD[#All],BA$2,0)/BA$1,"")</f>
        <v>3.7644025885200185</v>
      </c>
      <c r="BB26" s="174">
        <f>IFERROR(VLOOKUP($B26,RD[#All],BB$2,0)/BB$1,"")</f>
        <v>3.9067120211654331</v>
      </c>
      <c r="BC26" s="174">
        <f>IFERROR(VLOOKUP($B26,RD[#All],BC$2,0)/BC$1,"")</f>
        <v>3.9977608598298255</v>
      </c>
      <c r="BD26" s="174">
        <f>IFERROR(VLOOKUP($B26,RD[#All],BD$2,0)/BD$1,"")</f>
        <v>3.9933651694384</v>
      </c>
      <c r="BE26" s="174">
        <f>IFERROR(VLOOKUP($B26,RD[#All],BE$2,0)/BE$1,"")</f>
        <v>4.0574235496341391</v>
      </c>
      <c r="BF26" s="174">
        <f>IFERROR(VLOOKUP($B26,RD[#All],BF$2,0)/BF$1,"")</f>
        <v>3.9669325163589133</v>
      </c>
      <c r="BG26" s="174">
        <f>IFERROR(VLOOKUP($B26,RD[#All],BG$2,0)/BG$1,"")</f>
        <v>4.1672658249690837</v>
      </c>
      <c r="BH26" s="174">
        <f>IFERROR(VLOOKUP($B26,RD[#All],BH$2,0)/BH$1,"")</f>
        <v>4.1320353167869781</v>
      </c>
      <c r="BI26" s="174">
        <f>IFERROR(VLOOKUP($B26,RD[#All],BI$2,0)/BI$1,"")</f>
        <v>4.1474444183803785</v>
      </c>
      <c r="BJ26" s="174">
        <f>IFERROR(VLOOKUP($B26,RD[#All],BJ$2,0)/BJ$1,"")</f>
        <v>4.2042598772298438</v>
      </c>
      <c r="BK26" s="174">
        <f>IFERROR(VLOOKUP($B26,RD[#All],BK$2,0)/BK$1,"")</f>
        <v>4.1769964690857186</v>
      </c>
      <c r="BL26" s="174">
        <f>IFERROR(VLOOKUP($B26,RD[#All],BL$2,0)/BL$1,"")</f>
        <v>4.1248310789477012</v>
      </c>
      <c r="BM26" s="174">
        <f>IFERROR(VLOOKUP($B26,RD[#All],BM$2,0)/BM$1,"")</f>
        <v>4.1638416546886159</v>
      </c>
      <c r="BN26" s="174">
        <f>IFERROR(VLOOKUP($B26,RD[#All],BN$2,0)/BN$1,"")</f>
        <v>4.1206689255656359</v>
      </c>
      <c r="BO26" s="174">
        <f>IFERROR(VLOOKUP($B26,RD[#All],BO$2,0)/BO$1,"")</f>
        <v>3.6438661403243331</v>
      </c>
      <c r="BP26" s="174">
        <f>IFERROR(VLOOKUP($B26,RD[#All],BP$2,0)/BP$1,"")</f>
        <v>4.1363525617580805</v>
      </c>
      <c r="BQ26" s="174">
        <f>IFERROR(VLOOKUP($B26,RD[#All],BQ$2,0)/BQ$1,"")</f>
        <v>4.1085840058694059</v>
      </c>
      <c r="BR26" s="174">
        <f>IFERROR(VLOOKUP($B26,RD[#All],BR$2,0)/BR$1,"")</f>
        <v>4.182141007620034</v>
      </c>
      <c r="BS26" s="174">
        <f>IFERROR(VLOOKUP($B26,RD[#All],BS$2,0)/BS$1,"")</f>
        <v>3.9785850049599798</v>
      </c>
      <c r="BT26" s="174">
        <f>IFERROR(VLOOKUP($B26,RD[#All],BT$2,0)/BT$1,"")</f>
        <v>3.9468178443679558</v>
      </c>
      <c r="BU26" s="174">
        <f>IFERROR(VLOOKUP($B26,RD[#All],BU$2,0)/BU$1,"")</f>
        <v>2.0106171201061711</v>
      </c>
      <c r="BV26" s="174">
        <f>IFERROR(VLOOKUP($B26,RD[#All],BV$2,0)/BV$1,"")</f>
        <v>4.2436974789915967</v>
      </c>
      <c r="BW26" s="174">
        <f>IFERROR(VLOOKUP($B26,RD[#All],BW$2,0)/BW$1,"")</f>
        <v>4.202068244874428</v>
      </c>
      <c r="BX26" s="174">
        <f>IFERROR(VLOOKUP($B26,RD[#All],BX$2,0)/BX$1,"")</f>
        <v>4.1438706484078534</v>
      </c>
      <c r="BY26" s="174">
        <f>AVERAGEIF(Inv_SY_B[[#This Row],[IS1Inv1M1]:[IS4Inv4M2]],"&gt;="&amp;0.1,Inv_SY_B[[#This Row],[IS1Inv1M1]:[IS4Inv4M2]])</f>
        <v>3.714239854704934</v>
      </c>
      <c r="BZ26" s="174">
        <f>AVERAGEIF(Inv_SY_B[[#This Row],[IS5Inv1M1]:[IS9Inv2M2]],"&gt;="&amp;0.1,Inv_SY_B[[#This Row],[IS5Inv1M1]:[IS9Inv2M2]])</f>
        <v>3.8793095874487187</v>
      </c>
      <c r="CA26" s="174">
        <f>AVERAGEIF(Inv_SY_B[[#This Row],[IS10Inv1M1]:[IS14Inv2M4]],"&gt;="&amp;0.1,Inv_SY_B[[#This Row],[IS10Inv1M1]:[IS14Inv2M4]])</f>
        <v>3.9616484772606637</v>
      </c>
    </row>
    <row r="27" spans="2:79">
      <c r="B27" s="179">
        <f t="shared" si="32"/>
        <v>45851</v>
      </c>
      <c r="C27" s="174">
        <f>IFERROR(VLOOKUP($B27,RD[#All],C$2,0)/C$1,"")</f>
        <v>3.3660234103131916</v>
      </c>
      <c r="D27" s="174">
        <f>IFERROR(VLOOKUP($B27,RD[#All],D$2,0)/D$1,"")</f>
        <v>3.3604480346800893</v>
      </c>
      <c r="E27" s="174">
        <f>IFERROR(VLOOKUP($B27,RD[#All],E$2,0)/E$1,"")</f>
        <v>3.3081469887943529</v>
      </c>
      <c r="F27" s="174">
        <f>IFERROR(VLOOKUP($B27,RD[#All],F$2,0)/F$1,"")</f>
        <v>3.2677775944563603</v>
      </c>
      <c r="G27" s="174">
        <f>IFERROR(VLOOKUP($B27,RD[#All],G$2,0)/G$1,"")</f>
        <v>3.2589763471730038</v>
      </c>
      <c r="H27" s="174">
        <f>IFERROR(VLOOKUP($B27,RD[#All],H$2,0)/H$1,"")</f>
        <v>3.2728883492138223</v>
      </c>
      <c r="I27" s="174">
        <f>IFERROR(VLOOKUP($B27,RD[#All],I$2,0)/I$1,"")</f>
        <v>3.3465149156009564</v>
      </c>
      <c r="J27" s="174">
        <f>IFERROR(VLOOKUP($B27,RD[#All],J$2,0)/J$1,"")</f>
        <v>3.375865584027558</v>
      </c>
      <c r="K27" s="174">
        <f>IFERROR(VLOOKUP($B27,RD[#All],K$2,0)/K$1,"")</f>
        <v>3.2553399589840666</v>
      </c>
      <c r="L27" s="174">
        <f>IFERROR(VLOOKUP($B27,RD[#All],L$2,0)/L$1,"")</f>
        <v>3.3491656812508213</v>
      </c>
      <c r="M27" s="174">
        <f>IFERROR(VLOOKUP($B27,RD[#All],M$2,0)/M$1,"")</f>
        <v>3.3865860868422781</v>
      </c>
      <c r="N27" s="174">
        <f>IFERROR(VLOOKUP($B27,RD[#All],N$2,0)/N$1,"")</f>
        <v>3.31579013556679</v>
      </c>
      <c r="O27" s="174">
        <f>IFERROR(VLOOKUP($B27,RD[#All],O$2,0)/O$1,"")</f>
        <v>3.4542622286019582</v>
      </c>
      <c r="P27" s="174">
        <f>IFERROR(VLOOKUP($B27,RD[#All],P$2,0)/P$1,"")</f>
        <v>3.189520999091056</v>
      </c>
      <c r="Q27" s="174">
        <f>IFERROR(VLOOKUP($B27,RD[#All],Q$2,0)/Q$1,"")</f>
        <v>3.3306173845413136</v>
      </c>
      <c r="R27" s="174">
        <f>IFERROR(VLOOKUP($B27,RD[#All],R$2,0)/R$1,"")</f>
        <v>3.3773406371296333</v>
      </c>
      <c r="S27" s="174">
        <f>IFERROR(VLOOKUP($B27,RD[#All],S$2,0)/S$1,"")</f>
        <v>3.3073178270612784</v>
      </c>
      <c r="T27" s="174">
        <f>IFERROR(VLOOKUP($B27,RD[#All],T$2,0)/T$1,"")</f>
        <v>3.3226852582866719</v>
      </c>
      <c r="U27" s="174">
        <f>IFERROR(VLOOKUP($B27,RD[#All],U$2,0)/U$1,"")</f>
        <v>3.3586131668280941</v>
      </c>
      <c r="V27" s="174">
        <f>IFERROR(VLOOKUP($B27,RD[#All],V$2,0)/V$1,"")</f>
        <v>3.3782814128860186</v>
      </c>
      <c r="W27" s="174">
        <f>IFERROR(VLOOKUP($B27,RD[#All],W$2,0)/W$1,"")</f>
        <v>3.1445718528295661</v>
      </c>
      <c r="X27" s="174">
        <f>IFERROR(VLOOKUP($B27,RD[#All],X$2,0)/X$1,"")</f>
        <v>3.2064319890403894</v>
      </c>
      <c r="Y27" s="174">
        <f>IFERROR(VLOOKUP($B27,RD[#All],Y$2,0)/Y$1,"")</f>
        <v>3.3362217973582018</v>
      </c>
      <c r="Z27" s="174">
        <f>IFERROR(VLOOKUP($B27,RD[#All],Z$2,0)/Z$1,"")</f>
        <v>3.3378965511050467</v>
      </c>
      <c r="AA27" s="174">
        <f>IFERROR(VLOOKUP($B27,RD[#All],AA$2,0)/AA$1,"")</f>
        <v>3.3174486803519061</v>
      </c>
      <c r="AB27" s="174">
        <f>IFERROR(VLOOKUP($B27,RD[#All],AB$2,0)/AB$1,"")</f>
        <v>3.2756349098178177</v>
      </c>
      <c r="AC27" s="174">
        <f>IFERROR(VLOOKUP($B27,RD[#All],AC$2,0)/AC$1,"")</f>
        <v>3.3059616980500577</v>
      </c>
      <c r="AD27" s="174">
        <f>IFERROR(VLOOKUP($B27,RD[#All],AD$2,0)/AD$1,"")</f>
        <v>3.2857142857142856</v>
      </c>
      <c r="AE27" s="174">
        <f>IFERROR(VLOOKUP($B27,RD[#All],AE$2,0)/AE$1,"")</f>
        <v>3.1924780001121014</v>
      </c>
      <c r="AF27" s="174">
        <f>IFERROR(VLOOKUP($B27,RD[#All],AF$2,0)/AF$1,"")</f>
        <v>3.1393510703855529</v>
      </c>
      <c r="AG27" s="174">
        <f>IFERROR(VLOOKUP($B27,RD[#All],AG$2,0)/AG$1,"")</f>
        <v>3.1620008177729315</v>
      </c>
      <c r="AH27" s="174">
        <f>IFERROR(VLOOKUP($B27,RD[#All],AH$2,0)/AH$1,"")</f>
        <v>3.1337013021810196</v>
      </c>
      <c r="AI27" s="174">
        <f>IFERROR(VLOOKUP($B27,RD[#All],AI$2,0)/AI$1,"")</f>
        <v>3.1626550361183048</v>
      </c>
      <c r="AJ27" s="174">
        <f>IFERROR(VLOOKUP($B27,RD[#All],AJ$2,0)/AJ$1,"")</f>
        <v>3.163984088933379</v>
      </c>
      <c r="AK27" s="174">
        <f>IFERROR(VLOOKUP($B27,RD[#All],AK$2,0)/AK$1,"")</f>
        <v>3.1139153073694277</v>
      </c>
      <c r="AL27" s="174">
        <f>IFERROR(VLOOKUP($B27,RD[#All],AL$2,0)/AL$1,"")</f>
        <v>2.9355745324829745</v>
      </c>
      <c r="AM27" s="174">
        <f>IFERROR(VLOOKUP($B27,RD[#All],AM$2,0)/AM$1,"")</f>
        <v>3.1442379532466833</v>
      </c>
      <c r="AN27" s="174">
        <f>IFERROR(VLOOKUP($B27,RD[#All],AN$2,0)/AN$1,"")</f>
        <v>3.1625461912807014</v>
      </c>
      <c r="AO27" s="174">
        <f>IFERROR(VLOOKUP($B27,RD[#All],AO$2,0)/AO$1,"")</f>
        <v>3.1920951489900178</v>
      </c>
      <c r="AP27" s="174">
        <f>IFERROR(VLOOKUP($B27,RD[#All],AP$2,0)/AP$1,"")</f>
        <v>3.0029548957709311</v>
      </c>
      <c r="AQ27" s="174">
        <f>IFERROR(VLOOKUP($B27,RD[#All],AQ$2,0)/AQ$1,"")</f>
        <v>3.1550408002105814</v>
      </c>
      <c r="AR27" s="174">
        <f>IFERROR(VLOOKUP($B27,RD[#All],AR$2,0)/AR$1,"")</f>
        <v>3.1387801994705211</v>
      </c>
      <c r="AS27" s="174">
        <f>IFERROR(VLOOKUP($B27,RD[#All],AS$2,0)/AS$1,"")</f>
        <v>3.1199221999601621</v>
      </c>
      <c r="AT27" s="174">
        <f>IFERROR(VLOOKUP($B27,RD[#All],AT$2,0)/AT$1,"")</f>
        <v>3.147514194129601</v>
      </c>
      <c r="AU27" s="174">
        <f>IFERROR(VLOOKUP($B27,RD[#All],AU$2,0)/AU$1,"")</f>
        <v>3.1450388769086546</v>
      </c>
      <c r="AV27" s="174">
        <f>IFERROR(VLOOKUP($B27,RD[#All],AV$2,0)/AV$1,"")</f>
        <v>3.1214380486054383</v>
      </c>
      <c r="AW27" s="174">
        <f>IFERROR(VLOOKUP($B27,RD[#All],AW$2,0)/AW$1,"")</f>
        <v>3.3039830352203579</v>
      </c>
      <c r="AX27" s="174">
        <f>IFERROR(VLOOKUP($B27,RD[#All],AX$2,0)/AX$1,"")</f>
        <v>3.3694161442006272</v>
      </c>
      <c r="AY27" s="174">
        <f>IFERROR(VLOOKUP($B27,RD[#All],AY$2,0)/AY$1,"")</f>
        <v>3.3377490324424008</v>
      </c>
      <c r="AZ27" s="174">
        <f>IFERROR(VLOOKUP($B27,RD[#All],AZ$2,0)/AZ$1,"")</f>
        <v>3.5615330164829611</v>
      </c>
      <c r="BA27" s="174">
        <f>IFERROR(VLOOKUP($B27,RD[#All],BA$2,0)/BA$1,"")</f>
        <v>3.3079917924975009</v>
      </c>
      <c r="BB27" s="174">
        <f>IFERROR(VLOOKUP($B27,RD[#All],BB$2,0)/BB$1,"")</f>
        <v>3.4224860490451103</v>
      </c>
      <c r="BC27" s="174">
        <f>IFERROR(VLOOKUP($B27,RD[#All],BC$2,0)/BC$1,"")</f>
        <v>3.4451410658307209</v>
      </c>
      <c r="BD27" s="174">
        <f>IFERROR(VLOOKUP($B27,RD[#All],BD$2,0)/BD$1,"")</f>
        <v>3.4217476377120799</v>
      </c>
      <c r="BE27" s="174">
        <f>IFERROR(VLOOKUP($B27,RD[#All],BE$2,0)/BE$1,"")</f>
        <v>3.460903476529857</v>
      </c>
      <c r="BF27" s="174">
        <f>IFERROR(VLOOKUP($B27,RD[#All],BF$2,0)/BF$1,"")</f>
        <v>3.3850047453337551</v>
      </c>
      <c r="BG27" s="174">
        <f>IFERROR(VLOOKUP($B27,RD[#All],BG$2,0)/BG$1,"")</f>
        <v>3.5352736475798801</v>
      </c>
      <c r="BH27" s="174">
        <f>IFERROR(VLOOKUP($B27,RD[#All],BH$2,0)/BH$1,"")</f>
        <v>3.5029190992493748</v>
      </c>
      <c r="BI27" s="174">
        <f>IFERROR(VLOOKUP($B27,RD[#All],BI$2,0)/BI$1,"")</f>
        <v>3.5427580994083456</v>
      </c>
      <c r="BJ27" s="174">
        <f>IFERROR(VLOOKUP($B27,RD[#All],BJ$2,0)/BJ$1,"")</f>
        <v>3.5663769071258873</v>
      </c>
      <c r="BK27" s="174">
        <f>IFERROR(VLOOKUP($B27,RD[#All],BK$2,0)/BK$1,"")</f>
        <v>3.5709813938346731</v>
      </c>
      <c r="BL27" s="174">
        <f>IFERROR(VLOOKUP($B27,RD[#All],BL$2,0)/BL$1,"")</f>
        <v>3.5362911883201353</v>
      </c>
      <c r="BM27" s="174">
        <f>IFERROR(VLOOKUP($B27,RD[#All],BM$2,0)/BM$1,"")</f>
        <v>3.4930708106202371</v>
      </c>
      <c r="BN27" s="174">
        <f>IFERROR(VLOOKUP($B27,RD[#All],BN$2,0)/BN$1,"")</f>
        <v>3.4234400078236908</v>
      </c>
      <c r="BO27" s="174">
        <f>IFERROR(VLOOKUP($B27,RD[#All],BO$2,0)/BO$1,"")</f>
        <v>3.1949163033162318</v>
      </c>
      <c r="BP27" s="174">
        <f>IFERROR(VLOOKUP($B27,RD[#All],BP$2,0)/BP$1,"")</f>
        <v>3.4797974724571534</v>
      </c>
      <c r="BQ27" s="174">
        <f>IFERROR(VLOOKUP($B27,RD[#All],BQ$2,0)/BQ$1,"")</f>
        <v>3.426265590608951</v>
      </c>
      <c r="BR27" s="174">
        <f>IFERROR(VLOOKUP($B27,RD[#All],BR$2,0)/BR$1,"")</f>
        <v>3.5126137456536211</v>
      </c>
      <c r="BS27" s="174">
        <f>IFERROR(VLOOKUP($B27,RD[#All],BS$2,0)/BS$1,"")</f>
        <v>3.3561265211234543</v>
      </c>
      <c r="BT27" s="174">
        <f>IFERROR(VLOOKUP($B27,RD[#All],BT$2,0)/BT$1,"")</f>
        <v>3.342107039211716</v>
      </c>
      <c r="BU27" s="174">
        <f>IFERROR(VLOOKUP($B27,RD[#All],BU$2,0)/BU$1,"")</f>
        <v>1.6721964167219643</v>
      </c>
      <c r="BV27" s="174">
        <f>IFERROR(VLOOKUP($B27,RD[#All],BV$2,0)/BV$1,"")</f>
        <v>3.4086134453781511</v>
      </c>
      <c r="BW27" s="174">
        <f>IFERROR(VLOOKUP($B27,RD[#All],BW$2,0)/BW$1,"")</f>
        <v>3.4756602889777679</v>
      </c>
      <c r="BX27" s="174">
        <f>IFERROR(VLOOKUP($B27,RD[#All],BX$2,0)/BX$1,"")</f>
        <v>3.4581752186107901</v>
      </c>
      <c r="BY27" s="174">
        <f>AVERAGEIF(Inv_SY_B[[#This Row],[IS1Inv1M1]:[IS4Inv4M2]],"&gt;="&amp;0.1,Inv_SY_B[[#This Row],[IS1Inv1M1]:[IS4Inv4M2]])</f>
        <v>3.3140015630570216</v>
      </c>
      <c r="BZ27" s="174">
        <f>AVERAGEIF(Inv_SY_B[[#This Row],[IS5Inv1M1]:[IS9Inv2M2]],"&gt;="&amp;0.1,Inv_SY_B[[#This Row],[IS5Inv1M1]:[IS9Inv2M2]])</f>
        <v>3.1296238146627218</v>
      </c>
      <c r="CA27" s="174">
        <f>AVERAGEIF(Inv_SY_B[[#This Row],[IS10Inv1M1]:[IS14Inv2M4]],"&gt;="&amp;0.1,Inv_SY_B[[#This Row],[IS10Inv1M1]:[IS14Inv2M4]])</f>
        <v>3.3754835425470491</v>
      </c>
    </row>
    <row r="28" spans="2:79">
      <c r="B28" s="179">
        <f t="shared" si="32"/>
        <v>45852</v>
      </c>
      <c r="C28" s="174">
        <f>IFERROR(VLOOKUP($B28,RD[#All],C$2,0)/C$1,"")</f>
        <v>4.4405047907511408</v>
      </c>
      <c r="D28" s="174">
        <f>IFERROR(VLOOKUP($B28,RD[#All],D$2,0)/D$1,"")</f>
        <v>4.4679431562264105</v>
      </c>
      <c r="E28" s="174">
        <f>IFERROR(VLOOKUP($B28,RD[#All],E$2,0)/E$1,"")</f>
        <v>4.423117268019781</v>
      </c>
      <c r="F28" s="174">
        <f>IFERROR(VLOOKUP($B28,RD[#All],F$2,0)/F$1,"")</f>
        <v>4.3362481438706482</v>
      </c>
      <c r="G28" s="174">
        <f>IFERROR(VLOOKUP($B28,RD[#All],G$2,0)/G$1,"")</f>
        <v>4.3019820697345059</v>
      </c>
      <c r="H28" s="174">
        <f>IFERROR(VLOOKUP($B28,RD[#All],H$2,0)/H$1,"")</f>
        <v>4.3137522148016894</v>
      </c>
      <c r="I28" s="174">
        <f>IFERROR(VLOOKUP($B28,RD[#All],I$2,0)/I$1,"")</f>
        <v>4.4360476100510109</v>
      </c>
      <c r="J28" s="174">
        <f>IFERROR(VLOOKUP($B28,RD[#All],J$2,0)/J$1,"")</f>
        <v>4.3751977222397969</v>
      </c>
      <c r="K28" s="174">
        <f>IFERROR(VLOOKUP($B28,RD[#All],K$2,0)/K$1,"")</f>
        <v>4.3467423883893357</v>
      </c>
      <c r="L28" s="174">
        <f>IFERROR(VLOOKUP($B28,RD[#All],L$2,0)/L$1,"")</f>
        <v>4.4574957298646689</v>
      </c>
      <c r="M28" s="174">
        <f>IFERROR(VLOOKUP($B28,RD[#All],M$2,0)/M$1,"")</f>
        <v>4.526505944951718</v>
      </c>
      <c r="N28" s="174">
        <f>IFERROR(VLOOKUP($B28,RD[#All],N$2,0)/N$1,"")</f>
        <v>4.3979979375738827</v>
      </c>
      <c r="O28" s="174">
        <f>IFERROR(VLOOKUP($B28,RD[#All],O$2,0)/O$1,"")</f>
        <v>4.6335764356015012</v>
      </c>
      <c r="P28" s="174">
        <f>IFERROR(VLOOKUP($B28,RD[#All],P$2,0)/P$1,"")</f>
        <v>4.3178563868863078</v>
      </c>
      <c r="Q28" s="174">
        <f>IFERROR(VLOOKUP($B28,RD[#All],Q$2,0)/Q$1,"")</f>
        <v>4.4513783440119505</v>
      </c>
      <c r="R28" s="174">
        <f>IFERROR(VLOOKUP($B28,RD[#All],R$2,0)/R$1,"")</f>
        <v>4.5270448591272769</v>
      </c>
      <c r="S28" s="174">
        <f>IFERROR(VLOOKUP($B28,RD[#All],S$2,0)/S$1,"")</f>
        <v>4.4485152070255509</v>
      </c>
      <c r="T28" s="174">
        <f>IFERROR(VLOOKUP($B28,RD[#All],T$2,0)/T$1,"")</f>
        <v>4.3814197163482369</v>
      </c>
      <c r="U28" s="174">
        <f>IFERROR(VLOOKUP($B28,RD[#All],U$2,0)/U$1,"")</f>
        <v>4.4929614549147567</v>
      </c>
      <c r="V28" s="174">
        <f>IFERROR(VLOOKUP($B28,RD[#All],V$2,0)/V$1,"")</f>
        <v>4.4726498156496941</v>
      </c>
      <c r="W28" s="174">
        <f>IFERROR(VLOOKUP($B28,RD[#All],W$2,0)/W$1,"")</f>
        <v>4.3287823791453555</v>
      </c>
      <c r="X28" s="174">
        <f>IFERROR(VLOOKUP($B28,RD[#All],X$2,0)/X$1,"")</f>
        <v>4.5257221915151185</v>
      </c>
      <c r="Y28" s="174">
        <f>IFERROR(VLOOKUP($B28,RD[#All],Y$2,0)/Y$1,"")</f>
        <v>4.4928453204590362</v>
      </c>
      <c r="Z28" s="174">
        <f>IFERROR(VLOOKUP($B28,RD[#All],Z$2,0)/Z$1,"")</f>
        <v>4.4744070809170715</v>
      </c>
      <c r="AA28" s="174">
        <f>IFERROR(VLOOKUP($B28,RD[#All],AA$2,0)/AA$1,"")</f>
        <v>4.5096682551319649</v>
      </c>
      <c r="AB28" s="174">
        <f>IFERROR(VLOOKUP($B28,RD[#All],AB$2,0)/AB$1,"")</f>
        <v>4.4623142973967553</v>
      </c>
      <c r="AC28" s="174">
        <f>IFERROR(VLOOKUP($B28,RD[#All],AC$2,0)/AC$1,"")</f>
        <v>4.4561205635714254</v>
      </c>
      <c r="AD28" s="174">
        <f>IFERROR(VLOOKUP($B28,RD[#All],AD$2,0)/AD$1,"")</f>
        <v>4.4143806209608165</v>
      </c>
      <c r="AE28" s="174">
        <f>IFERROR(VLOOKUP($B28,RD[#All],AE$2,0)/AE$1,"")</f>
        <v>4.5881957289389614</v>
      </c>
      <c r="AF28" s="174">
        <f>IFERROR(VLOOKUP($B28,RD[#All],AF$2,0)/AF$1,"")</f>
        <v>4.4963159445918057</v>
      </c>
      <c r="AG28" s="174">
        <f>IFERROR(VLOOKUP($B28,RD[#All],AG$2,0)/AG$1,"")</f>
        <v>4.5425105629003681</v>
      </c>
      <c r="AH28" s="174">
        <f>IFERROR(VLOOKUP($B28,RD[#All],AH$2,0)/AH$1,"")</f>
        <v>4.4945072611328447</v>
      </c>
      <c r="AI28" s="174">
        <f>IFERROR(VLOOKUP($B28,RD[#All],AI$2,0)/AI$1,"")</f>
        <v>4.5862886738448951</v>
      </c>
      <c r="AJ28" s="174">
        <f>IFERROR(VLOOKUP($B28,RD[#All],AJ$2,0)/AJ$1,"")</f>
        <v>4.5910803192750453</v>
      </c>
      <c r="AK28" s="174">
        <f>IFERROR(VLOOKUP($B28,RD[#All],AK$2,0)/AK$1,"")</f>
        <v>4.5459327347112266</v>
      </c>
      <c r="AL28" s="174">
        <f>IFERROR(VLOOKUP($B28,RD[#All],AL$2,0)/AL$1,"")</f>
        <v>4.5886931142579179</v>
      </c>
      <c r="AM28" s="174">
        <f>IFERROR(VLOOKUP($B28,RD[#All],AM$2,0)/AM$1,"")</f>
        <v>4.5711362550229859</v>
      </c>
      <c r="AN28" s="174">
        <f>IFERROR(VLOOKUP($B28,RD[#All],AN$2,0)/AN$1,"")</f>
        <v>4.6145510106551253</v>
      </c>
      <c r="AO28" s="174">
        <f>IFERROR(VLOOKUP($B28,RD[#All],AO$2,0)/AO$1,"")</f>
        <v>4.6228301035896262</v>
      </c>
      <c r="AP28" s="174">
        <f>IFERROR(VLOOKUP($B28,RD[#All],AP$2,0)/AP$1,"")</f>
        <v>4.3795055429536838</v>
      </c>
      <c r="AQ28" s="174">
        <f>IFERROR(VLOOKUP($B28,RD[#All],AQ$2,0)/AQ$1,"")</f>
        <v>4.571202948144248</v>
      </c>
      <c r="AR28" s="174">
        <f>IFERROR(VLOOKUP($B28,RD[#All],AR$2,0)/AR$1,"")</f>
        <v>4.5845585174578334</v>
      </c>
      <c r="AS28" s="174">
        <f>IFERROR(VLOOKUP($B28,RD[#All],AS$2,0)/AS$1,"")</f>
        <v>4.4959049527224151</v>
      </c>
      <c r="AT28" s="174">
        <f>IFERROR(VLOOKUP($B28,RD[#All],AT$2,0)/AT$1,"")</f>
        <v>4.4828308646372372</v>
      </c>
      <c r="AU28" s="174">
        <f>IFERROR(VLOOKUP($B28,RD[#All],AU$2,0)/AU$1,"")</f>
        <v>4.6539679406992907</v>
      </c>
      <c r="AV28" s="174">
        <f>IFERROR(VLOOKUP($B28,RD[#All],AV$2,0)/AV$1,"")</f>
        <v>4.5679857592770086</v>
      </c>
      <c r="AW28" s="174">
        <f>IFERROR(VLOOKUP($B28,RD[#All],AW$2,0)/AW$1,"")</f>
        <v>3.871934353678776</v>
      </c>
      <c r="AX28" s="174">
        <f>IFERROR(VLOOKUP($B28,RD[#All],AX$2,0)/AX$1,"")</f>
        <v>4.0083757836990594</v>
      </c>
      <c r="AY28" s="174">
        <f>IFERROR(VLOOKUP($B28,RD[#All],AY$2,0)/AY$1,"")</f>
        <v>4.2551754591028335</v>
      </c>
      <c r="AZ28" s="174">
        <f>IFERROR(VLOOKUP($B28,RD[#All],AZ$2,0)/AZ$1,"")</f>
        <v>4.4655678026089598</v>
      </c>
      <c r="BA28" s="174">
        <f>IFERROR(VLOOKUP($B28,RD[#All],BA$2,0)/BA$1,"")</f>
        <v>4.164781396327669</v>
      </c>
      <c r="BB28" s="174">
        <f>IFERROR(VLOOKUP($B28,RD[#All],BB$2,0)/BB$1,"")</f>
        <v>4.2173458725182869</v>
      </c>
      <c r="BC28" s="174">
        <f>IFERROR(VLOOKUP($B28,RD[#All],BC$2,0)/BC$1,"")</f>
        <v>4.1627854903716974</v>
      </c>
      <c r="BD28" s="174">
        <f>IFERROR(VLOOKUP($B28,RD[#All],BD$2,0)/BD$1,"")</f>
        <v>4.1709954279439181</v>
      </c>
      <c r="BE28" s="174">
        <f>IFERROR(VLOOKUP($B28,RD[#All],BE$2,0)/BE$1,"")</f>
        <v>4.2530930041375941</v>
      </c>
      <c r="BF28" s="174">
        <f>IFERROR(VLOOKUP($B28,RD[#All],BF$2,0)/BF$1,"")</f>
        <v>4.1967065718709931</v>
      </c>
      <c r="BG28" s="174">
        <f>IFERROR(VLOOKUP($B28,RD[#All],BG$2,0)/BG$1,"")</f>
        <v>4.3139397774007078</v>
      </c>
      <c r="BH28" s="174">
        <f>IFERROR(VLOOKUP($B28,RD[#All],BH$2,0)/BH$1,"")</f>
        <v>4.2801472491444024</v>
      </c>
      <c r="BI28" s="174">
        <f>IFERROR(VLOOKUP($B28,RD[#All],BI$2,0)/BI$1,"")</f>
        <v>4.2866265280058382</v>
      </c>
      <c r="BJ28" s="174">
        <f>IFERROR(VLOOKUP($B28,RD[#All],BJ$2,0)/BJ$1,"")</f>
        <v>4.3326604320301021</v>
      </c>
      <c r="BK28" s="174">
        <f>IFERROR(VLOOKUP($B28,RD[#All],BK$2,0)/BK$1,"")</f>
        <v>4.2846768336964418</v>
      </c>
      <c r="BL28" s="174">
        <f>IFERROR(VLOOKUP($B28,RD[#All],BL$2,0)/BL$1,"")</f>
        <v>4.2823223329418152</v>
      </c>
      <c r="BM28" s="174">
        <f>IFERROR(VLOOKUP($B28,RD[#All],BM$2,0)/BM$1,"")</f>
        <v>4.2192872231111593</v>
      </c>
      <c r="BN28" s="174">
        <f>IFERROR(VLOOKUP($B28,RD[#All],BN$2,0)/BN$1,"")</f>
        <v>4.1804971495302912</v>
      </c>
      <c r="BO28" s="174">
        <f>IFERROR(VLOOKUP($B28,RD[#All],BO$2,0)/BO$1,"")</f>
        <v>4.0706985956563004</v>
      </c>
      <c r="BP28" s="174">
        <f>IFERROR(VLOOKUP($B28,RD[#All],BP$2,0)/BP$1,"")</f>
        <v>4.1968466485998395</v>
      </c>
      <c r="BQ28" s="174">
        <f>IFERROR(VLOOKUP($B28,RD[#All],BQ$2,0)/BQ$1,"")</f>
        <v>4.1550056693123461</v>
      </c>
      <c r="BR28" s="174">
        <f>IFERROR(VLOOKUP($B28,RD[#All],BR$2,0)/BR$1,"")</f>
        <v>4.3454168824443293</v>
      </c>
      <c r="BS28" s="174">
        <f>IFERROR(VLOOKUP($B28,RD[#All],BS$2,0)/BS$1,"")</f>
        <v>4.0434054991405235</v>
      </c>
      <c r="BT28" s="174">
        <f>IFERROR(VLOOKUP($B28,RD[#All],BT$2,0)/BT$1,"")</f>
        <v>4.0039819126678813</v>
      </c>
      <c r="BU28" s="174">
        <f>IFERROR(VLOOKUP($B28,RD[#All],BU$2,0)/BU$1,"")</f>
        <v>2.3184398731843987</v>
      </c>
      <c r="BV28" s="174">
        <f>IFERROR(VLOOKUP($B28,RD[#All],BV$2,0)/BV$1,"")</f>
        <v>4.2704831932773111</v>
      </c>
      <c r="BW28" s="174">
        <f>IFERROR(VLOOKUP($B28,RD[#All],BW$2,0)/BW$1,"")</f>
        <v>4.2341368500702625</v>
      </c>
      <c r="BX28" s="174">
        <f>IFERROR(VLOOKUP($B28,RD[#All],BX$2,0)/BX$1,"")</f>
        <v>4.1741626794258373</v>
      </c>
      <c r="BY28" s="174">
        <f>AVERAGEIF(Inv_SY_B[[#This Row],[IS1Inv1M1]:[IS4Inv4M2]],"&gt;="&amp;0.1,Inv_SY_B[[#This Row],[IS1Inv1M1]:[IS4Inv4M2]])</f>
        <v>4.4361849251834791</v>
      </c>
      <c r="BZ28" s="174">
        <f>AVERAGEIF(Inv_SY_B[[#This Row],[IS5Inv1M1]:[IS9Inv2M2]],"&gt;="&amp;0.1,Inv_SY_B[[#This Row],[IS5Inv1M1]:[IS9Inv2M2]])</f>
        <v>4.5543332352673618</v>
      </c>
      <c r="CA28" s="174">
        <f>AVERAGEIF(Inv_SY_B[[#This Row],[IS10Inv1M1]:[IS14Inv2M4]],"&gt;="&amp;0.1,Inv_SY_B[[#This Row],[IS10Inv1M1]:[IS14Inv2M4]])</f>
        <v>4.1342677318535568</v>
      </c>
    </row>
    <row r="29" spans="2:79">
      <c r="B29" s="179">
        <f t="shared" si="32"/>
        <v>45853</v>
      </c>
      <c r="C29" s="174">
        <f>IFERROR(VLOOKUP($B29,RD[#All],C$2,0)/C$1,"")</f>
        <v>4.3219810750451826</v>
      </c>
      <c r="D29" s="174">
        <f>IFERROR(VLOOKUP($B29,RD[#All],D$2,0)/D$1,"")</f>
        <v>4.4338018110574104</v>
      </c>
      <c r="E29" s="174">
        <f>IFERROR(VLOOKUP($B29,RD[#All],E$2,0)/E$1,"")</f>
        <v>4.4901846517591038</v>
      </c>
      <c r="F29" s="174">
        <f>IFERROR(VLOOKUP($B29,RD[#All],F$2,0)/F$1,"")</f>
        <v>4.4084474509156903</v>
      </c>
      <c r="G29" s="174">
        <f>IFERROR(VLOOKUP($B29,RD[#All],G$2,0)/G$1,"")</f>
        <v>4.4145108267275024</v>
      </c>
      <c r="H29" s="174">
        <f>IFERROR(VLOOKUP($B29,RD[#All],H$2,0)/H$1,"")</f>
        <v>4.3461533695961938</v>
      </c>
      <c r="I29" s="174">
        <f>IFERROR(VLOOKUP($B29,RD[#All],I$2,0)/I$1,"")</f>
        <v>4.4323341824270184</v>
      </c>
      <c r="J29" s="174">
        <f>IFERROR(VLOOKUP($B29,RD[#All],J$2,0)/J$1,"")</f>
        <v>4.2722649888103854</v>
      </c>
      <c r="K29" s="174">
        <f>IFERROR(VLOOKUP($B29,RD[#All],K$2,0)/K$1,"")</f>
        <v>4.302445180627859</v>
      </c>
      <c r="L29" s="174">
        <f>IFERROR(VLOOKUP($B29,RD[#All],L$2,0)/L$1,"")</f>
        <v>4.4924451451846013</v>
      </c>
      <c r="M29" s="174">
        <f>IFERROR(VLOOKUP($B29,RD[#All],M$2,0)/M$1,"")</f>
        <v>4.539775339946134</v>
      </c>
      <c r="N29" s="174">
        <f>IFERROR(VLOOKUP($B29,RD[#All],N$2,0)/N$1,"")</f>
        <v>4.3527251691440929</v>
      </c>
      <c r="O29" s="174">
        <f>IFERROR(VLOOKUP($B29,RD[#All],O$2,0)/O$1,"")</f>
        <v>4.5661815349558745</v>
      </c>
      <c r="P29" s="174">
        <f>IFERROR(VLOOKUP($B29,RD[#All],P$2,0)/P$1,"")</f>
        <v>4.3364710569895282</v>
      </c>
      <c r="Q29" s="174">
        <f>IFERROR(VLOOKUP($B29,RD[#All],Q$2,0)/Q$1,"")</f>
        <v>4.4213794550819108</v>
      </c>
      <c r="R29" s="174">
        <f>IFERROR(VLOOKUP($B29,RD[#All],R$2,0)/R$1,"")</f>
        <v>4.4231524334901797</v>
      </c>
      <c r="S29" s="174">
        <f>IFERROR(VLOOKUP($B29,RD[#All],S$2,0)/S$1,"")</f>
        <v>4.3863779960635831</v>
      </c>
      <c r="T29" s="174">
        <f>IFERROR(VLOOKUP($B29,RD[#All],T$2,0)/T$1,"")</f>
        <v>4.2735624086512578</v>
      </c>
      <c r="U29" s="174">
        <f>IFERROR(VLOOKUP($B29,RD[#All],U$2,0)/U$1,"")</f>
        <v>4.4232812691009284</v>
      </c>
      <c r="V29" s="174">
        <f>IFERROR(VLOOKUP($B29,RD[#All],V$2,0)/V$1,"")</f>
        <v>4.394802991123206</v>
      </c>
      <c r="W29" s="174">
        <f>IFERROR(VLOOKUP($B29,RD[#All],W$2,0)/W$1,"")</f>
        <v>4.3009816861903971</v>
      </c>
      <c r="X29" s="174">
        <f>IFERROR(VLOOKUP($B29,RD[#All],X$2,0)/X$1,"")</f>
        <v>4.5613273607074909</v>
      </c>
      <c r="Y29" s="174">
        <f>IFERROR(VLOOKUP($B29,RD[#All],Y$2,0)/Y$1,"")</f>
        <v>4.4997684643916571</v>
      </c>
      <c r="Z29" s="174">
        <f>IFERROR(VLOOKUP($B29,RD[#All],Z$2,0)/Z$1,"")</f>
        <v>4.5004398642704535</v>
      </c>
      <c r="AA29" s="174">
        <f>IFERROR(VLOOKUP($B29,RD[#All],AA$2,0)/AA$1,"")</f>
        <v>4.4645344574780053</v>
      </c>
      <c r="AB29" s="174">
        <f>IFERROR(VLOOKUP($B29,RD[#All],AB$2,0)/AB$1,"")</f>
        <v>4.4232429239925484</v>
      </c>
      <c r="AC29" s="174">
        <f>IFERROR(VLOOKUP($B29,RD[#All],AC$2,0)/AC$1,"")</f>
        <v>4.4482804469324968</v>
      </c>
      <c r="AD29" s="174">
        <f>IFERROR(VLOOKUP($B29,RD[#All],AD$2,0)/AD$1,"")</f>
        <v>4.4389659691779269</v>
      </c>
      <c r="AE29" s="174">
        <f>IFERROR(VLOOKUP($B29,RD[#All],AE$2,0)/AE$1,"")</f>
        <v>5.1450591334566447</v>
      </c>
      <c r="AF29" s="174">
        <f>IFERROR(VLOOKUP($B29,RD[#All],AF$2,0)/AF$1,"")</f>
        <v>5.0278916485813028</v>
      </c>
      <c r="AG29" s="174">
        <f>IFERROR(VLOOKUP($B29,RD[#All],AG$2,0)/AG$1,"")</f>
        <v>5.077933760392531</v>
      </c>
      <c r="AH29" s="174">
        <f>IFERROR(VLOOKUP($B29,RD[#All],AH$2,0)/AH$1,"")</f>
        <v>4.9939981780183267</v>
      </c>
      <c r="AI29" s="174">
        <f>IFERROR(VLOOKUP($B29,RD[#All],AI$2,0)/AI$1,"")</f>
        <v>5.11544227886057</v>
      </c>
      <c r="AJ29" s="174">
        <f>IFERROR(VLOOKUP($B29,RD[#All],AJ$2,0)/AJ$1,"")</f>
        <v>5.0488132557098071</v>
      </c>
      <c r="AK29" s="174">
        <f>IFERROR(VLOOKUP($B29,RD[#All],AK$2,0)/AK$1,"")</f>
        <v>5.0665214388183415</v>
      </c>
      <c r="AL29" s="174">
        <f>IFERROR(VLOOKUP($B29,RD[#All],AL$2,0)/AL$1,"")</f>
        <v>5.1062047346232839</v>
      </c>
      <c r="AM29" s="174">
        <f>IFERROR(VLOOKUP($B29,RD[#All],AM$2,0)/AM$1,"")</f>
        <v>5.0440541977693565</v>
      </c>
      <c r="AN29" s="174">
        <f>IFERROR(VLOOKUP($B29,RD[#All],AN$2,0)/AN$1,"")</f>
        <v>5.0754205173423435</v>
      </c>
      <c r="AO29" s="174">
        <f>IFERROR(VLOOKUP($B29,RD[#All],AO$2,0)/AO$1,"")</f>
        <v>5.0909017480328735</v>
      </c>
      <c r="AP29" s="174">
        <f>IFERROR(VLOOKUP($B29,RD[#All],AP$2,0)/AP$1,"")</f>
        <v>4.9577631640943141</v>
      </c>
      <c r="AQ29" s="174">
        <f>IFERROR(VLOOKUP($B29,RD[#All],AQ$2,0)/AQ$1,"")</f>
        <v>5.0044090550144773</v>
      </c>
      <c r="AR29" s="174">
        <f>IFERROR(VLOOKUP($B29,RD[#All],AR$2,0)/AR$1,"")</f>
        <v>5.0187981817879095</v>
      </c>
      <c r="AS29" s="174">
        <f>IFERROR(VLOOKUP($B29,RD[#All],AS$2,0)/AS$1,"")</f>
        <v>4.9607367570037608</v>
      </c>
      <c r="AT29" s="174">
        <f>IFERROR(VLOOKUP($B29,RD[#All],AT$2,0)/AT$1,"")</f>
        <v>4.7833064465441746</v>
      </c>
      <c r="AU29" s="174">
        <f>IFERROR(VLOOKUP($B29,RD[#All],AU$2,0)/AU$1,"")</f>
        <v>5.0713831704634176</v>
      </c>
      <c r="AV29" s="174">
        <f>IFERROR(VLOOKUP($B29,RD[#All],AV$2,0)/AV$1,"")</f>
        <v>5.0061618512939878</v>
      </c>
      <c r="AW29" s="174">
        <f>IFERROR(VLOOKUP($B29,RD[#All],AW$2,0)/AW$1,"")</f>
        <v>4.1775769869076163</v>
      </c>
      <c r="AX29" s="174">
        <f>IFERROR(VLOOKUP($B29,RD[#All],AX$2,0)/AX$1,"")</f>
        <v>4.2809561128526648</v>
      </c>
      <c r="AY29" s="174">
        <f>IFERROR(VLOOKUP($B29,RD[#All],AY$2,0)/AY$1,"")</f>
        <v>4.8744123223979843</v>
      </c>
      <c r="AZ29" s="174">
        <f>IFERROR(VLOOKUP($B29,RD[#All],AZ$2,0)/AZ$1,"")</f>
        <v>5.1063808271817166</v>
      </c>
      <c r="BA29" s="174">
        <f>IFERROR(VLOOKUP($B29,RD[#All],BA$2,0)/BA$1,"")</f>
        <v>4.666131776012346</v>
      </c>
      <c r="BB29" s="174">
        <f>IFERROR(VLOOKUP($B29,RD[#All],BB$2,0)/BB$1,"")</f>
        <v>4.7528846795171082</v>
      </c>
      <c r="BC29" s="174">
        <f>IFERROR(VLOOKUP($B29,RD[#All],BC$2,0)/BC$1,"")</f>
        <v>4.702418271383789</v>
      </c>
      <c r="BD29" s="174">
        <f>IFERROR(VLOOKUP($B29,RD[#All],BD$2,0)/BD$1,"")</f>
        <v>4.7469896136254528</v>
      </c>
      <c r="BE29" s="174">
        <f>IFERROR(VLOOKUP($B29,RD[#All],BE$2,0)/BE$1,"")</f>
        <v>4.8971716252114659</v>
      </c>
      <c r="BF29" s="174">
        <f>IFERROR(VLOOKUP($B29,RD[#All],BF$2,0)/BF$1,"")</f>
        <v>4.9617875755507086</v>
      </c>
      <c r="BG29" s="174">
        <f>IFERROR(VLOOKUP($B29,RD[#All],BG$2,0)/BG$1,"")</f>
        <v>5.046590549595928</v>
      </c>
      <c r="BH29" s="174">
        <f>IFERROR(VLOOKUP($B29,RD[#All],BH$2,0)/BH$1,"")</f>
        <v>5.0092030715251221</v>
      </c>
      <c r="BI29" s="174">
        <f>IFERROR(VLOOKUP($B29,RD[#All],BI$2,0)/BI$1,"")</f>
        <v>4.9289754215862587</v>
      </c>
      <c r="BJ29" s="174">
        <f>IFERROR(VLOOKUP($B29,RD[#All],BJ$2,0)/BJ$1,"")</f>
        <v>5.0280146665018739</v>
      </c>
      <c r="BK29" s="174">
        <f>IFERROR(VLOOKUP($B29,RD[#All],BK$2,0)/BK$1,"")</f>
        <v>4.899644404377332</v>
      </c>
      <c r="BL29" s="174">
        <f>IFERROR(VLOOKUP($B29,RD[#All],BL$2,0)/BL$1,"")</f>
        <v>4.8918273784715645</v>
      </c>
      <c r="BM29" s="174">
        <f>IFERROR(VLOOKUP($B29,RD[#All],BM$2,0)/BM$1,"")</f>
        <v>5.0630241338889945</v>
      </c>
      <c r="BN29" s="174">
        <f>IFERROR(VLOOKUP($B29,RD[#All],BN$2,0)/BN$1,"")</f>
        <v>4.9812749164418317</v>
      </c>
      <c r="BO29" s="174">
        <f>IFERROR(VLOOKUP($B29,RD[#All],BO$2,0)/BO$1,"")</f>
        <v>4.8234598297181686</v>
      </c>
      <c r="BP29" s="174">
        <f>IFERROR(VLOOKUP($B29,RD[#All],BP$2,0)/BP$1,"")</f>
        <v>4.9865997272771168</v>
      </c>
      <c r="BQ29" s="174">
        <f>IFERROR(VLOOKUP($B29,RD[#All],BQ$2,0)/BQ$1,"")</f>
        <v>4.804308677382779</v>
      </c>
      <c r="BR29" s="174">
        <f>IFERROR(VLOOKUP($B29,RD[#All],BR$2,0)/BR$1,"")</f>
        <v>5.2222386624250943</v>
      </c>
      <c r="BS29" s="174">
        <f>IFERROR(VLOOKUP($B29,RD[#All],BS$2,0)/BS$1,"")</f>
        <v>4.9056089415934032</v>
      </c>
      <c r="BT29" s="174">
        <f>IFERROR(VLOOKUP($B29,RD[#All],BT$2,0)/BT$1,"")</f>
        <v>4.7559559964905169</v>
      </c>
      <c r="BU29" s="174">
        <f>IFERROR(VLOOKUP($B29,RD[#All],BU$2,0)/BU$1,"")</f>
        <v>3.2395487723954881</v>
      </c>
      <c r="BV29" s="174">
        <f>IFERROR(VLOOKUP($B29,RD[#All],BV$2,0)/BV$1,"")</f>
        <v>5.3702731092436977</v>
      </c>
      <c r="BW29" s="174">
        <f>IFERROR(VLOOKUP($B29,RD[#All],BW$2,0)/BW$1,"")</f>
        <v>5.0124310885309695</v>
      </c>
      <c r="BX29" s="174">
        <f>IFERROR(VLOOKUP($B29,RD[#All],BX$2,0)/BX$1,"")</f>
        <v>4.9073090249133804</v>
      </c>
      <c r="BY29" s="174">
        <f>AVERAGEIF(Inv_SY_B[[#This Row],[IS1Inv1M1]:[IS4Inv4M2]],"&gt;="&amp;0.1,Inv_SY_B[[#This Row],[IS1Inv1M1]:[IS4Inv4M2]])</f>
        <v>4.4167792682085221</v>
      </c>
      <c r="BZ29" s="174">
        <f>AVERAGEIF(Inv_SY_B[[#This Row],[IS5Inv1M1]:[IS9Inv2M2]],"&gt;="&amp;0.1,Inv_SY_B[[#This Row],[IS5Inv1M1]:[IS9Inv2M2]])</f>
        <v>5.0330444176559688</v>
      </c>
      <c r="CA29" s="174">
        <f>AVERAGEIF(Inv_SY_B[[#This Row],[IS10Inv1M1]:[IS14Inv2M4]],"&gt;="&amp;0.1,Inv_SY_B[[#This Row],[IS10Inv1M1]:[IS14Inv2M4]])</f>
        <v>4.8229642201071554</v>
      </c>
    </row>
    <row r="30" spans="2:79">
      <c r="B30" s="179">
        <f t="shared" si="32"/>
        <v>45854</v>
      </c>
      <c r="C30" s="174">
        <f>IFERROR(VLOOKUP($B30,RD[#All],C$2,0)/C$1,"")</f>
        <v>4.498889623223632</v>
      </c>
      <c r="D30" s="174">
        <f>IFERROR(VLOOKUP($B30,RD[#All],D$2,0)/D$1,"")</f>
        <v>4.545434613059534</v>
      </c>
      <c r="E30" s="174">
        <f>IFERROR(VLOOKUP($B30,RD[#All],E$2,0)/E$1,"")</f>
        <v>4.5709052764781299</v>
      </c>
      <c r="F30" s="174">
        <f>IFERROR(VLOOKUP($B30,RD[#All],F$2,0)/F$1,"")</f>
        <v>4.5240059396139252</v>
      </c>
      <c r="G30" s="174">
        <f>IFERROR(VLOOKUP($B30,RD[#All],G$2,0)/G$1,"")</f>
        <v>4.5090965017398377</v>
      </c>
      <c r="H30" s="174">
        <f>IFERROR(VLOOKUP($B30,RD[#All],H$2,0)/H$1,"")</f>
        <v>4.4675183069622211</v>
      </c>
      <c r="I30" s="174">
        <f>IFERROR(VLOOKUP($B30,RD[#All],I$2,0)/I$1,"")</f>
        <v>4.5724672143429519</v>
      </c>
      <c r="J30" s="174">
        <f>IFERROR(VLOOKUP($B30,RD[#All],J$2,0)/J$1,"")</f>
        <v>4.4515917372608298</v>
      </c>
      <c r="K30" s="174">
        <f>IFERROR(VLOOKUP($B30,RD[#All],K$2,0)/K$1,"")</f>
        <v>4.4732607666824418</v>
      </c>
      <c r="L30" s="174">
        <f>IFERROR(VLOOKUP($B30,RD[#All],L$2,0)/L$1,"")</f>
        <v>4.6058336618052813</v>
      </c>
      <c r="M30" s="174">
        <f>IFERROR(VLOOKUP($B30,RD[#All],M$2,0)/M$1,"")</f>
        <v>4.7104381527951125</v>
      </c>
      <c r="N30" s="174">
        <f>IFERROR(VLOOKUP($B30,RD[#All],N$2,0)/N$1,"")</f>
        <v>4.5589677808798008</v>
      </c>
      <c r="O30" s="174">
        <f>IFERROR(VLOOKUP($B30,RD[#All],O$2,0)/O$1,"")</f>
        <v>4.680437455343637</v>
      </c>
      <c r="P30" s="174">
        <f>IFERROR(VLOOKUP($B30,RD[#All],P$2,0)/P$1,"")</f>
        <v>4.438260306550621</v>
      </c>
      <c r="Q30" s="174">
        <f>IFERROR(VLOOKUP($B30,RD[#All],Q$2,0)/Q$1,"")</f>
        <v>4.5360048393269388</v>
      </c>
      <c r="R30" s="174">
        <f>IFERROR(VLOOKUP($B30,RD[#All],R$2,0)/R$1,"")</f>
        <v>4.5764162906413137</v>
      </c>
      <c r="S30" s="174">
        <f>IFERROR(VLOOKUP($B30,RD[#All],S$2,0)/S$1,"")</f>
        <v>4.505425073978282</v>
      </c>
      <c r="T30" s="174">
        <f>IFERROR(VLOOKUP($B30,RD[#All],T$2,0)/T$1,"")</f>
        <v>4.4080601474535719</v>
      </c>
      <c r="U30" s="174">
        <f>IFERROR(VLOOKUP($B30,RD[#All],U$2,0)/U$1,"")</f>
        <v>4.5402142125010574</v>
      </c>
      <c r="V30" s="174">
        <f>IFERROR(VLOOKUP($B30,RD[#All],V$2,0)/V$1,"")</f>
        <v>4.5033823881149342</v>
      </c>
      <c r="W30" s="174">
        <f>IFERROR(VLOOKUP($B30,RD[#All],W$2,0)/W$1,"")</f>
        <v>4.3155007424517402</v>
      </c>
      <c r="X30" s="174">
        <f>IFERROR(VLOOKUP($B30,RD[#All],X$2,0)/X$1,"")</f>
        <v>4.4791981037704174</v>
      </c>
      <c r="Y30" s="174">
        <f>IFERROR(VLOOKUP($B30,RD[#All],Y$2,0)/Y$1,"")</f>
        <v>4.4756520822157722</v>
      </c>
      <c r="Z30" s="174">
        <f>IFERROR(VLOOKUP($B30,RD[#All],Z$2,0)/Z$1,"")</f>
        <v>4.4526831720497668</v>
      </c>
      <c r="AA30" s="174">
        <f>IFERROR(VLOOKUP($B30,RD[#All],AA$2,0)/AA$1,"")</f>
        <v>4.4562408357771259</v>
      </c>
      <c r="AB30" s="174">
        <f>IFERROR(VLOOKUP($B30,RD[#All],AB$2,0)/AB$1,"")</f>
        <v>4.4023442824042514</v>
      </c>
      <c r="AC30" s="174">
        <f>IFERROR(VLOOKUP($B30,RD[#All],AC$2,0)/AC$1,"")</f>
        <v>4.4475927174027667</v>
      </c>
      <c r="AD30" s="174">
        <f>IFERROR(VLOOKUP($B30,RD[#All],AD$2,0)/AD$1,"")</f>
        <v>4.4193971166448218</v>
      </c>
      <c r="AE30" s="174">
        <f>IFERROR(VLOOKUP($B30,RD[#All],AE$2,0)/AE$1,"")</f>
        <v>4.3077181772322177</v>
      </c>
      <c r="AF30" s="174">
        <f>IFERROR(VLOOKUP($B30,RD[#All],AF$2,0)/AF$1,"")</f>
        <v>4.2337432682260268</v>
      </c>
      <c r="AG30" s="174">
        <f>IFERROR(VLOOKUP($B30,RD[#All],AG$2,0)/AG$1,"")</f>
        <v>4.2837672073054378</v>
      </c>
      <c r="AH30" s="174">
        <f>IFERROR(VLOOKUP($B30,RD[#All],AH$2,0)/AH$1,"")</f>
        <v>4.274744118750335</v>
      </c>
      <c r="AI30" s="174">
        <f>IFERROR(VLOOKUP($B30,RD[#All],AI$2,0)/AI$1,"")</f>
        <v>4.3002862205261003</v>
      </c>
      <c r="AJ30" s="174">
        <f>IFERROR(VLOOKUP($B30,RD[#All],AJ$2,0)/AJ$1,"")</f>
        <v>4.2301836094939542</v>
      </c>
      <c r="AK30" s="174">
        <f>IFERROR(VLOOKUP($B30,RD[#All],AK$2,0)/AK$1,"")</f>
        <v>4.2443547101641785</v>
      </c>
      <c r="AL30" s="174">
        <f>IFERROR(VLOOKUP($B30,RD[#All],AL$2,0)/AL$1,"")</f>
        <v>4.2773754188736355</v>
      </c>
      <c r="AM30" s="174">
        <f>IFERROR(VLOOKUP($B30,RD[#All],AM$2,0)/AM$1,"")</f>
        <v>4.2650117455424148</v>
      </c>
      <c r="AN30" s="174">
        <f>IFERROR(VLOOKUP($B30,RD[#All],AN$2,0)/AN$1,"")</f>
        <v>4.3169075232050185</v>
      </c>
      <c r="AO30" s="174">
        <f>IFERROR(VLOOKUP($B30,RD[#All],AO$2,0)/AO$1,"")</f>
        <v>4.3311771793197682</v>
      </c>
      <c r="AP30" s="174">
        <f>IFERROR(VLOOKUP($B30,RD[#All],AP$2,0)/AP$1,"")</f>
        <v>4.3004839567333262</v>
      </c>
      <c r="AQ30" s="174">
        <f>IFERROR(VLOOKUP($B30,RD[#All],AQ$2,0)/AQ$1,"")</f>
        <v>4.2999473545669904</v>
      </c>
      <c r="AR30" s="174">
        <f>IFERROR(VLOOKUP($B30,RD[#All],AR$2,0)/AR$1,"")</f>
        <v>4.3005045039044942</v>
      </c>
      <c r="AS30" s="174">
        <f>IFERROR(VLOOKUP($B30,RD[#All],AS$2,0)/AS$1,"")</f>
        <v>4.171160087642213</v>
      </c>
      <c r="AT30" s="174">
        <f>IFERROR(VLOOKUP($B30,RD[#All],AT$2,0)/AT$1,"")</f>
        <v>4.0579916616035696</v>
      </c>
      <c r="AU30" s="174">
        <f>IFERROR(VLOOKUP($B30,RD[#All],AU$2,0)/AU$1,"")</f>
        <v>4.1096621960882196</v>
      </c>
      <c r="AV30" s="174">
        <f>IFERROR(VLOOKUP($B30,RD[#All],AV$2,0)/AV$1,"")</f>
        <v>4.0948216840504834</v>
      </c>
      <c r="AW30" s="174">
        <f>IFERROR(VLOOKUP($B30,RD[#All],AW$2,0)/AW$1,"")</f>
        <v>3.9424672690392777</v>
      </c>
      <c r="AX30" s="174">
        <f>IFERROR(VLOOKUP($B30,RD[#All],AX$2,0)/AX$1,"")</f>
        <v>4.0855211598746086</v>
      </c>
      <c r="AY30" s="174">
        <f>IFERROR(VLOOKUP($B30,RD[#All],AY$2,0)/AY$1,"")</f>
        <v>4.6868749837658124</v>
      </c>
      <c r="AZ30" s="174">
        <f>IFERROR(VLOOKUP($B30,RD[#All],AZ$2,0)/AZ$1,"")</f>
        <v>4.9979775508140358</v>
      </c>
      <c r="BA30" s="174">
        <f>IFERROR(VLOOKUP($B30,RD[#All],BA$2,0)/BA$1,"")</f>
        <v>4.6285578997211552</v>
      </c>
      <c r="BB30" s="174">
        <f>IFERROR(VLOOKUP($B30,RD[#All],BB$2,0)/BB$1,"")</f>
        <v>4.7932590764579031</v>
      </c>
      <c r="BC30" s="174">
        <f>IFERROR(VLOOKUP($B30,RD[#All],BC$2,0)/BC$1,"")</f>
        <v>4.7647559337214513</v>
      </c>
      <c r="BD30" s="174">
        <f>IFERROR(VLOOKUP($B30,RD[#All],BD$2,0)/BD$1,"")</f>
        <v>4.7612689997621578</v>
      </c>
      <c r="BE30" s="174">
        <f>IFERROR(VLOOKUP($B30,RD[#All],BE$2,0)/BE$1,"")</f>
        <v>4.8978510330396032</v>
      </c>
      <c r="BF30" s="174">
        <f>IFERROR(VLOOKUP($B30,RD[#All],BF$2,0)/BF$1,"")</f>
        <v>4.8405734361211472</v>
      </c>
      <c r="BG30" s="174">
        <f>IFERROR(VLOOKUP($B30,RD[#All],BG$2,0)/BG$1,"")</f>
        <v>4.9531218544189128</v>
      </c>
      <c r="BH30" s="174">
        <f>IFERROR(VLOOKUP($B30,RD[#All],BH$2,0)/BH$1,"")</f>
        <v>4.9200483161255075</v>
      </c>
      <c r="BI30" s="174">
        <f>IFERROR(VLOOKUP($B30,RD[#All],BI$2,0)/BI$1,"")</f>
        <v>4.8746318450751946</v>
      </c>
      <c r="BJ30" s="174">
        <f>IFERROR(VLOOKUP($B30,RD[#All],BJ$2,0)/BJ$1,"")</f>
        <v>4.942391408835606</v>
      </c>
      <c r="BK30" s="174">
        <f>IFERROR(VLOOKUP($B30,RD[#All],BK$2,0)/BK$1,"")</f>
        <v>4.8118097813838183</v>
      </c>
      <c r="BL30" s="174">
        <f>IFERROR(VLOOKUP($B30,RD[#All],BL$2,0)/BL$1,"")</f>
        <v>4.8497707725533283</v>
      </c>
      <c r="BM30" s="174">
        <f>IFERROR(VLOOKUP($B30,RD[#All],BM$2,0)/BM$1,"")</f>
        <v>4.7797695995564355</v>
      </c>
      <c r="BN30" s="174">
        <f>IFERROR(VLOOKUP($B30,RD[#All],BN$2,0)/BN$1,"")</f>
        <v>4.7425372919674862</v>
      </c>
      <c r="BO30" s="174">
        <f>IFERROR(VLOOKUP($B30,RD[#All],BO$2,0)/BO$1,"")</f>
        <v>4.6396984993741661</v>
      </c>
      <c r="BP30" s="174">
        <f>IFERROR(VLOOKUP($B30,RD[#All],BP$2,0)/BP$1,"")</f>
        <v>4.7485083212668906</v>
      </c>
      <c r="BQ30" s="174">
        <f>IFERROR(VLOOKUP($B30,RD[#All],BQ$2,0)/BQ$1,"")</f>
        <v>4.6801840859067569</v>
      </c>
      <c r="BR30" s="174">
        <f>IFERROR(VLOOKUP($B30,RD[#All],BR$2,0)/BR$1,"")</f>
        <v>5.1120810830805654</v>
      </c>
      <c r="BS30" s="174">
        <f>IFERROR(VLOOKUP($B30,RD[#All],BS$2,0)/BS$1,"")</f>
        <v>4.7093300620186742</v>
      </c>
      <c r="BT30" s="174">
        <f>IFERROR(VLOOKUP($B30,RD[#All],BT$2,0)/BT$1,"")</f>
        <v>4.6709860295606394</v>
      </c>
      <c r="BU30" s="174">
        <f>IFERROR(VLOOKUP($B30,RD[#All],BU$2,0)/BU$1,"")</f>
        <v>4.1856521418565213</v>
      </c>
      <c r="BV30" s="174">
        <f>IFERROR(VLOOKUP($B30,RD[#All],BV$2,0)/BV$1,"")</f>
        <v>5.3046218487394956</v>
      </c>
      <c r="BW30" s="174">
        <f>IFERROR(VLOOKUP($B30,RD[#All],BW$2,0)/BW$1,"")</f>
        <v>4.7591251396245449</v>
      </c>
      <c r="BX30" s="174">
        <f>IFERROR(VLOOKUP($B30,RD[#All],BX$2,0)/BX$1,"")</f>
        <v>4.6480778749381289</v>
      </c>
      <c r="BY30" s="174">
        <f>AVERAGEIF(Inv_SY_B[[#This Row],[IS1Inv1M1]:[IS4Inv4M2]],"&gt;="&amp;0.1,Inv_SY_B[[#This Row],[IS1Inv1M1]:[IS4Inv4M2]])</f>
        <v>4.5044721193382404</v>
      </c>
      <c r="BZ30" s="174">
        <f>AVERAGEIF(Inv_SY_B[[#This Row],[IS5Inv1M1]:[IS9Inv2M2]],"&gt;="&amp;0.1,Inv_SY_B[[#This Row],[IS5Inv1M1]:[IS9Inv2M2]])</f>
        <v>4.2444355901793536</v>
      </c>
      <c r="CA30" s="174">
        <f>AVERAGEIF(Inv_SY_B[[#This Row],[IS10Inv1M1]:[IS14Inv2M4]],"&gt;="&amp;0.1,Inv_SY_B[[#This Row],[IS10Inv1M1]:[IS14Inv2M4]])</f>
        <v>4.7404090463785655</v>
      </c>
    </row>
    <row r="31" spans="2:79">
      <c r="B31" s="179">
        <f t="shared" si="32"/>
        <v>45855</v>
      </c>
      <c r="C31" s="174">
        <f>IFERROR(VLOOKUP($B31,RD[#All],C$2,0)/C$1,"")</f>
        <v>4.0744719837374435</v>
      </c>
      <c r="D31" s="174">
        <f>IFERROR(VLOOKUP($B31,RD[#All],D$2,0)/D$1,"")</f>
        <v>4.07854388728971</v>
      </c>
      <c r="E31" s="174">
        <f>IFERROR(VLOOKUP($B31,RD[#All],E$2,0)/E$1,"")</f>
        <v>4.1045638455518736</v>
      </c>
      <c r="F31" s="174">
        <f>IFERROR(VLOOKUP($B31,RD[#All],F$2,0)/F$1,"")</f>
        <v>4.1383930044547101</v>
      </c>
      <c r="G31" s="174">
        <f>IFERROR(VLOOKUP($B31,RD[#All],G$2,0)/G$1,"")</f>
        <v>4.1470307403443787</v>
      </c>
      <c r="H31" s="174">
        <f>IFERROR(VLOOKUP($B31,RD[#All],H$2,0)/H$1,"")</f>
        <v>4.0805010717781602</v>
      </c>
      <c r="I31" s="174">
        <f>IFERROR(VLOOKUP($B31,RD[#All],I$2,0)/I$1,"")</f>
        <v>4.1468562903509518</v>
      </c>
      <c r="J31" s="174">
        <f>IFERROR(VLOOKUP($B31,RD[#All],J$2,0)/J$1,"")</f>
        <v>4.0498201459922436</v>
      </c>
      <c r="K31" s="174">
        <f>IFERROR(VLOOKUP($B31,RD[#All],K$2,0)/K$1,"")</f>
        <v>4.0553399589840664</v>
      </c>
      <c r="L31" s="174">
        <f>IFERROR(VLOOKUP($B31,RD[#All],L$2,0)/L$1,"")</f>
        <v>4.234594665615556</v>
      </c>
      <c r="M31" s="174">
        <f>IFERROR(VLOOKUP($B31,RD[#All],M$2,0)/M$1,"")</f>
        <v>4.384681074689615</v>
      </c>
      <c r="N31" s="174">
        <f>IFERROR(VLOOKUP($B31,RD[#All],N$2,0)/N$1,"")</f>
        <v>4.1550969591790539</v>
      </c>
      <c r="O31" s="174">
        <f>IFERROR(VLOOKUP($B31,RD[#All],O$2,0)/O$1,"")</f>
        <v>4.2629366668168629</v>
      </c>
      <c r="P31" s="174">
        <f>IFERROR(VLOOKUP($B31,RD[#All],P$2,0)/P$1,"")</f>
        <v>4.1953357488824974</v>
      </c>
      <c r="Q31" s="174">
        <f>IFERROR(VLOOKUP($B31,RD[#All],Q$2,0)/Q$1,"")</f>
        <v>4.1902151772156584</v>
      </c>
      <c r="R31" s="174">
        <f>IFERROR(VLOOKUP($B31,RD[#All],R$2,0)/R$1,"")</f>
        <v>4.1510624191357746</v>
      </c>
      <c r="S31" s="174">
        <f>IFERROR(VLOOKUP($B31,RD[#All],S$2,0)/S$1,"")</f>
        <v>4.1021013922917131</v>
      </c>
      <c r="T31" s="174">
        <f>IFERROR(VLOOKUP($B31,RD[#All],T$2,0)/T$1,"")</f>
        <v>4.1514536849222443</v>
      </c>
      <c r="U31" s="174">
        <f>IFERROR(VLOOKUP($B31,RD[#All],U$2,0)/U$1,"")</f>
        <v>4.12937381868106</v>
      </c>
      <c r="V31" s="174">
        <f>IFERROR(VLOOKUP($B31,RD[#All],V$2,0)/V$1,"")</f>
        <v>4.1201503684749694</v>
      </c>
      <c r="W31" s="174">
        <f>IFERROR(VLOOKUP($B31,RD[#All],W$2,0)/W$1,"")</f>
        <v>4.2976819006764559</v>
      </c>
      <c r="X31" s="174">
        <f>IFERROR(VLOOKUP($B31,RD[#All],X$2,0)/X$1,"")</f>
        <v>4.4446780444962881</v>
      </c>
      <c r="Y31" s="174">
        <f>IFERROR(VLOOKUP($B31,RD[#All],Y$2,0)/Y$1,"")</f>
        <v>4.4414490002705067</v>
      </c>
      <c r="Z31" s="174">
        <f>IFERROR(VLOOKUP($B31,RD[#All],Z$2,0)/Z$1,"")</f>
        <v>4.4025476220398936</v>
      </c>
      <c r="AA31" s="174">
        <f>IFERROR(VLOOKUP($B31,RD[#All],AA$2,0)/AA$1,"")</f>
        <v>4.4412115102639298</v>
      </c>
      <c r="AB31" s="174">
        <f>IFERROR(VLOOKUP($B31,RD[#All],AB$2,0)/AB$1,"")</f>
        <v>4.3491890418427142</v>
      </c>
      <c r="AC31" s="174">
        <f>IFERROR(VLOOKUP($B31,RD[#All],AC$2,0)/AC$1,"")</f>
        <v>4.4145358513403847</v>
      </c>
      <c r="AD31" s="174">
        <f>IFERROR(VLOOKUP($B31,RD[#All],AD$2,0)/AD$1,"")</f>
        <v>4.3807113481267228</v>
      </c>
      <c r="AE31" s="174">
        <f>IFERROR(VLOOKUP($B31,RD[#All],AE$2,0)/AE$1,"")</f>
        <v>3.9355417297236701</v>
      </c>
      <c r="AF31" s="174">
        <f>IFERROR(VLOOKUP($B31,RD[#All],AF$2,0)/AF$1,"")</f>
        <v>3.9176379176379172</v>
      </c>
      <c r="AG31" s="174">
        <f>IFERROR(VLOOKUP($B31,RD[#All],AG$2,0)/AG$1,"")</f>
        <v>4.0175003407387218</v>
      </c>
      <c r="AH31" s="174">
        <f>IFERROR(VLOOKUP($B31,RD[#All],AH$2,0)/AH$1,"")</f>
        <v>4.009645785327689</v>
      </c>
      <c r="AI31" s="174">
        <f>IFERROR(VLOOKUP($B31,RD[#All],AI$2,0)/AI$1,"")</f>
        <v>3.9478806051519695</v>
      </c>
      <c r="AJ31" s="174">
        <f>IFERROR(VLOOKUP($B31,RD[#All],AJ$2,0)/AJ$1,"")</f>
        <v>3.9086430810568742</v>
      </c>
      <c r="AK31" s="174">
        <f>IFERROR(VLOOKUP($B31,RD[#All],AK$2,0)/AK$1,"")</f>
        <v>3.9022368630784761</v>
      </c>
      <c r="AL31" s="174">
        <f>IFERROR(VLOOKUP($B31,RD[#All],AL$2,0)/AL$1,"")</f>
        <v>3.9758944978921198</v>
      </c>
      <c r="AM31" s="174">
        <f>IFERROR(VLOOKUP($B31,RD[#All],AM$2,0)/AM$1,"")</f>
        <v>4.0129369240813908</v>
      </c>
      <c r="AN31" s="174">
        <f>IFERROR(VLOOKUP($B31,RD[#All],AN$2,0)/AN$1,"")</f>
        <v>4.0709578843215519</v>
      </c>
      <c r="AO31" s="174">
        <f>IFERROR(VLOOKUP($B31,RD[#All],AO$2,0)/AO$1,"")</f>
        <v>4.0887949544649889</v>
      </c>
      <c r="AP31" s="174">
        <f>IFERROR(VLOOKUP($B31,RD[#All],AP$2,0)/AP$1,"")</f>
        <v>4.0697463097457716</v>
      </c>
      <c r="AQ31" s="174">
        <f>IFERROR(VLOOKUP($B31,RD[#All],AQ$2,0)/AQ$1,"")</f>
        <v>4.0778494340615943</v>
      </c>
      <c r="AR31" s="174">
        <f>IFERROR(VLOOKUP($B31,RD[#All],AR$2,0)/AR$1,"")</f>
        <v>4.0614062838209097</v>
      </c>
      <c r="AS31" s="174">
        <f>IFERROR(VLOOKUP($B31,RD[#All],AS$2,0)/AS$1,"")</f>
        <v>3.876879093582668</v>
      </c>
      <c r="AT31" s="174">
        <f>IFERROR(VLOOKUP($B31,RD[#All],AT$2,0)/AT$1,"")</f>
        <v>3.8954976849426992</v>
      </c>
      <c r="AU31" s="174">
        <f>IFERROR(VLOOKUP($B31,RD[#All],AU$2,0)/AU$1,"")</f>
        <v>3.9409779160583835</v>
      </c>
      <c r="AV31" s="174">
        <f>IFERROR(VLOOKUP($B31,RD[#All],AV$2,0)/AV$1,"")</f>
        <v>3.9574194827822282</v>
      </c>
      <c r="AW31" s="174">
        <f>IFERROR(VLOOKUP($B31,RD[#All],AW$2,0)/AW$1,"")</f>
        <v>4.0424119491056612</v>
      </c>
      <c r="AX31" s="174">
        <f>IFERROR(VLOOKUP($B31,RD[#All],AX$2,0)/AX$1,"")</f>
        <v>4.1636951410658307</v>
      </c>
      <c r="AY31" s="174">
        <f>IFERROR(VLOOKUP($B31,RD[#All],AY$2,0)/AY$1,"")</f>
        <v>4.5444297254474133</v>
      </c>
      <c r="AZ31" s="174">
        <f>IFERROR(VLOOKUP($B31,RD[#All],AZ$2,0)/AZ$1,"")</f>
        <v>4.8350187076549709</v>
      </c>
      <c r="BA31" s="174">
        <f>IFERROR(VLOOKUP($B31,RD[#All],BA$2,0)/BA$1,"")</f>
        <v>4.5318391469809365</v>
      </c>
      <c r="BB31" s="174">
        <f>IFERROR(VLOOKUP($B31,RD[#All],BB$2,0)/BB$1,"")</f>
        <v>4.6812957157784751</v>
      </c>
      <c r="BC31" s="174">
        <f>IFERROR(VLOOKUP($B31,RD[#All],BC$2,0)/BC$1,"")</f>
        <v>4.6762651141961484</v>
      </c>
      <c r="BD31" s="174">
        <f>IFERROR(VLOOKUP($B31,RD[#All],BD$2,0)/BD$1,"")</f>
        <v>4.7144078564033105</v>
      </c>
      <c r="BE31" s="174">
        <f>IFERROR(VLOOKUP($B31,RD[#All],BE$2,0)/BE$1,"")</f>
        <v>4.8815452451643155</v>
      </c>
      <c r="BF31" s="174">
        <f>IFERROR(VLOOKUP($B31,RD[#All],BF$2,0)/BF$1,"")</f>
        <v>4.8319152833047498</v>
      </c>
      <c r="BG31" s="174">
        <f>IFERROR(VLOOKUP($B31,RD[#All],BG$2,0)/BG$1,"")</f>
        <v>4.9718155934543153</v>
      </c>
      <c r="BH31" s="174">
        <f>IFERROR(VLOOKUP($B31,RD[#All],BH$2,0)/BH$1,"")</f>
        <v>4.93874205516091</v>
      </c>
      <c r="BI31" s="174">
        <f>IFERROR(VLOOKUP($B31,RD[#All],BI$2,0)/BI$1,"")</f>
        <v>4.8784111345687702</v>
      </c>
      <c r="BJ31" s="174">
        <f>IFERROR(VLOOKUP($B31,RD[#All],BJ$2,0)/BJ$1,"")</f>
        <v>4.9706120655323476</v>
      </c>
      <c r="BK31" s="174">
        <f>IFERROR(VLOOKUP($B31,RD[#All],BK$2,0)/BK$1,"")</f>
        <v>4.8356622342423563</v>
      </c>
      <c r="BL31" s="174">
        <f>IFERROR(VLOOKUP($B31,RD[#All],BL$2,0)/BL$1,"")</f>
        <v>4.8235643289255989</v>
      </c>
      <c r="BM31" s="174">
        <f>IFERROR(VLOOKUP($B31,RD[#All],BM$2,0)/BM$1,"")</f>
        <v>4.8912634056235067</v>
      </c>
      <c r="BN31" s="174">
        <f>IFERROR(VLOOKUP($B31,RD[#All],BN$2,0)/BN$1,"")</f>
        <v>4.852989397748388</v>
      </c>
      <c r="BO31" s="174">
        <f>IFERROR(VLOOKUP($B31,RD[#All],BO$2,0)/BO$1,"")</f>
        <v>4.7068209014758677</v>
      </c>
      <c r="BP31" s="174">
        <f>IFERROR(VLOOKUP($B31,RD[#All],BP$2,0)/BP$1,"")</f>
        <v>4.8339770311167154</v>
      </c>
      <c r="BQ31" s="174">
        <f>IFERROR(VLOOKUP($B31,RD[#All],BQ$2,0)/BQ$1,"")</f>
        <v>4.6615087040618954</v>
      </c>
      <c r="BR31" s="174">
        <f>IFERROR(VLOOKUP($B31,RD[#All],BR$2,0)/BR$1,"")</f>
        <v>5.0292224606051636</v>
      </c>
      <c r="BS31" s="174">
        <f>IFERROR(VLOOKUP($B31,RD[#All],BS$2,0)/BS$1,"")</f>
        <v>4.5687846914589914</v>
      </c>
      <c r="BT31" s="174">
        <f>IFERROR(VLOOKUP($B31,RD[#All],BT$2,0)/BT$1,"")</f>
        <v>4.8685293919146924</v>
      </c>
      <c r="BU31" s="174">
        <f>IFERROR(VLOOKUP($B31,RD[#All],BU$2,0)/BU$1,"")</f>
        <v>4.3376096733760967</v>
      </c>
      <c r="BV31" s="174">
        <f>IFERROR(VLOOKUP($B31,RD[#All],BV$2,0)/BV$1,"")</f>
        <v>4.9311974789915967</v>
      </c>
      <c r="BW31" s="174">
        <f>IFERROR(VLOOKUP($B31,RD[#All],BW$2,0)/BW$1,"")</f>
        <v>4.807408208121644</v>
      </c>
      <c r="BX31" s="174">
        <f>IFERROR(VLOOKUP($B31,RD[#All],BX$2,0)/BX$1,"")</f>
        <v>4.7670681405708626</v>
      </c>
      <c r="BY31" s="174">
        <f>AVERAGEIF(Inv_SY_B[[#This Row],[IS1Inv1M1]:[IS4Inv4M2]],"&gt;="&amp;0.1,Inv_SY_B[[#This Row],[IS1Inv1M1]:[IS4Inv4M2]])</f>
        <v>4.2187331151230509</v>
      </c>
      <c r="BZ31" s="174">
        <f>AVERAGEIF(Inv_SY_B[[#This Row],[IS5Inv1M1]:[IS9Inv2M2]],"&gt;="&amp;0.1,Inv_SY_B[[#This Row],[IS5Inv1M1]:[IS9Inv2M2]])</f>
        <v>3.9815248215816457</v>
      </c>
      <c r="CA31" s="174">
        <f>AVERAGEIF(Inv_SY_B[[#This Row],[IS10Inv1M1]:[IS14Inv2M4]],"&gt;="&amp;0.1,Inv_SY_B[[#This Row],[IS10Inv1M1]:[IS14Inv2M4]])</f>
        <v>4.7349289565018404</v>
      </c>
    </row>
    <row r="32" spans="2:79">
      <c r="B32" s="179">
        <f>B31+1</f>
        <v>45856</v>
      </c>
      <c r="C32" s="174">
        <f>IFERROR(VLOOKUP($B32,RD[#All],C$2,0)/C$1,"")</f>
        <v>3.1890522174647074</v>
      </c>
      <c r="D32" s="174">
        <f>IFERROR(VLOOKUP($B32,RD[#All],D$2,0)/D$1,"")</f>
        <v>3.1753956793971074</v>
      </c>
      <c r="E32" s="174">
        <f>IFERROR(VLOOKUP($B32,RD[#All],E$2,0)/E$1,"")</f>
        <v>3.1443080970379134</v>
      </c>
      <c r="F32" s="174">
        <f>IFERROR(VLOOKUP($B32,RD[#All],F$2,0)/F$1,"")</f>
        <v>3.1153275037122587</v>
      </c>
      <c r="G32" s="174">
        <f>IFERROR(VLOOKUP($B32,RD[#All],G$2,0)/G$1,"")</f>
        <v>3.1176745765753067</v>
      </c>
      <c r="H32" s="174">
        <f>IFERROR(VLOOKUP($B32,RD[#All],H$2,0)/H$1,"")</f>
        <v>3.1199895919808691</v>
      </c>
      <c r="I32" s="174">
        <f>IFERROR(VLOOKUP($B32,RD[#All],I$2,0)/I$1,"")</f>
        <v>3.176869906252239</v>
      </c>
      <c r="J32" s="174">
        <f>IFERROR(VLOOKUP($B32,RD[#All],J$2,0)/J$1,"")</f>
        <v>3.2094273963935462</v>
      </c>
      <c r="K32" s="174">
        <f>IFERROR(VLOOKUP($B32,RD[#All],K$2,0)/K$1,"")</f>
        <v>3.0902666035652313</v>
      </c>
      <c r="L32" s="174">
        <f>IFERROR(VLOOKUP($B32,RD[#All],L$2,0)/L$1,"")</f>
        <v>3.1849297070030222</v>
      </c>
      <c r="M32" s="174">
        <f>IFERROR(VLOOKUP($B32,RD[#All],M$2,0)/M$1,"")</f>
        <v>3.2789200551796625</v>
      </c>
      <c r="N32" s="174">
        <f>IFERROR(VLOOKUP($B32,RD[#All],N$2,0)/N$1,"")</f>
        <v>3.1371513368042456</v>
      </c>
      <c r="O32" s="174">
        <f>IFERROR(VLOOKUP($B32,RD[#All],O$2,0)/O$1,"")</f>
        <v>3.2245917362394034</v>
      </c>
      <c r="P32" s="174">
        <f>IFERROR(VLOOKUP($B32,RD[#All],P$2,0)/P$1,"")</f>
        <v>3.0882298009039633</v>
      </c>
      <c r="Q32" s="174">
        <f>IFERROR(VLOOKUP($B32,RD[#All],Q$2,0)/Q$1,"")</f>
        <v>3.1901904867720949</v>
      </c>
      <c r="R32" s="174">
        <f>IFERROR(VLOOKUP($B32,RD[#All],R$2,0)/R$1,"")</f>
        <v>3.194144947313537</v>
      </c>
      <c r="S32" s="174">
        <f>IFERROR(VLOOKUP($B32,RD[#All],S$2,0)/S$1,"")</f>
        <v>3.1427246735182752</v>
      </c>
      <c r="T32" s="174">
        <f>IFERROR(VLOOKUP($B32,RD[#All],T$2,0)/T$1,"")</f>
        <v>3.1868514492313551</v>
      </c>
      <c r="U32" s="174">
        <f>IFERROR(VLOOKUP($B32,RD[#All],U$2,0)/U$1,"")</f>
        <v>3.1902428932792941</v>
      </c>
      <c r="V32" s="174">
        <f>IFERROR(VLOOKUP($B32,RD[#All],V$2,0)/V$1,"")</f>
        <v>3.206476855800604</v>
      </c>
      <c r="W32" s="174">
        <f>IFERROR(VLOOKUP($B32,RD[#All],W$2,0)/W$1,"")</f>
        <v>3.1138426002309849</v>
      </c>
      <c r="X32" s="174">
        <f>IFERROR(VLOOKUP($B32,RD[#All],X$2,0)/X$1,"")</f>
        <v>3.1403081033974107</v>
      </c>
      <c r="Y32" s="174">
        <f>IFERROR(VLOOKUP($B32,RD[#All],Y$2,0)/Y$1,"")</f>
        <v>3.2028939658611062</v>
      </c>
      <c r="Z32" s="174">
        <f>IFERROR(VLOOKUP($B32,RD[#All],Z$2,0)/Z$1,"")</f>
        <v>3.1954792725183574</v>
      </c>
      <c r="AA32" s="174">
        <f>IFERROR(VLOOKUP($B32,RD[#All],AA$2,0)/AA$1,"")</f>
        <v>3.1834219208211141</v>
      </c>
      <c r="AB32" s="174">
        <f>IFERROR(VLOOKUP($B32,RD[#All],AB$2,0)/AB$1,"")</f>
        <v>3.1220753259733764</v>
      </c>
      <c r="AC32" s="174">
        <f>IFERROR(VLOOKUP($B32,RD[#All],AC$2,0)/AC$1,"")</f>
        <v>3.1835916903933352</v>
      </c>
      <c r="AD32" s="174">
        <f>IFERROR(VLOOKUP($B32,RD[#All],AD$2,0)/AD$1,"")</f>
        <v>3.1555565598589954</v>
      </c>
      <c r="AE32" s="174">
        <f>IFERROR(VLOOKUP($B32,RD[#All],AE$2,0)/AE$1,"")</f>
        <v>3.2789641836219943</v>
      </c>
      <c r="AF32" s="174">
        <f>IFERROR(VLOOKUP($B32,RD[#All],AF$2,0)/AF$1,"")</f>
        <v>3.2036009967044445</v>
      </c>
      <c r="AG32" s="174">
        <f>IFERROR(VLOOKUP($B32,RD[#All],AG$2,0)/AG$1,"")</f>
        <v>3.2310208532097588</v>
      </c>
      <c r="AH32" s="174">
        <f>IFERROR(VLOOKUP($B32,RD[#All],AH$2,0)/AH$1,"")</f>
        <v>3.192326241894861</v>
      </c>
      <c r="AI32" s="174">
        <f>IFERROR(VLOOKUP($B32,RD[#All],AI$2,0)/AI$1,"")</f>
        <v>3.2684748534823496</v>
      </c>
      <c r="AJ32" s="174">
        <f>IFERROR(VLOOKUP($B32,RD[#All],AJ$2,0)/AJ$1,"")</f>
        <v>3.2220436764047315</v>
      </c>
      <c r="AK32" s="174">
        <f>IFERROR(VLOOKUP($B32,RD[#All],AK$2,0)/AK$1,"")</f>
        <v>3.258594123585357</v>
      </c>
      <c r="AL32" s="174">
        <f>IFERROR(VLOOKUP($B32,RD[#All],AL$2,0)/AL$1,"")</f>
        <v>3.2806183115338881</v>
      </c>
      <c r="AM32" s="174">
        <f>IFERROR(VLOOKUP($B32,RD[#All],AM$2,0)/AM$1,"")</f>
        <v>3.2836363391601093</v>
      </c>
      <c r="AN32" s="174">
        <f>IFERROR(VLOOKUP($B32,RD[#All],AN$2,0)/AN$1,"")</f>
        <v>3.3052427524281973</v>
      </c>
      <c r="AO32" s="174">
        <f>IFERROR(VLOOKUP($B32,RD[#All],AO$2,0)/AO$1,"")</f>
        <v>3.2990502601519851</v>
      </c>
      <c r="AP32" s="174">
        <f>IFERROR(VLOOKUP($B32,RD[#All],AP$2,0)/AP$1,"")</f>
        <v>3.2454717400230195</v>
      </c>
      <c r="AQ32" s="174">
        <f>IFERROR(VLOOKUP($B32,RD[#All],AQ$2,0)/AQ$1,"")</f>
        <v>3.2694130034219526</v>
      </c>
      <c r="AR32" s="174">
        <f>IFERROR(VLOOKUP($B32,RD[#All],AR$2,0)/AR$1,"")</f>
        <v>3.2675202717327965</v>
      </c>
      <c r="AS32" s="174">
        <f>IFERROR(VLOOKUP($B32,RD[#All],AS$2,0)/AS$1,"")</f>
        <v>3.2570096195531182</v>
      </c>
      <c r="AT32" s="174">
        <f>IFERROR(VLOOKUP($B32,RD[#All],AT$2,0)/AT$1,"")</f>
        <v>3.3092120424881104</v>
      </c>
      <c r="AU32" s="174">
        <f>IFERROR(VLOOKUP($B32,RD[#All],AU$2,0)/AU$1,"")</f>
        <v>3.3166255017428576</v>
      </c>
      <c r="AV32" s="174">
        <f>IFERROR(VLOOKUP($B32,RD[#All],AV$2,0)/AV$1,"")</f>
        <v>3.2890120734511554</v>
      </c>
      <c r="AW32" s="174">
        <f>IFERROR(VLOOKUP($B32,RD[#All],AW$2,0)/AW$1,"")</f>
        <v>3.2474645030425964</v>
      </c>
      <c r="AX32" s="174">
        <f>IFERROR(VLOOKUP($B32,RD[#All],AX$2,0)/AX$1,"")</f>
        <v>3.3122061128526648</v>
      </c>
      <c r="AY32" s="174">
        <f>IFERROR(VLOOKUP($B32,RD[#All],AY$2,0)/AY$1,"")</f>
        <v>3.1666277046157045</v>
      </c>
      <c r="AZ32" s="174">
        <f>IFERROR(VLOOKUP($B32,RD[#All],AZ$2,0)/AZ$1,"")</f>
        <v>3.3809788654060067</v>
      </c>
      <c r="BA32" s="174">
        <f>IFERROR(VLOOKUP($B32,RD[#All],BA$2,0)/BA$1,"")</f>
        <v>3.1748390943687412</v>
      </c>
      <c r="BB32" s="174">
        <f>IFERROR(VLOOKUP($B32,RD[#All],BB$2,0)/BB$1,"")</f>
        <v>3.2354654394272884</v>
      </c>
      <c r="BC32" s="174">
        <f>IFERROR(VLOOKUP($B32,RD[#All],BC$2,0)/BC$1,"")</f>
        <v>3.2232422749664127</v>
      </c>
      <c r="BD32" s="174">
        <f>IFERROR(VLOOKUP($B32,RD[#All],BD$2,0)/BD$1,"")</f>
        <v>3.268299497524759</v>
      </c>
      <c r="BE32" s="174">
        <f>IFERROR(VLOOKUP($B32,RD[#All],BE$2,0)/BE$1,"")</f>
        <v>3.214618138830196</v>
      </c>
      <c r="BF32" s="174">
        <f>IFERROR(VLOOKUP($B32,RD[#All],BF$2,0)/BF$1,"")</f>
        <v>3.132752793086798</v>
      </c>
      <c r="BG32" s="174">
        <f>IFERROR(VLOOKUP($B32,RD[#All],BG$2,0)/BG$1,"")</f>
        <v>3.2872221103793393</v>
      </c>
      <c r="BH32" s="174">
        <f>IFERROR(VLOOKUP($B32,RD[#All],BH$2,0)/BH$1,"")</f>
        <v>3.2469586724569326</v>
      </c>
      <c r="BI32" s="174">
        <f>IFERROR(VLOOKUP($B32,RD[#All],BI$2,0)/BI$1,"")</f>
        <v>3.2827690463158441</v>
      </c>
      <c r="BJ32" s="174">
        <f>IFERROR(VLOOKUP($B32,RD[#All],BJ$2,0)/BJ$1,"")</f>
        <v>3.3075158955767034</v>
      </c>
      <c r="BK32" s="174">
        <f>IFERROR(VLOOKUP($B32,RD[#All],BK$2,0)/BK$1,"")</f>
        <v>3.3186837953572237</v>
      </c>
      <c r="BL32" s="174">
        <f>IFERROR(VLOOKUP($B32,RD[#All],BL$2,0)/BL$1,"")</f>
        <v>3.279278596597583</v>
      </c>
      <c r="BM32" s="174">
        <f>IFERROR(VLOOKUP($B32,RD[#All],BM$2,0)/BM$1,"")</f>
        <v>3.2621882316781021</v>
      </c>
      <c r="BN32" s="174">
        <f>IFERROR(VLOOKUP($B32,RD[#All],BN$2,0)/BN$1,"")</f>
        <v>3.2750199906806037</v>
      </c>
      <c r="BO32" s="174">
        <f>IFERROR(VLOOKUP($B32,RD[#All],BO$2,0)/BO$1,"")</f>
        <v>3.2229756681292381</v>
      </c>
      <c r="BP32" s="174">
        <f>IFERROR(VLOOKUP($B32,RD[#All],BP$2,0)/BP$1,"")</f>
        <v>3.1939767869204014</v>
      </c>
      <c r="BQ32" s="174">
        <f>IFERROR(VLOOKUP($B32,RD[#All],BQ$2,0)/BQ$1,"")</f>
        <v>3.0967117988394581</v>
      </c>
      <c r="BR32" s="174">
        <f>IFERROR(VLOOKUP($B32,RD[#All],BR$2,0)/BR$1,"")</f>
        <v>3.3096101205888884</v>
      </c>
      <c r="BS32" s="174">
        <f>IFERROR(VLOOKUP($B32,RD[#All],BS$2,0)/BS$1,"")</f>
        <v>2.8077269663857276</v>
      </c>
      <c r="BT32" s="174">
        <f>IFERROR(VLOOKUP($B32,RD[#All],BT$2,0)/BT$1,"")</f>
        <v>3.2436390632381724</v>
      </c>
      <c r="BU32" s="174">
        <f>IFERROR(VLOOKUP($B32,RD[#All],BU$2,0)/BU$1,"")</f>
        <v>3.1480498414804985</v>
      </c>
      <c r="BV32" s="174">
        <f>IFERROR(VLOOKUP($B32,RD[#All],BV$2,0)/BV$1,"")</f>
        <v>2.9774159663865545</v>
      </c>
      <c r="BW32" s="174">
        <f>IFERROR(VLOOKUP($B32,RD[#All],BW$2,0)/BW$1,"")</f>
        <v>3.1521637300472021</v>
      </c>
      <c r="BX32" s="174">
        <f>IFERROR(VLOOKUP($B32,RD[#All],BX$2,0)/BX$1,"")</f>
        <v>3.1988120772149808</v>
      </c>
      <c r="BY32" s="174">
        <f>AVERAGEIF(Inv_SY_B[[#This Row],[IS1Inv1M1]:[IS4Inv4M2]],"&gt;="&amp;0.1,Inv_SY_B[[#This Row],[IS1Inv1M1]:[IS4Inv4M2]])</f>
        <v>3.166426248338547</v>
      </c>
      <c r="BZ32" s="174">
        <f>AVERAGEIF(Inv_SY_B[[#This Row],[IS5Inv1M1]:[IS9Inv2M2]],"&gt;="&amp;0.1,Inv_SY_B[[#This Row],[IS5Inv1M1]:[IS9Inv2M2]])</f>
        <v>3.2654353802550387</v>
      </c>
      <c r="CA32" s="174">
        <f>AVERAGEIF(Inv_SY_B[[#This Row],[IS10Inv1M1]:[IS14Inv2M4]],"&gt;="&amp;0.1,Inv_SY_B[[#This Row],[IS10Inv1M1]:[IS14Inv2M4]])</f>
        <v>3.2131147422283801</v>
      </c>
    </row>
    <row r="33" spans="2:79">
      <c r="B33" s="179">
        <f t="shared" si="32"/>
        <v>45857</v>
      </c>
      <c r="C33" s="174">
        <f>IFERROR(VLOOKUP($B33,RD[#All],C$2,0)/C$1,"")</f>
        <v>4.8047835470038613</v>
      </c>
      <c r="D33" s="174">
        <f>IFERROR(VLOOKUP($B33,RD[#All],D$2,0)/D$1,"")</f>
        <v>4.768261704373538</v>
      </c>
      <c r="E33" s="174">
        <f>IFERROR(VLOOKUP($B33,RD[#All],E$2,0)/E$1,"")</f>
        <v>4.8108693118433541</v>
      </c>
      <c r="F33" s="174">
        <f>IFERROR(VLOOKUP($B33,RD[#All],F$2,0)/F$1,"")</f>
        <v>4.8213166144200628</v>
      </c>
      <c r="G33" s="174">
        <f>IFERROR(VLOOKUP($B33,RD[#All],G$2,0)/G$1,"")</f>
        <v>4.8118860101634739</v>
      </c>
      <c r="H33" s="174">
        <f>IFERROR(VLOOKUP($B33,RD[#All],H$2,0)/H$1,"")</f>
        <v>4.7712094366040114</v>
      </c>
      <c r="I33" s="174">
        <f>IFERROR(VLOOKUP($B33,RD[#All],I$2,0)/I$1,"")</f>
        <v>4.8746881046535107</v>
      </c>
      <c r="J33" s="174">
        <f>IFERROR(VLOOKUP($B33,RD[#All],J$2,0)/J$1,"")</f>
        <v>4.7752703668553087</v>
      </c>
      <c r="K33" s="174">
        <f>IFERROR(VLOOKUP($B33,RD[#All],K$2,0)/K$1,"")</f>
        <v>4.6792238523426404</v>
      </c>
      <c r="L33" s="174">
        <f>IFERROR(VLOOKUP($B33,RD[#All],L$2,0)/L$1,"")</f>
        <v>4.8805675995269997</v>
      </c>
      <c r="M33" s="174">
        <f>IFERROR(VLOOKUP($B33,RD[#All],M$2,0)/M$1,"")</f>
        <v>4.9969125665112006</v>
      </c>
      <c r="N33" s="174">
        <f>IFERROR(VLOOKUP($B33,RD[#All],N$2,0)/N$1,"")</f>
        <v>4.7563444754646751</v>
      </c>
      <c r="O33" s="174">
        <f>IFERROR(VLOOKUP($B33,RD[#All],O$2,0)/O$1,"")</f>
        <v>4.9147425540543148</v>
      </c>
      <c r="P33" s="174">
        <f>IFERROR(VLOOKUP($B33,RD[#All],P$2,0)/P$1,"")</f>
        <v>4.7309900016186672</v>
      </c>
      <c r="Q33" s="174">
        <f>IFERROR(VLOOKUP($B33,RD[#All],Q$2,0)/Q$1,"")</f>
        <v>4.8391417601817217</v>
      </c>
      <c r="R33" s="174">
        <f>IFERROR(VLOOKUP($B33,RD[#All],R$2,0)/R$1,"")</f>
        <v>4.8575824090941264</v>
      </c>
      <c r="S33" s="174">
        <f>IFERROR(VLOOKUP($B33,RD[#All],S$2,0)/S$1,"")</f>
        <v>4.7688377568785034</v>
      </c>
      <c r="T33" s="174">
        <f>IFERROR(VLOOKUP($B33,RD[#All],T$2,0)/T$1,"")</f>
        <v>4.7096476418360034</v>
      </c>
      <c r="U33" s="174">
        <f>IFERROR(VLOOKUP($B33,RD[#All],U$2,0)/U$1,"")</f>
        <v>4.8071805384463486</v>
      </c>
      <c r="V33" s="174">
        <f>IFERROR(VLOOKUP($B33,RD[#All],V$2,0)/V$1,"")</f>
        <v>4.7944618189531072</v>
      </c>
      <c r="W33" s="174">
        <f>IFERROR(VLOOKUP($B33,RD[#All],W$2,0)/W$1,"")</f>
        <v>4.7287163834350761</v>
      </c>
      <c r="X33" s="174">
        <f>IFERROR(VLOOKUP($B33,RD[#All],X$2,0)/X$1,"")</f>
        <v>4.8600716850739731</v>
      </c>
      <c r="Y33" s="174">
        <f>IFERROR(VLOOKUP($B33,RD[#All],Y$2,0)/Y$1,"")</f>
        <v>4.8471635741762142</v>
      </c>
      <c r="Z33" s="174">
        <f>IFERROR(VLOOKUP($B33,RD[#All],Z$2,0)/Z$1,"")</f>
        <v>4.7834341729654026</v>
      </c>
      <c r="AA33" s="174">
        <f>IFERROR(VLOOKUP($B33,RD[#All],AA$2,0)/AA$1,"")</f>
        <v>4.8585960410557183</v>
      </c>
      <c r="AB33" s="174">
        <f>IFERROR(VLOOKUP($B33,RD[#All],AB$2,0)/AB$1,"")</f>
        <v>4.8271318886011532</v>
      </c>
      <c r="AC33" s="174">
        <f>IFERROR(VLOOKUP($B33,RD[#All],AC$2,0)/AC$1,"")</f>
        <v>4.8162615939736551</v>
      </c>
      <c r="AD33" s="174">
        <f>IFERROR(VLOOKUP($B33,RD[#All],AD$2,0)/AD$1,"")</f>
        <v>4.7923803497988882</v>
      </c>
      <c r="AE33" s="174">
        <f>IFERROR(VLOOKUP($B33,RD[#All],AE$2,0)/AE$1,"")</f>
        <v>5.047082562636624</v>
      </c>
      <c r="AF33" s="174">
        <f>IFERROR(VLOOKUP($B33,RD[#All],AF$2,0)/AF$1,"")</f>
        <v>4.9900061624199559</v>
      </c>
      <c r="AG33" s="174">
        <f>IFERROR(VLOOKUP($B33,RD[#All],AG$2,0)/AG$1,"")</f>
        <v>5.072863568215892</v>
      </c>
      <c r="AH33" s="174">
        <f>IFERROR(VLOOKUP($B33,RD[#All],AH$2,0)/AH$1,"")</f>
        <v>5.0607148598681739</v>
      </c>
      <c r="AI33" s="174">
        <f>IFERROR(VLOOKUP($B33,RD[#All],AI$2,0)/AI$1,"")</f>
        <v>5.0307755213302441</v>
      </c>
      <c r="AJ33" s="174">
        <f>IFERROR(VLOOKUP($B33,RD[#All],AJ$2,0)/AJ$1,"")</f>
        <v>4.9466030926477176</v>
      </c>
      <c r="AK33" s="174">
        <f>IFERROR(VLOOKUP($B33,RD[#All],AK$2,0)/AK$1,"")</f>
        <v>4.9666330163115671</v>
      </c>
      <c r="AL33" s="174">
        <f>IFERROR(VLOOKUP($B33,RD[#All],AL$2,0)/AL$1,"")</f>
        <v>5.0356177710517782</v>
      </c>
      <c r="AM33" s="174">
        <f>IFERROR(VLOOKUP($B33,RD[#All],AM$2,0)/AM$1,"")</f>
        <v>5.024399765762249</v>
      </c>
      <c r="AN33" s="174">
        <f>IFERROR(VLOOKUP($B33,RD[#All],AN$2,0)/AN$1,"")</f>
        <v>5.0855842818391697</v>
      </c>
      <c r="AO33" s="174">
        <f>IFERROR(VLOOKUP($B33,RD[#All],AO$2,0)/AO$1,"")</f>
        <v>5.1117004449171084</v>
      </c>
      <c r="AP33" s="174">
        <f>IFERROR(VLOOKUP($B33,RD[#All],AP$2,0)/AP$1,"")</f>
        <v>5.0814783902212461</v>
      </c>
      <c r="AQ33" s="174">
        <f>IFERROR(VLOOKUP($B33,RD[#All],AQ$2,0)/AQ$1,"")</f>
        <v>5.0873914187944189</v>
      </c>
      <c r="AR33" s="174">
        <f>IFERROR(VLOOKUP($B33,RD[#All],AR$2,0)/AR$1,"")</f>
        <v>5.070880301037314</v>
      </c>
      <c r="AS33" s="174">
        <f>IFERROR(VLOOKUP($B33,RD[#All],AS$2,0)/AS$1,"")</f>
        <v>4.921180592170785</v>
      </c>
      <c r="AT33" s="174">
        <f>IFERROR(VLOOKUP($B33,RD[#All],AT$2,0)/AT$1,"")</f>
        <v>4.9176426221952187</v>
      </c>
      <c r="AU33" s="174">
        <f>IFERROR(VLOOKUP($B33,RD[#All],AU$2,0)/AU$1,"")</f>
        <v>5.1213035010985379</v>
      </c>
      <c r="AV33" s="174">
        <f>IFERROR(VLOOKUP($B33,RD[#All],AV$2,0)/AV$1,"")</f>
        <v>5.013763828752472</v>
      </c>
      <c r="AW33" s="174">
        <f>IFERROR(VLOOKUP($B33,RD[#All],AW$2,0)/AW$1,"")</f>
        <v>4.3183201180158584</v>
      </c>
      <c r="AX33" s="174">
        <f>IFERROR(VLOOKUP($B33,RD[#All],AX$2,0)/AX$1,"")</f>
        <v>4.4158992946708464</v>
      </c>
      <c r="AY33" s="174">
        <f>IFERROR(VLOOKUP($B33,RD[#All],AY$2,0)/AY$1,"")</f>
        <v>4.8220992753058516</v>
      </c>
      <c r="AZ33" s="174">
        <f>IFERROR(VLOOKUP($B33,RD[#All],AZ$2,0)/AZ$1,"")</f>
        <v>5.1103246030943481</v>
      </c>
      <c r="BA33" s="174">
        <f>IFERROR(VLOOKUP($B33,RD[#All],BA$2,0)/BA$1,"")</f>
        <v>4.920643271777065</v>
      </c>
      <c r="BB33" s="174">
        <f>IFERROR(VLOOKUP($B33,RD[#All],BB$2,0)/BB$1,"")</f>
        <v>5.0279019097801196</v>
      </c>
      <c r="BC33" s="174">
        <f>IFERROR(VLOOKUP($B33,RD[#All],BC$2,0)/BC$1,"")</f>
        <v>4.9930138826690547</v>
      </c>
      <c r="BD33" s="174">
        <f>IFERROR(VLOOKUP($B33,RD[#All],BD$2,0)/BD$1,"")</f>
        <v>5.0602077274909574</v>
      </c>
      <c r="BE33" s="174">
        <f>IFERROR(VLOOKUP($B33,RD[#All],BE$2,0)/BE$1,"")</f>
        <v>5.1492319294502913</v>
      </c>
      <c r="BF33" s="174">
        <f>IFERROR(VLOOKUP($B33,RD[#All],BF$2,0)/BF$1,"")</f>
        <v>5.110807705756006</v>
      </c>
      <c r="BG33" s="174">
        <f>IFERROR(VLOOKUP($B33,RD[#All],BG$2,0)/BG$1,"")</f>
        <v>5.2932041068706681</v>
      </c>
      <c r="BH33" s="174">
        <f>IFERROR(VLOOKUP($B33,RD[#All],BH$2,0)/BH$1,"")</f>
        <v>5.2644445083546634</v>
      </c>
      <c r="BI33" s="174">
        <f>IFERROR(VLOOKUP($B33,RD[#All],BI$2,0)/BI$1,"")</f>
        <v>5.1885083535329839</v>
      </c>
      <c r="BJ33" s="174">
        <f>IFERROR(VLOOKUP($B33,RD[#All],BJ$2,0)/BJ$1,"")</f>
        <v>5.2666199755558294</v>
      </c>
      <c r="BK33" s="174">
        <f>IFERROR(VLOOKUP($B33,RD[#All],BK$2,0)/BK$1,"")</f>
        <v>5.1880024040267445</v>
      </c>
      <c r="BL33" s="174">
        <f>IFERROR(VLOOKUP($B33,RD[#All],BL$2,0)/BL$1,"")</f>
        <v>5.1727730837722126</v>
      </c>
      <c r="BM33" s="174">
        <f>IFERROR(VLOOKUP($B33,RD[#All],BM$2,0)/BM$1,"")</f>
        <v>5.2872170844671045</v>
      </c>
      <c r="BN33" s="174">
        <f>IFERROR(VLOOKUP($B33,RD[#All],BN$2,0)/BN$1,"")</f>
        <v>5.2194372695319018</v>
      </c>
      <c r="BO33" s="174">
        <f>IFERROR(VLOOKUP($B33,RD[#All],BO$2,0)/BO$1,"")</f>
        <v>5.0160240980427213</v>
      </c>
      <c r="BP33" s="174">
        <f>IFERROR(VLOOKUP($B33,RD[#All],BP$2,0)/BP$1,"")</f>
        <v>5.2080413846152993</v>
      </c>
      <c r="BQ33" s="174">
        <f>IFERROR(VLOOKUP($B33,RD[#All],BQ$2,0)/BQ$1,"")</f>
        <v>5.2224371373307541</v>
      </c>
      <c r="BR33" s="174">
        <f>IFERROR(VLOOKUP($B33,RD[#All],BR$2,0)/BR$1,"")</f>
        <v>5.613671672708441</v>
      </c>
      <c r="BS33" s="174">
        <f>IFERROR(VLOOKUP($B33,RD[#All],BS$2,0)/BS$1,"")</f>
        <v>5.1053711654815723</v>
      </c>
      <c r="BT33" s="174">
        <f>IFERROR(VLOOKUP($B33,RD[#All],BT$2,0)/BT$1,"")</f>
        <v>5.462644259971654</v>
      </c>
      <c r="BU33" s="174">
        <f>IFERROR(VLOOKUP($B33,RD[#All],BU$2,0)/BU$1,"")</f>
        <v>5.41399395413994</v>
      </c>
      <c r="BV33" s="174">
        <f>IFERROR(VLOOKUP($B33,RD[#All],BV$2,0)/BV$1,"")</f>
        <v>5.6144957983193278</v>
      </c>
      <c r="BW33" s="174">
        <f>IFERROR(VLOOKUP($B33,RD[#All],BW$2,0)/BW$1,"")</f>
        <v>5.3500522466039708</v>
      </c>
      <c r="BX33" s="174">
        <f>IFERROR(VLOOKUP($B33,RD[#All],BX$2,0)/BX$1,"")</f>
        <v>5.190562613430127</v>
      </c>
      <c r="BY33" s="174">
        <f>AVERAGEIF(Inv_SY_B[[#This Row],[IS1Inv1M1]:[IS4Inv4M2]],"&gt;="&amp;0.1,Inv_SY_B[[#This Row],[IS1Inv1M1]:[IS4Inv4M2]])</f>
        <v>4.8102740628537664</v>
      </c>
      <c r="BZ33" s="174">
        <f>AVERAGEIF(Inv_SY_B[[#This Row],[IS5Inv1M1]:[IS9Inv2M2]],"&gt;="&amp;0.1,Inv_SY_B[[#This Row],[IS5Inv1M1]:[IS9Inv2M2]])</f>
        <v>5.0325345389594709</v>
      </c>
      <c r="CA33" s="174">
        <f>AVERAGEIF(Inv_SY_B[[#This Row],[IS10Inv1M1]:[IS14Inv2M4]],"&gt;="&amp;0.1,Inv_SY_B[[#This Row],[IS10Inv1M1]:[IS14Inv2M4]])</f>
        <v>5.143069672670225</v>
      </c>
    </row>
    <row r="34" spans="2:79">
      <c r="B34" s="179">
        <f t="shared" si="32"/>
        <v>45858</v>
      </c>
      <c r="C34" s="174">
        <f>IFERROR(VLOOKUP($B34,RD[#All],C$2,0)/C$1,"")</f>
        <v>5.3017437143904207</v>
      </c>
      <c r="D34" s="174">
        <f>IFERROR(VLOOKUP($B34,RD[#All],D$2,0)/D$1,"")</f>
        <v>5.2780640291172425</v>
      </c>
      <c r="E34" s="174">
        <f>IFERROR(VLOOKUP($B34,RD[#All],E$2,0)/E$1,"")</f>
        <v>5.2634242994388849</v>
      </c>
      <c r="F34" s="174">
        <f>IFERROR(VLOOKUP($B34,RD[#All],F$2,0)/F$1,"")</f>
        <v>5.2019138755980858</v>
      </c>
      <c r="G34" s="174">
        <f>IFERROR(VLOOKUP($B34,RD[#All],G$2,0)/G$1,"")</f>
        <v>5.1569699261129518</v>
      </c>
      <c r="H34" s="174">
        <f>IFERROR(VLOOKUP($B34,RD[#All],H$2,0)/H$1,"")</f>
        <v>5.1523411847795106</v>
      </c>
      <c r="I34" s="174">
        <f>IFERROR(VLOOKUP($B34,RD[#All],I$2,0)/I$1,"")</f>
        <v>5.3074001446282333</v>
      </c>
      <c r="J34" s="174">
        <f>IFERROR(VLOOKUP($B34,RD[#All],J$2,0)/J$1,"")</f>
        <v>5.222034752246711</v>
      </c>
      <c r="K34" s="174">
        <f>IFERROR(VLOOKUP($B34,RD[#All],K$2,0)/K$1,"")</f>
        <v>5.1521691118472939</v>
      </c>
      <c r="L34" s="174">
        <f>IFERROR(VLOOKUP($B34,RD[#All],L$2,0)/L$1,"")</f>
        <v>5.3391144396268553</v>
      </c>
      <c r="M34" s="174">
        <f>IFERROR(VLOOKUP($B34,RD[#All],M$2,0)/M$1,"")</f>
        <v>5.4890626026407414</v>
      </c>
      <c r="N34" s="174">
        <f>IFERROR(VLOOKUP($B34,RD[#All],N$2,0)/N$1,"")</f>
        <v>5.2523328051510356</v>
      </c>
      <c r="O34" s="174">
        <f>IFERROR(VLOOKUP($B34,RD[#All],O$2,0)/O$1,"")</f>
        <v>5.4146363443255039</v>
      </c>
      <c r="P34" s="174">
        <f>IFERROR(VLOOKUP($B34,RD[#All],P$2,0)/P$1,"")</f>
        <v>5.2386911209891309</v>
      </c>
      <c r="Q34" s="174">
        <f>IFERROR(VLOOKUP($B34,RD[#All],Q$2,0)/Q$1,"")</f>
        <v>5.303507277508241</v>
      </c>
      <c r="R34" s="174">
        <f>IFERROR(VLOOKUP($B34,RD[#All],R$2,0)/R$1,"")</f>
        <v>5.361338371322085</v>
      </c>
      <c r="S34" s="174">
        <f>IFERROR(VLOOKUP($B34,RD[#All],S$2,0)/S$1,"")</f>
        <v>5.2252985267980936</v>
      </c>
      <c r="T34" s="174">
        <f>IFERROR(VLOOKUP($B34,RD[#All],T$2,0)/T$1,"")</f>
        <v>5.0927759086289894</v>
      </c>
      <c r="U34" s="174">
        <f>IFERROR(VLOOKUP($B34,RD[#All],U$2,0)/U$1,"")</f>
        <v>5.2886884891342163</v>
      </c>
      <c r="V34" s="174">
        <f>IFERROR(VLOOKUP($B34,RD[#All],V$2,0)/V$1,"")</f>
        <v>5.2767962308598353</v>
      </c>
      <c r="W34" s="174">
        <f>IFERROR(VLOOKUP($B34,RD[#All],W$2,0)/W$1,"")</f>
        <v>5.1958422702524327</v>
      </c>
      <c r="X34" s="174">
        <f>IFERROR(VLOOKUP($B34,RD[#All],X$2,0)/X$1,"")</f>
        <v>5.2914706969457548</v>
      </c>
      <c r="Y34" s="174">
        <f>IFERROR(VLOOKUP($B34,RD[#All],Y$2,0)/Y$1,"")</f>
        <v>5.3382941556744559</v>
      </c>
      <c r="Z34" s="174">
        <f>IFERROR(VLOOKUP($B34,RD[#All],Z$2,0)/Z$1,"")</f>
        <v>5.2686762778505898</v>
      </c>
      <c r="AA34" s="174">
        <f>IFERROR(VLOOKUP($B34,RD[#All],AA$2,0)/AA$1,"")</f>
        <v>5.3520894428152488</v>
      </c>
      <c r="AB34" s="174">
        <f>IFERROR(VLOOKUP($B34,RD[#All],AB$2,0)/AB$1,"")</f>
        <v>5.3050747353595922</v>
      </c>
      <c r="AC34" s="174">
        <f>IFERROR(VLOOKUP($B34,RD[#All],AC$2,0)/AC$1,"")</f>
        <v>5.3092261208845111</v>
      </c>
      <c r="AD34" s="174">
        <f>IFERROR(VLOOKUP($B34,RD[#All],AD$2,0)/AD$1,"")</f>
        <v>5.272743706783567</v>
      </c>
      <c r="AE34" s="174">
        <f>IFERROR(VLOOKUP($B34,RD[#All],AE$2,0)/AE$1,"")</f>
        <v>5.2322739756740093</v>
      </c>
      <c r="AF34" s="174">
        <f>IFERROR(VLOOKUP($B34,RD[#All],AF$2,0)/AF$1,"")</f>
        <v>5.129544784717198</v>
      </c>
      <c r="AG34" s="174">
        <f>IFERROR(VLOOKUP($B34,RD[#All],AG$2,0)/AG$1,"")</f>
        <v>5.2220798691563308</v>
      </c>
      <c r="AH34" s="174">
        <f>IFERROR(VLOOKUP($B34,RD[#All],AH$2,0)/AH$1,"")</f>
        <v>5.15856599324795</v>
      </c>
      <c r="AI34" s="174">
        <f>IFERROR(VLOOKUP($B34,RD[#All],AI$2,0)/AI$1,"")</f>
        <v>5.2620417064195175</v>
      </c>
      <c r="AJ34" s="174">
        <f>IFERROR(VLOOKUP($B34,RD[#All],AJ$2,0)/AJ$1,"")</f>
        <v>5.168725797529043</v>
      </c>
      <c r="AK34" s="174">
        <f>IFERROR(VLOOKUP($B34,RD[#All],AK$2,0)/AK$1,"")</f>
        <v>5.2313373359545192</v>
      </c>
      <c r="AL34" s="174">
        <f>IFERROR(VLOOKUP($B34,RD[#All],AL$2,0)/AL$1,"")</f>
        <v>5.2567830504810296</v>
      </c>
      <c r="AM34" s="174">
        <f>IFERROR(VLOOKUP($B34,RD[#All],AM$2,0)/AM$1,"")</f>
        <v>5.3062254740285528</v>
      </c>
      <c r="AN34" s="174">
        <f>IFERROR(VLOOKUP($B34,RD[#All],AN$2,0)/AN$1,"")</f>
        <v>5.3576500838005741</v>
      </c>
      <c r="AO34" s="174">
        <f>IFERROR(VLOOKUP($B34,RD[#All],AO$2,0)/AO$1,"")</f>
        <v>5.3524672370041797</v>
      </c>
      <c r="AP34" s="174">
        <f>IFERROR(VLOOKUP($B34,RD[#All],AP$2,0)/AP$1,"")</f>
        <v>5.2772149939084718</v>
      </c>
      <c r="AQ34" s="174">
        <f>IFERROR(VLOOKUP($B34,RD[#All],AQ$2,0)/AQ$1,"")</f>
        <v>5.3049486707028155</v>
      </c>
      <c r="AR34" s="174">
        <f>IFERROR(VLOOKUP($B34,RD[#All],AR$2,0)/AR$1,"")</f>
        <v>5.302319385937162</v>
      </c>
      <c r="AS34" s="174">
        <f>IFERROR(VLOOKUP($B34,RD[#All],AS$2,0)/AS$1,"")</f>
        <v>5.2415199128264609</v>
      </c>
      <c r="AT34" s="174">
        <f>IFERROR(VLOOKUP($B34,RD[#All],AT$2,0)/AT$1,"")</f>
        <v>5.2799229012591393</v>
      </c>
      <c r="AU34" s="174">
        <f>IFERROR(VLOOKUP($B34,RD[#All],AU$2,0)/AU$1,"")</f>
        <v>5.4291842379458366</v>
      </c>
      <c r="AV34" s="174">
        <f>IFERROR(VLOOKUP($B34,RD[#All],AV$2,0)/AV$1,"")</f>
        <v>5.3589691529697285</v>
      </c>
      <c r="AW34" s="174">
        <f>IFERROR(VLOOKUP($B34,RD[#All],AW$2,0)/AW$1,"")</f>
        <v>4.5099575880508951</v>
      </c>
      <c r="AX34" s="174">
        <f>IFERROR(VLOOKUP($B34,RD[#All],AX$2,0)/AX$1,"")</f>
        <v>4.6630094043887151</v>
      </c>
      <c r="AY34" s="174">
        <f>IFERROR(VLOOKUP($B34,RD[#All],AY$2,0)/AY$1,"")</f>
        <v>5.091041325748721</v>
      </c>
      <c r="AZ34" s="174">
        <f>IFERROR(VLOOKUP($B34,RD[#All],AZ$2,0)/AZ$1,"")</f>
        <v>5.3182323794114676</v>
      </c>
      <c r="BA34" s="174">
        <f>IFERROR(VLOOKUP($B34,RD[#All],BA$2,0)/BA$1,"")</f>
        <v>5.148103330351975</v>
      </c>
      <c r="BB34" s="174">
        <f>IFERROR(VLOOKUP($B34,RD[#All],BB$2,0)/BB$1,"")</f>
        <v>5.2975833166588853</v>
      </c>
      <c r="BC34" s="174">
        <f>IFERROR(VLOOKUP($B34,RD[#All],BC$2,0)/BC$1,"")</f>
        <v>5.2127183161665922</v>
      </c>
      <c r="BD34" s="174">
        <f>IFERROR(VLOOKUP($B34,RD[#All],BD$2,0)/BD$1,"")</f>
        <v>5.298845889614598</v>
      </c>
      <c r="BE34" s="174">
        <f>IFERROR(VLOOKUP($B34,RD[#All],BE$2,0)/BE$1,"")</f>
        <v>5.430506770299008</v>
      </c>
      <c r="BF34" s="174">
        <f>IFERROR(VLOOKUP($B34,RD[#All],BF$2,0)/BF$1,"")</f>
        <v>6.1705989110707797</v>
      </c>
      <c r="BG34" s="174">
        <f>IFERROR(VLOOKUP($B34,RD[#All],BG$2,0)/BG$1,"")</f>
        <v>5.5879899916597164</v>
      </c>
      <c r="BH34" s="174">
        <f>IFERROR(VLOOKUP($B34,RD[#All],BH$2,0)/BH$1,"")</f>
        <v>5.5340657444422083</v>
      </c>
      <c r="BI34" s="174">
        <f>IFERROR(VLOOKUP($B34,RD[#All],BI$2,0)/BI$1,"")</f>
        <v>5.5210206688039198</v>
      </c>
      <c r="BJ34" s="174">
        <f>IFERROR(VLOOKUP($B34,RD[#All],BJ$2,0)/BJ$1,"")</f>
        <v>5.6056798363064582</v>
      </c>
      <c r="BK34" s="174">
        <f>IFERROR(VLOOKUP($B34,RD[#All],BK$2,0)/BK$1,"")</f>
        <v>5.5361480479803671</v>
      </c>
      <c r="BL34" s="174">
        <f>IFERROR(VLOOKUP($B34,RD[#All],BL$2,0)/BL$1,"")</f>
        <v>5.4951439144217531</v>
      </c>
      <c r="BM34" s="174">
        <f>IFERROR(VLOOKUP($B34,RD[#All],BM$2,0)/BM$1,"")</f>
        <v>5.4668125126183869</v>
      </c>
      <c r="BN34" s="174">
        <f>IFERROR(VLOOKUP($B34,RD[#All],BN$2,0)/BN$1,"")</f>
        <v>5.4104273691113782</v>
      </c>
      <c r="BO34" s="174">
        <f>IFERROR(VLOOKUP($B34,RD[#All],BO$2,0)/BO$1,"")</f>
        <v>5.0743435621638717</v>
      </c>
      <c r="BP34" s="174">
        <f>IFERROR(VLOOKUP($B34,RD[#All],BP$2,0)/BP$1,"")</f>
        <v>5.2052664265032922</v>
      </c>
      <c r="BQ34" s="174">
        <f>IFERROR(VLOOKUP($B34,RD[#All],BQ$2,0)/BQ$1,"")</f>
        <v>4.7095311145201091</v>
      </c>
      <c r="BR34" s="174">
        <f>IFERROR(VLOOKUP($B34,RD[#All],BR$2,0)/BR$1,"")</f>
        <v>5.541170378042465</v>
      </c>
      <c r="BS34" s="174">
        <f>IFERROR(VLOOKUP($B34,RD[#All],BS$2,0)/BS$1,"")</f>
        <v>5.2734803910432619</v>
      </c>
      <c r="BT34" s="174">
        <f>IFERROR(VLOOKUP($B34,RD[#All],BT$2,0)/BT$1,"")</f>
        <v>5.6860363096443276</v>
      </c>
      <c r="BU34" s="174">
        <f>IFERROR(VLOOKUP($B34,RD[#All],BU$2,0)/BU$1,"")</f>
        <v>5.5304873553048735</v>
      </c>
      <c r="BV34" s="174">
        <f>IFERROR(VLOOKUP($B34,RD[#All],BV$2,0)/BV$1,"")</f>
        <v>5.7930672268907557</v>
      </c>
      <c r="BW34" s="174">
        <f>IFERROR(VLOOKUP($B34,RD[#All],BW$2,0)/BW$1,"")</f>
        <v>5.4934601664684894</v>
      </c>
      <c r="BX34" s="174">
        <f>IFERROR(VLOOKUP($B34,RD[#All],BX$2,0)/BX$1,"")</f>
        <v>5.4222075565088268</v>
      </c>
      <c r="BY34" s="174">
        <f>AVERAGEIF(Inv_SY_B[[#This Row],[IS1Inv1M1]:[IS4Inv4M2]],"&gt;="&amp;0.1,Inv_SY_B[[#This Row],[IS1Inv1M1]:[IS4Inv4M2]])</f>
        <v>5.273275734346794</v>
      </c>
      <c r="BZ34" s="174">
        <f>AVERAGEIF(Inv_SY_B[[#This Row],[IS5Inv1M1]:[IS9Inv2M2]],"&gt;="&amp;0.1,Inv_SY_B[[#This Row],[IS5Inv1M1]:[IS9Inv2M2]])</f>
        <v>5.2706541424201401</v>
      </c>
      <c r="CA34" s="174">
        <f>AVERAGEIF(Inv_SY_B[[#This Row],[IS10Inv1M1]:[IS14Inv2M4]],"&gt;="&amp;0.1,Inv_SY_B[[#This Row],[IS10Inv1M1]:[IS14Inv2M4]])</f>
        <v>5.3581048501498598</v>
      </c>
    </row>
    <row r="35" spans="2:79">
      <c r="B35" s="181">
        <f>B34+1</f>
        <v>45859</v>
      </c>
      <c r="C35" s="182">
        <f>IFERROR(VLOOKUP($B35,RD[#All],C$2,0)/C$1,"")</f>
        <v>4.5355993998640605</v>
      </c>
      <c r="D35" s="182">
        <f>IFERROR(VLOOKUP($B35,RD[#All],D$2,0)/D$1,"")</f>
        <v>4.5016459887051656</v>
      </c>
      <c r="E35" s="182">
        <f>IFERROR(VLOOKUP($B35,RD[#All],E$2,0)/E$1,"")</f>
        <v>4.552656554388185</v>
      </c>
      <c r="F35" s="182">
        <f>IFERROR(VLOOKUP($B35,RD[#All],F$2,0)/F$1,"")</f>
        <v>4.5598416102953312</v>
      </c>
      <c r="G35" s="182">
        <f>IFERROR(VLOOKUP($B35,RD[#All],G$2,0)/G$1,"")</f>
        <v>4.5285134797403375</v>
      </c>
      <c r="H35" s="182">
        <f>IFERROR(VLOOKUP($B35,RD[#All],H$2,0)/H$1,"")</f>
        <v>4.5036985639411702</v>
      </c>
      <c r="I35" s="182">
        <f>IFERROR(VLOOKUP($B35,RD[#All],I$2,0)/I$1,"")</f>
        <v>4.6192433728346476</v>
      </c>
      <c r="J35" s="182">
        <f>IFERROR(VLOOKUP($B35,RD[#All],J$2,0)/J$1,"")</f>
        <v>4.4377658265668387</v>
      </c>
      <c r="K35" s="182">
        <f>IFERROR(VLOOKUP($B35,RD[#All],K$2,0)/K$1,"")</f>
        <v>4.4323079350055217</v>
      </c>
      <c r="L35" s="182">
        <f>IFERROR(VLOOKUP($B35,RD[#All],L$2,0)/L$1,"")</f>
        <v>4.5907239521744838</v>
      </c>
      <c r="M35" s="182">
        <f>IFERROR(VLOOKUP($B35,RD[#All],M$2,0)/M$1,"")</f>
        <v>4.6462589502726139</v>
      </c>
      <c r="N35" s="182">
        <f>IFERROR(VLOOKUP($B35,RD[#All],N$2,0)/N$1,"")</f>
        <v>4.3837873185945329</v>
      </c>
      <c r="O35" s="182">
        <f>IFERROR(VLOOKUP($B35,RD[#All],O$2,0)/O$1,"")</f>
        <v>4.6209600072093879</v>
      </c>
      <c r="P35" s="182">
        <f>IFERROR(VLOOKUP($B35,RD[#All],P$2,0)/P$1,"")</f>
        <v>4.4127351736331599</v>
      </c>
      <c r="Q35" s="182">
        <f>IFERROR(VLOOKUP($B35,RD[#All],Q$2,0)/Q$1,"")</f>
        <v>4.5554485636334459</v>
      </c>
      <c r="R35" s="182">
        <f>IFERROR(VLOOKUP($B35,RD[#All],R$2,0)/R$1,"")</f>
        <v>4.5706874022387716</v>
      </c>
      <c r="S35" s="182">
        <f>IFERROR(VLOOKUP($B35,RD[#All],S$2,0)/S$1,"")</f>
        <v>4.3441956026673099</v>
      </c>
      <c r="T35" s="182">
        <f>IFERROR(VLOOKUP($B35,RD[#All],T$2,0)/T$1,"")</f>
        <v>4.2244921920864158</v>
      </c>
      <c r="U35" s="182">
        <f>IFERROR(VLOOKUP($B35,RD[#All],U$2,0)/U$1,"")</f>
        <v>4.5012365647010144</v>
      </c>
      <c r="V35" s="182">
        <f>IFERROR(VLOOKUP($B35,RD[#All],V$2,0)/V$1,"")</f>
        <v>4.4759442030064678</v>
      </c>
      <c r="W35" s="182">
        <f>IFERROR(VLOOKUP($B35,RD[#All],W$2,0)/W$1,"")</f>
        <v>4.0755650882692622</v>
      </c>
      <c r="X35" s="182">
        <f>IFERROR(VLOOKUP($B35,RD[#All],X$2,0)/X$1,"")</f>
        <v>4.2509181047198883</v>
      </c>
      <c r="Y35" s="182">
        <f>IFERROR(VLOOKUP($B35,RD[#All],Y$2,0)/Y$1,"")</f>
        <v>4.2689664342140849</v>
      </c>
      <c r="Z35" s="182">
        <f>IFERROR(VLOOKUP($B35,RD[#All],Z$2,0)/Z$1,"")</f>
        <v>4.2993141708109661</v>
      </c>
      <c r="AA35" s="182">
        <f>IFERROR(VLOOKUP($B35,RD[#All],AA$2,0)/AA$1,"")</f>
        <v>4.2127016129032251</v>
      </c>
      <c r="AB35" s="182">
        <f>IFERROR(VLOOKUP($B35,RD[#All],AB$2,0)/AB$1,"")</f>
        <v>4.187451728681113</v>
      </c>
      <c r="AC35" s="182">
        <f>IFERROR(VLOOKUP($B35,RD[#All],AC$2,0)/AC$1,"")</f>
        <v>4.2500309478288383</v>
      </c>
      <c r="AD35" s="182">
        <f>IFERROR(VLOOKUP($B35,RD[#All],AD$2,0)/AD$1,"")</f>
        <v>4.2874768382519086</v>
      </c>
      <c r="AE35" s="182">
        <f>IFERROR(VLOOKUP($B35,RD[#All],AE$2,0)/AE$1,"")</f>
        <v>4.3917381312706691</v>
      </c>
      <c r="AF35" s="182">
        <f>IFERROR(VLOOKUP($B35,RD[#All],AF$2,0)/AF$1,"")</f>
        <v>4.3445060686439998</v>
      </c>
      <c r="AG35" s="182">
        <f>IFERROR(VLOOKUP($B35,RD[#All],AG$2,0)/AG$1,"")</f>
        <v>4.4228976420880466</v>
      </c>
      <c r="AH35" s="182">
        <f>IFERROR(VLOOKUP($B35,RD[#All],AH$2,0)/AH$1,"")</f>
        <v>4.3866888162477897</v>
      </c>
      <c r="AI35" s="182">
        <f>IFERROR(VLOOKUP($B35,RD[#All],AI$2,0)/AI$1,"")</f>
        <v>4.4663486438598881</v>
      </c>
      <c r="AJ35" s="182">
        <f>IFERROR(VLOOKUP($B35,RD[#All],AJ$2,0)/AJ$1,"")</f>
        <v>4.408208424435605</v>
      </c>
      <c r="AK35" s="182">
        <f>IFERROR(VLOOKUP($B35,RD[#All],AK$2,0)/AK$1,"")</f>
        <v>4.4511981297486853</v>
      </c>
      <c r="AL35" s="182">
        <f>IFERROR(VLOOKUP($B35,RD[#All],AL$2,0)/AL$1,"")</f>
        <v>4.4745973408280184</v>
      </c>
      <c r="AM35" s="182">
        <f>IFERROR(VLOOKUP($B35,RD[#All],AM$2,0)/AM$1,"")</f>
        <v>4.4447286409498741</v>
      </c>
      <c r="AN35" s="182">
        <f>IFERROR(VLOOKUP($B35,RD[#All],AN$2,0)/AN$1,"")</f>
        <v>4.470171707041267</v>
      </c>
      <c r="AO35" s="182">
        <f>IFERROR(VLOOKUP($B35,RD[#All],AO$2,0)/AO$1,"")</f>
        <v>4.4760949605228619</v>
      </c>
      <c r="AP35" s="182">
        <f>IFERROR(VLOOKUP($B35,RD[#All],AP$2,0)/AP$1,"")</f>
        <v>4.4017177435096624</v>
      </c>
      <c r="AQ35" s="182">
        <f>IFERROR(VLOOKUP($B35,RD[#All],AQ$2,0)/AQ$1,"")</f>
        <v>4.4279415635693598</v>
      </c>
      <c r="AR35" s="182">
        <f>IFERROR(VLOOKUP($B35,RD[#All],AR$2,0)/AR$1,"")</f>
        <v>4.4186549892605607</v>
      </c>
      <c r="AS35" s="182">
        <f>IFERROR(VLOOKUP($B35,RD[#All],AS$2,0)/AS$1,"")</f>
        <v>4.4061068344522951</v>
      </c>
      <c r="AT35" s="182">
        <f>IFERROR(VLOOKUP($B35,RD[#All],AT$2,0)/AT$1,"")</f>
        <v>4.3732584693385848</v>
      </c>
      <c r="AU35" s="182">
        <f>IFERROR(VLOOKUP($B35,RD[#All],AU$2,0)/AU$1,"")</f>
        <v>4.5331143030454299</v>
      </c>
      <c r="AV35" s="182">
        <f>IFERROR(VLOOKUP($B35,RD[#All],AV$2,0)/AV$1,"")</f>
        <v>4.4630218096483727</v>
      </c>
      <c r="AW35" s="182">
        <f>IFERROR(VLOOKUP($B35,RD[#All],AW$2,0)/AW$1,"")</f>
        <v>3.8544163747003508</v>
      </c>
      <c r="AX35" s="182">
        <f>IFERROR(VLOOKUP($B35,RD[#All],AX$2,0)/AX$1,"")</f>
        <v>3.9664968652037618</v>
      </c>
      <c r="AY35" s="182">
        <f>IFERROR(VLOOKUP($B35,RD[#All],AY$2,0)/AY$1,"")</f>
        <v>4.4177770851190941</v>
      </c>
      <c r="AZ35" s="182">
        <f>IFERROR(VLOOKUP($B35,RD[#All],AZ$2,0)/AZ$1,"")</f>
        <v>4.7021943573667713</v>
      </c>
      <c r="BA35" s="182">
        <f>IFERROR(VLOOKUP($B35,RD[#All],BA$2,0)/BA$1,"")</f>
        <v>4.3674260360218158</v>
      </c>
      <c r="BB35" s="182">
        <f>IFERROR(VLOOKUP($B35,RD[#All],BB$2,0)/BB$1,"")</f>
        <v>4.4619933746859646</v>
      </c>
      <c r="BC35" s="182">
        <f>IFERROR(VLOOKUP($B35,RD[#All],BC$2,0)/BC$1,"")</f>
        <v>4.4810120913569191</v>
      </c>
      <c r="BD35" s="182">
        <f>IFERROR(VLOOKUP($B35,RD[#All],BD$2,0)/BD$1,"")</f>
        <v>4.5497749338860007</v>
      </c>
      <c r="BE35" s="182">
        <f>IFERROR(VLOOKUP($B35,RD[#All],BE$2,0)/BE$1,"")</f>
        <v>4.4957774803481287</v>
      </c>
      <c r="BF35" s="182">
        <f>IFERROR(VLOOKUP($B35,RD[#All],BF$2,0)/BF$1,"")</f>
        <v>4.4132436437503122</v>
      </c>
      <c r="BG35" s="182">
        <f>IFERROR(VLOOKUP($B35,RD[#All],BG$2,0)/BG$1,"")</f>
        <v>4.6113859250524865</v>
      </c>
      <c r="BH35" s="182">
        <f>IFERROR(VLOOKUP($B35,RD[#All],BH$2,0)/BH$1,"")</f>
        <v>4.5668804463489696</v>
      </c>
      <c r="BI35" s="182">
        <f>IFERROR(VLOOKUP($B35,RD[#All],BI$2,0)/BI$1,"")</f>
        <v>4.5414679281674353</v>
      </c>
      <c r="BJ35" s="182">
        <f>IFERROR(VLOOKUP($B35,RD[#All],BJ$2,0)/BJ$1,"")</f>
        <v>4.6211153682418047</v>
      </c>
      <c r="BK35" s="182">
        <f>IFERROR(VLOOKUP($B35,RD[#All],BK$2,0)/BK$1,"")</f>
        <v>4.5307139458593149</v>
      </c>
      <c r="BL35" s="182">
        <f>IFERROR(VLOOKUP($B35,RD[#All],BL$2,0)/BL$1,"")</f>
        <v>4.4962048017782497</v>
      </c>
      <c r="BM35" s="182">
        <f>IFERROR(VLOOKUP($B35,RD[#All],BM$2,0)/BM$1,"")</f>
        <v>4.4910910422260191</v>
      </c>
      <c r="BN35" s="182">
        <f>IFERROR(VLOOKUP($B35,RD[#All],BN$2,0)/BN$1,"")</f>
        <v>4.4687081130523323</v>
      </c>
      <c r="BO35" s="182">
        <f>IFERROR(VLOOKUP($B35,RD[#All],BO$2,0)/BO$1,"")</f>
        <v>4.3767107272052046</v>
      </c>
      <c r="BP35" s="182">
        <f>IFERROR(VLOOKUP($B35,RD[#All],BP$2,0)/BP$1,"")</f>
        <v>4.4660175854645479</v>
      </c>
      <c r="BQ35" s="182">
        <f>IFERROR(VLOOKUP($B35,RD[#All],BQ$2,0)/BQ$1,"")</f>
        <v>4.2564530114053225</v>
      </c>
      <c r="BR35" s="182">
        <f>IFERROR(VLOOKUP($B35,RD[#All],BR$2,0)/BR$1,"")</f>
        <v>4.5877783531848779</v>
      </c>
      <c r="BS35" s="182">
        <f>IFERROR(VLOOKUP($B35,RD[#All],BS$2,0)/BS$1,"")</f>
        <v>4.2134835714880694</v>
      </c>
      <c r="BT35" s="182">
        <f>IFERROR(VLOOKUP($B35,RD[#All],BT$2,0)/BT$1,"")</f>
        <v>4.4646689613282042</v>
      </c>
      <c r="BU35" s="182">
        <f>IFERROR(VLOOKUP($B35,RD[#All],BU$2,0)/BU$1,"")</f>
        <v>4.3323011133230107</v>
      </c>
      <c r="BV35" s="182">
        <f>IFERROR(VLOOKUP($B35,RD[#All],BV$2,0)/BV$1,"")</f>
        <v>4.4017857142857144</v>
      </c>
      <c r="BW35" s="182">
        <f>IFERROR(VLOOKUP($B35,RD[#All],BW$2,0)/BW$1,"")</f>
        <v>4.3950563903001472</v>
      </c>
      <c r="BX35" s="182">
        <f>IFERROR(VLOOKUP($B35,RD[#All],BX$2,0)/BX$1,"")</f>
        <v>4.3806632568883019</v>
      </c>
      <c r="BY35" s="174">
        <f>AVERAGEIF(Inv_SY_B[[#This Row],[IS1Inv1M1]:[IS4Inv4M2]],"&gt;="&amp;0.1,Inv_SY_B[[#This Row],[IS1Inv1M1]:[IS4Inv4M2]])</f>
        <v>4.4225059852585051</v>
      </c>
      <c r="BZ35" s="182">
        <f>AVERAGEIF(Inv_SY_B[[#This Row],[IS5Inv1M1]:[IS9Inv2M2]],"&gt;="&amp;0.1,Inv_SY_B[[#This Row],[IS5Inv1M1]:[IS9Inv2M2]])</f>
        <v>4.4311663454700536</v>
      </c>
      <c r="CA35" s="182">
        <f>AVERAGEIF(Inv_SY_B[[#This Row],[IS10Inv1M1]:[IS14Inv2M4]],"&gt;="&amp;0.1,Inv_SY_B[[#This Row],[IS10Inv1M1]:[IS14Inv2M4]])</f>
        <v>4.4254499463585395</v>
      </c>
    </row>
    <row r="36" spans="2:79">
      <c r="B36" s="183"/>
    </row>
  </sheetData>
  <phoneticPr fontId="87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AR28" activePane="bottomRight" state="frozen"/>
      <selection pane="bottomRight" activeCell="BT42" sqref="BT42"/>
      <selection pane="bottomLeft" activeCell="A4" sqref="A4"/>
      <selection pane="topRight" activeCell="C2" sqref="C2"/>
    </sheetView>
  </sheetViews>
  <sheetFormatPr defaultColWidth="8.875" defaultRowHeight="15"/>
  <cols>
    <col min="1" max="1" width="1.125" style="144" customWidth="1"/>
    <col min="2" max="2" width="10.125" style="144" bestFit="1" customWidth="1"/>
    <col min="3" max="49" width="12.75" style="144" bestFit="1" customWidth="1"/>
    <col min="50" max="50" width="12.875" style="144" customWidth="1"/>
    <col min="51" max="72" width="12.75" style="144" bestFit="1" customWidth="1"/>
    <col min="73" max="73" width="11.125" style="144" customWidth="1"/>
    <col min="74" max="74" width="14.375" style="144" customWidth="1"/>
    <col min="75" max="75" width="11.25" style="144" customWidth="1"/>
    <col min="76" max="76" width="12.25" style="144" customWidth="1"/>
    <col min="77" max="16384" width="8.875" style="144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>
      <c r="A3"/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</row>
    <row r="4" spans="1:76">
      <c r="A4"/>
      <c r="B4" s="179">
        <f>O2Summary!B5-31</f>
        <v>45828</v>
      </c>
      <c r="C4" s="184">
        <f>IFERROR(Inv_SY_B!C4/Inv_SY_B!$BY4-1,"")</f>
        <v>-2.2864617905494766E-3</v>
      </c>
      <c r="D4" s="184">
        <f>IFERROR(Inv_SY_B!D4/Inv_SY_B!$BY4-1,"")</f>
        <v>-3.1654500175363198E-3</v>
      </c>
      <c r="E4" s="184">
        <f>IFERROR(Inv_SY_B!E4/Inv_SY_B!$BY4-1,"")</f>
        <v>9.592585182169211E-3</v>
      </c>
      <c r="F4" s="184">
        <f>IFERROR(Inv_SY_B!F4/Inv_SY_B!$BY4-1,"")</f>
        <v>-7.8152604202441633E-3</v>
      </c>
      <c r="G4" s="184">
        <f>IFERROR(Inv_SY_B!G4/Inv_SY_B!$BY4-1,"")</f>
        <v>-1.2213559279666608E-2</v>
      </c>
      <c r="H4" s="184">
        <f>IFERROR(Inv_SY_B!H4/Inv_SY_B!$BY4-1,"")</f>
        <v>-2.1084937081176647E-2</v>
      </c>
      <c r="I4" s="184">
        <f>IFERROR(Inv_SY_B!I4/Inv_SY_B!$BY4-1,"")</f>
        <v>7.6595614458225825E-3</v>
      </c>
      <c r="J4" s="184">
        <f>IFERROR(Inv_SY_B!J4/Inv_SY_B!$BY4-1,"")</f>
        <v>-2.2274732021108412E-2</v>
      </c>
      <c r="K4" s="184">
        <f>IFERROR(Inv_SY_B!K4/Inv_SY_B!$BY4-1,"")</f>
        <v>-1.2819470546848399E-2</v>
      </c>
      <c r="L4" s="184">
        <f>IFERROR(Inv_SY_B!L4/Inv_SY_B!$BY4-1,"")</f>
        <v>6.8940827777952407E-4</v>
      </c>
      <c r="M4" s="184">
        <f>IFERROR(Inv_SY_B!M4/Inv_SY_B!$BY4-1,"")</f>
        <v>3.215685879957686E-2</v>
      </c>
      <c r="N4" s="184">
        <f>IFERROR(Inv_SY_B!N4/Inv_SY_B!$BY4-1,"")</f>
        <v>-8.9329010500500683E-3</v>
      </c>
      <c r="O4" s="184">
        <f>IFERROR(Inv_SY_B!O4/Inv_SY_B!$BY4-1,"")</f>
        <v>6.7558270612860349E-2</v>
      </c>
      <c r="P4" s="184">
        <f>IFERROR(Inv_SY_B!P4/Inv_SY_B!$BY4-1,"")</f>
        <v>-7.1165452000312435E-3</v>
      </c>
      <c r="Q4" s="184">
        <f>IFERROR(Inv_SY_B!Q4/Inv_SY_B!$BY4-1,"")</f>
        <v>-1.2285911826527274E-3</v>
      </c>
      <c r="R4" s="184">
        <f>IFERROR(Inv_SY_B!R4/Inv_SY_B!$BY4-1,"")</f>
        <v>9.3215746384831544E-3</v>
      </c>
      <c r="S4" s="184">
        <f>IFERROR(Inv_SY_B!S4/Inv_SY_B!$BY4-1,"")</f>
        <v>-6.5554993411787166E-3</v>
      </c>
      <c r="T4" s="184">
        <f>IFERROR(Inv_SY_B!T4/Inv_SY_B!$BY4-1,"")</f>
        <v>-3.9550158505975541E-2</v>
      </c>
      <c r="U4" s="184">
        <f>IFERROR(Inv_SY_B!U4/Inv_SY_B!$BY4-1,"")</f>
        <v>6.287588841002556E-3</v>
      </c>
      <c r="V4" s="184">
        <f>IFERROR(Inv_SY_B!V4/Inv_SY_B!$BY4-1,"")</f>
        <v>2.7751450131280553E-2</v>
      </c>
      <c r="W4" s="184">
        <f>IFERROR(Inv_SY_B!W4/Inv_SY_B!$BY4-1,"")</f>
        <v>-4.4956650279305732E-2</v>
      </c>
      <c r="X4" s="184">
        <f>IFERROR(Inv_SY_B!X4/Inv_SY_B!$BY4-1,"")</f>
        <v>-1.8113591989446176E-2</v>
      </c>
      <c r="Y4" s="184">
        <f>IFERROR(Inv_SY_B!Y4/Inv_SY_B!$BY4-1,"")</f>
        <v>2.2621075392251555E-2</v>
      </c>
      <c r="Z4" s="184">
        <f>IFERROR(Inv_SY_B!Z4/Inv_SY_B!$BY4-1,"")</f>
        <v>1.5805923735965566E-2</v>
      </c>
      <c r="AA4" s="184">
        <f>IFERROR(Inv_SY_B!AA4/Inv_SY_B!$BY4-1,"")</f>
        <v>2.0310927285807079E-3</v>
      </c>
      <c r="AB4" s="184">
        <f>IFERROR(Inv_SY_B!AB4/Inv_SY_B!$BY4-1,"")</f>
        <v>-6.3741737943397991E-3</v>
      </c>
      <c r="AC4" s="184">
        <f>IFERROR(Inv_SY_B!AC4/Inv_SY_B!$BY4-1,"")</f>
        <v>1.3306563284516182E-2</v>
      </c>
      <c r="AD4" s="184">
        <f>IFERROR(Inv_SY_B!AD4/Inv_SY_B!$BY4-1,"")</f>
        <v>-2.9397057018043515E-4</v>
      </c>
      <c r="AE4" s="184">
        <f>IFERROR(Inv_SY_B!AE4/Inv_SY_B!$BZ4-1,"")</f>
        <v>1.1460797395645983E-2</v>
      </c>
      <c r="AF4" s="184">
        <f>IFERROR(Inv_SY_B!AF4/Inv_SY_B!$BZ4-1,"")</f>
        <v>-6.108536511754914E-3</v>
      </c>
      <c r="AG4" s="184">
        <f>IFERROR(Inv_SY_B!AG4/Inv_SY_B!$BZ4-1,"")</f>
        <v>-7.5568215386653259E-3</v>
      </c>
      <c r="AH4" s="184">
        <f>IFERROR(Inv_SY_B!AH4/Inv_SY_B!$BZ4-1,"")</f>
        <v>-1.5192016364319993E-2</v>
      </c>
      <c r="AI4" s="184">
        <f>IFERROR(Inv_SY_B!AI4/Inv_SY_B!$BZ4-1,"")</f>
        <v>7.0697970942656951E-4</v>
      </c>
      <c r="AJ4" s="184">
        <f>IFERROR(Inv_SY_B!AJ4/Inv_SY_B!$BZ4-1,"")</f>
        <v>3.3171232893349778E-3</v>
      </c>
      <c r="AK4" s="184">
        <f>IFERROR(Inv_SY_B!AK4/Inv_SY_B!$BZ4-1,"")</f>
        <v>-4.4692609474586975E-3</v>
      </c>
      <c r="AL4" s="184">
        <f>IFERROR(Inv_SY_B!AL4/Inv_SY_B!$BZ4-1,"")</f>
        <v>1.0016691044651971E-3</v>
      </c>
      <c r="AM4" s="184">
        <f>IFERROR(Inv_SY_B!AM4/Inv_SY_B!$BZ4-1,"")</f>
        <v>6.7708167694906507E-3</v>
      </c>
      <c r="AN4" s="184">
        <f>IFERROR(Inv_SY_B!AN4/Inv_SY_B!$BZ4-1,"")</f>
        <v>1.0938845905257732E-2</v>
      </c>
      <c r="AO4" s="184">
        <f>IFERROR(Inv_SY_B!AO4/Inv_SY_B!$BZ4-1,"")</f>
        <v>-2.5625000069208204E-3</v>
      </c>
      <c r="AP4" s="184">
        <f>IFERROR(Inv_SY_B!AP4/Inv_SY_B!$BZ4-1,"")</f>
        <v>-6.7816706044766528E-3</v>
      </c>
      <c r="AQ4" s="184">
        <f>IFERROR(Inv_SY_B!AQ4/Inv_SY_B!$BZ4-1,"")</f>
        <v>-9.7461600996804343E-3</v>
      </c>
      <c r="AR4" s="184">
        <f>IFERROR(Inv_SY_B!AR4/Inv_SY_B!$BZ4-1,"")</f>
        <v>-3.4780554588786927E-4</v>
      </c>
      <c r="AS4" s="184">
        <f>IFERROR(Inv_SY_B!AS4/Inv_SY_B!$BZ4-1,"")</f>
        <v>2.0722423208723306E-3</v>
      </c>
      <c r="AT4" s="184">
        <f>IFERROR(Inv_SY_B!AT4/Inv_SY_B!$BZ4-1,"")</f>
        <v>-1.2281372629121101E-2</v>
      </c>
      <c r="AU4" s="184">
        <f>IFERROR(Inv_SY_B!AU4/Inv_SY_B!$BZ4-1,"")</f>
        <v>2.5586182830450444E-2</v>
      </c>
      <c r="AV4" s="184">
        <f>IFERROR(Inv_SY_B!AV4/Inv_SY_B!$BZ4-1,"")</f>
        <v>3.191486923341369E-3</v>
      </c>
      <c r="AW4" s="184">
        <f>IFERROR(Inv_SY_B!AW4/Inv_SY_B!$CA4-1,"")</f>
        <v>1.4100691349942407E-2</v>
      </c>
      <c r="AX4" s="184">
        <f>IFERROR(Inv_SY_B!AX4/Inv_SY_B!$CA4-1,"")</f>
        <v>4.35969155483662E-2</v>
      </c>
      <c r="AY4" s="184">
        <f>IFERROR(Inv_SY_B!AY4/Inv_SY_B!$CA4-1,"")</f>
        <v>0.1510725457459583</v>
      </c>
      <c r="AZ4" s="184">
        <f>IFERROR(Inv_SY_B!AZ4/Inv_SY_B!$CA4-1,"")</f>
        <v>0.2613684351226262</v>
      </c>
      <c r="BA4" s="184">
        <f>IFERROR(Inv_SY_B!BA4/Inv_SY_B!$CA4-1,"")</f>
        <v>0.16956546929802152</v>
      </c>
      <c r="BB4" s="184">
        <f>IFERROR(Inv_SY_B!BB4/Inv_SY_B!$CA4-1,"")</f>
        <v>0.18526862455100424</v>
      </c>
      <c r="BC4" s="184">
        <f>IFERROR(Inv_SY_B!BC4/Inv_SY_B!$CA4-1,"")</f>
        <v>0.1795035515274046</v>
      </c>
      <c r="BD4" s="184">
        <f>IFERROR(Inv_SY_B!BD4/Inv_SY_B!$CA4-1,"")</f>
        <v>0.19999681613074038</v>
      </c>
      <c r="BE4" s="184">
        <f>IFERROR(Inv_SY_B!BE4/Inv_SY_B!$CA4-1,"")</f>
        <v>0.20067730501141301</v>
      </c>
      <c r="BF4" s="184">
        <f>IFERROR(Inv_SY_B!BF4/Inv_SY_B!$CA4-1,"")</f>
        <v>0.19032907015483858</v>
      </c>
      <c r="BG4" s="184">
        <f>IFERROR(Inv_SY_B!BG4/Inv_SY_B!$CA4-1,"")</f>
        <v>0.20036017316218024</v>
      </c>
      <c r="BH4" s="184">
        <f>IFERROR(Inv_SY_B!BH4/Inv_SY_B!$CA4-1,"")</f>
        <v>2.8011469679178891E-2</v>
      </c>
      <c r="BI4" s="184">
        <f>IFERROR(Inv_SY_B!BI4/Inv_SY_B!$CA4-1,"")</f>
        <v>0.21613534060843609</v>
      </c>
      <c r="BJ4" s="184">
        <f>IFERROR(Inv_SY_B!BJ4/Inv_SY_B!$CA4-1,"")</f>
        <v>0.21517238737361621</v>
      </c>
      <c r="BK4" s="184">
        <f>IFERROR(Inv_SY_B!BK4/Inv_SY_B!$CA4-1,"")</f>
        <v>0.19501831601834718</v>
      </c>
      <c r="BL4" s="184">
        <f>IFERROR(Inv_SY_B!BL4/Inv_SY_B!$CA4-1,"")</f>
        <v>0.21094588016173899</v>
      </c>
      <c r="BM4" s="184">
        <f>IFERROR(Inv_SY_B!BM4/Inv_SY_B!$CA4-1,"")</f>
        <v>0.24249791413172694</v>
      </c>
      <c r="BN4" s="184">
        <f>IFERROR(Inv_SY_B!BN4/Inv_SY_B!$CA4-1,"")</f>
        <v>0.22501466078386234</v>
      </c>
      <c r="BO4" s="184">
        <f>IFERROR(Inv_SY_B!BO4/Inv_SY_B!$CA4-1,"")</f>
        <v>0.10821039016727996</v>
      </c>
      <c r="BP4" s="184">
        <f>IFERROR(Inv_SY_B!BP4/Inv_SY_B!$CA4-1,"")</f>
        <v>0.2052986133052459</v>
      </c>
      <c r="BQ4" s="184">
        <f>IFERROR(Inv_SY_B!BQ4/Inv_SY_B!$CA4-1,"")</f>
        <v>-0.64708460705725324</v>
      </c>
      <c r="BR4" s="184">
        <f>IFERROR(Inv_SY_B!BR4/Inv_SY_B!$CA4-1,"")</f>
        <v>-0.87701159543010221</v>
      </c>
      <c r="BS4" s="184">
        <f>IFERROR(Inv_SY_B!BS4/Inv_SY_B!$CA4-1,"")</f>
        <v>-0.50822854481184532</v>
      </c>
      <c r="BT4" s="184">
        <f>IFERROR(Inv_SY_B!BT4/Inv_SY_B!$CA4-1,"")</f>
        <v>-0.91702591221545371</v>
      </c>
      <c r="BU4" s="184">
        <f>IFERROR(Inv_SY_B!BU4/Inv_SY_B!$CA4-1,"")</f>
        <v>-0.78868602664331422</v>
      </c>
      <c r="BV4" s="184">
        <f>IFERROR(Inv_SY_B!BV4/Inv_SY_B!$CA4-1,"")</f>
        <v>0.28003793846423108</v>
      </c>
      <c r="BW4" s="184">
        <f>IFERROR(Inv_SY_B!BW4/Inv_SY_B!$CA4-1,"")</f>
        <v>-0.19622634896037072</v>
      </c>
      <c r="BX4" s="184">
        <f>IFERROR(Inv_SY_B!BX4/Inv_SY_B!$CA4-1,"")</f>
        <v>0.21208052682218459</v>
      </c>
    </row>
    <row r="5" spans="1:76">
      <c r="A5"/>
      <c r="B5" s="179">
        <f>B4+1</f>
        <v>45829</v>
      </c>
      <c r="C5" s="184">
        <f>IFERROR(Inv_SY_B!C5/Inv_SY_B!$BY5-1,"")</f>
        <v>-1.3305960385004423E-2</v>
      </c>
      <c r="D5" s="184">
        <f>IFERROR(Inv_SY_B!D5/Inv_SY_B!$BY5-1,"")</f>
        <v>-2.7897748248800758E-2</v>
      </c>
      <c r="E5" s="184">
        <f>IFERROR(Inv_SY_B!E5/Inv_SY_B!$BY5-1,"")</f>
        <v>-1.9818257215452051E-2</v>
      </c>
      <c r="F5" s="184">
        <f>IFERROR(Inv_SY_B!F5/Inv_SY_B!$BY5-1,"")</f>
        <v>-9.7661495507995744E-3</v>
      </c>
      <c r="G5" s="184">
        <f>IFERROR(Inv_SY_B!G5/Inv_SY_B!$BY5-1,"")</f>
        <v>-5.2095909718904432E-3</v>
      </c>
      <c r="H5" s="184">
        <f>IFERROR(Inv_SY_B!H5/Inv_SY_B!$BY5-1,"")</f>
        <v>-1.2185132530927345E-2</v>
      </c>
      <c r="I5" s="184">
        <f>IFERROR(Inv_SY_B!I5/Inv_SY_B!$BY5-1,"")</f>
        <v>1.9238809312913663E-3</v>
      </c>
      <c r="J5" s="184">
        <f>IFERROR(Inv_SY_B!J5/Inv_SY_B!$BY5-1,"")</f>
        <v>-1.2077546382165405E-2</v>
      </c>
      <c r="K5" s="184">
        <f>IFERROR(Inv_SY_B!K5/Inv_SY_B!$BY5-1,"")</f>
        <v>-1.6276983818817703E-2</v>
      </c>
      <c r="L5" s="184">
        <f>IFERROR(Inv_SY_B!L5/Inv_SY_B!$BY5-1,"")</f>
        <v>1.0360138973400934E-2</v>
      </c>
      <c r="M5" s="184">
        <f>IFERROR(Inv_SY_B!M5/Inv_SY_B!$BY5-1,"")</f>
        <v>4.6496696594921616E-2</v>
      </c>
      <c r="N5" s="184">
        <f>IFERROR(Inv_SY_B!N5/Inv_SY_B!$BY5-1,"")</f>
        <v>-1.3539991617509406E-3</v>
      </c>
      <c r="O5" s="184">
        <f>IFERROR(Inv_SY_B!O5/Inv_SY_B!$BY5-1,"")</f>
        <v>6.4588179686535074E-2</v>
      </c>
      <c r="P5" s="184">
        <f>IFERROR(Inv_SY_B!P5/Inv_SY_B!$BY5-1,"")</f>
        <v>1.1652282421890092E-3</v>
      </c>
      <c r="Q5" s="184">
        <f>IFERROR(Inv_SY_B!Q5/Inv_SY_B!$BY5-1,"")</f>
        <v>3.802086270534133E-3</v>
      </c>
      <c r="R5" s="184">
        <f>IFERROR(Inv_SY_B!R5/Inv_SY_B!$BY5-1,"")</f>
        <v>-4.1790440191145084E-3</v>
      </c>
      <c r="S5" s="184">
        <f>IFERROR(Inv_SY_B!S5/Inv_SY_B!$BY5-1,"")</f>
        <v>-8.5857737809096335E-3</v>
      </c>
      <c r="T5" s="184">
        <f>IFERROR(Inv_SY_B!T5/Inv_SY_B!$BY5-1,"")</f>
        <v>-1.5049657548023343E-2</v>
      </c>
      <c r="U5" s="184">
        <f>IFERROR(Inv_SY_B!U5/Inv_SY_B!$BY5-1,"")</f>
        <v>-8.5797834807535001E-3</v>
      </c>
      <c r="V5" s="184">
        <f>IFERROR(Inv_SY_B!V5/Inv_SY_B!$BY5-1,"")</f>
        <v>-1.5192555800221941E-3</v>
      </c>
      <c r="W5" s="184">
        <f>IFERROR(Inv_SY_B!W5/Inv_SY_B!$BY5-1,"")</f>
        <v>-3.6119849140123006E-2</v>
      </c>
      <c r="X5" s="184">
        <f>IFERROR(Inv_SY_B!X5/Inv_SY_B!$BY5-1,"")</f>
        <v>-7.3685469197578568E-3</v>
      </c>
      <c r="Y5" s="184">
        <f>IFERROR(Inv_SY_B!Y5/Inv_SY_B!$BY5-1,"")</f>
        <v>2.7985264704491364E-2</v>
      </c>
      <c r="Z5" s="184">
        <f>IFERROR(Inv_SY_B!Z5/Inv_SY_B!$BY5-1,"")</f>
        <v>2.2934856211019206E-2</v>
      </c>
      <c r="AA5" s="184">
        <f>IFERROR(Inv_SY_B!AA5/Inv_SY_B!$BY5-1,"")</f>
        <v>9.1084905370040214E-3</v>
      </c>
      <c r="AB5" s="184">
        <f>IFERROR(Inv_SY_B!AB5/Inv_SY_B!$BY5-1,"")</f>
        <v>-5.0073029818832326E-3</v>
      </c>
      <c r="AC5" s="184">
        <f>IFERROR(Inv_SY_B!AC5/Inv_SY_B!$BY5-1,"")</f>
        <v>1.267330653947929E-2</v>
      </c>
      <c r="AD5" s="184">
        <f>IFERROR(Inv_SY_B!AD5/Inv_SY_B!$BY5-1,"")</f>
        <v>3.2624530253275719E-3</v>
      </c>
      <c r="AE5" s="184">
        <f>IFERROR(Inv_SY_B!AE5/Inv_SY_B!$BZ5-1,"")</f>
        <v>2.2768945956045838E-2</v>
      </c>
      <c r="AF5" s="184">
        <f>IFERROR(Inv_SY_B!AF5/Inv_SY_B!$BZ5-1,"")</f>
        <v>5.5817559672945993E-3</v>
      </c>
      <c r="AG5" s="184">
        <f>IFERROR(Inv_SY_B!AG5/Inv_SY_B!$BZ5-1,"")</f>
        <v>6.5166308668040962E-4</v>
      </c>
      <c r="AH5" s="184">
        <f>IFERROR(Inv_SY_B!AH5/Inv_SY_B!$BZ5-1,"")</f>
        <v>-1.9996460295998997E-3</v>
      </c>
      <c r="AI5" s="184">
        <f>IFERROR(Inv_SY_B!AI5/Inv_SY_B!$BZ5-1,"")</f>
        <v>1.1409302263365451E-3</v>
      </c>
      <c r="AJ5" s="184">
        <f>IFERROR(Inv_SY_B!AJ5/Inv_SY_B!$BZ5-1,"")</f>
        <v>-1.5292359934704347E-4</v>
      </c>
      <c r="AK5" s="184">
        <f>IFERROR(Inv_SY_B!AK5/Inv_SY_B!$BZ5-1,"")</f>
        <v>-8.7965510450203066E-3</v>
      </c>
      <c r="AL5" s="184">
        <f>IFERROR(Inv_SY_B!AL5/Inv_SY_B!$BZ5-1,"")</f>
        <v>1.4682245716812758E-4</v>
      </c>
      <c r="AM5" s="184">
        <f>IFERROR(Inv_SY_B!AM5/Inv_SY_B!$BZ5-1,"")</f>
        <v>2.9613937402472867E-3</v>
      </c>
      <c r="AN5" s="184">
        <f>IFERROR(Inv_SY_B!AN5/Inv_SY_B!$BZ5-1,"")</f>
        <v>8.4134493753673656E-3</v>
      </c>
      <c r="AO5" s="184">
        <f>IFERROR(Inv_SY_B!AO5/Inv_SY_B!$BZ5-1,"")</f>
        <v>1.0562720268387782E-3</v>
      </c>
      <c r="AP5" s="184">
        <f>IFERROR(Inv_SY_B!AP5/Inv_SY_B!$BZ5-1,"")</f>
        <v>8.0845131615148169E-4</v>
      </c>
      <c r="AQ5" s="184">
        <f>IFERROR(Inv_SY_B!AQ5/Inv_SY_B!$BZ5-1,"")</f>
        <v>-2.336574993305307E-3</v>
      </c>
      <c r="AR5" s="184">
        <f>IFERROR(Inv_SY_B!AR5/Inv_SY_B!$BZ5-1,"")</f>
        <v>2.9173729561120521E-3</v>
      </c>
      <c r="AS5" s="184">
        <f>IFERROR(Inv_SY_B!AS5/Inv_SY_B!$BZ5-1,"")</f>
        <v>-7.335556788809261E-3</v>
      </c>
      <c r="AT5" s="184">
        <f>IFERROR(Inv_SY_B!AT5/Inv_SY_B!$BZ5-1,"")</f>
        <v>-9.9252604354663765E-3</v>
      </c>
      <c r="AU5" s="184">
        <f>IFERROR(Inv_SY_B!AU5/Inv_SY_B!$BZ5-1,"")</f>
        <v>1.5310248906037494E-3</v>
      </c>
      <c r="AV5" s="184">
        <f>IFERROR(Inv_SY_B!AV5/Inv_SY_B!$BZ5-1,"")</f>
        <v>-1.7431569107297151E-2</v>
      </c>
      <c r="AW5" s="184">
        <f>IFERROR(Inv_SY_B!AW5/Inv_SY_B!$CA5-1,"")</f>
        <v>8.0649588938418226E-2</v>
      </c>
      <c r="AX5" s="184">
        <f>IFERROR(Inv_SY_B!AX5/Inv_SY_B!$CA5-1,"")</f>
        <v>0.10663467921146874</v>
      </c>
      <c r="AY5" s="184">
        <f>IFERROR(Inv_SY_B!AY5/Inv_SY_B!$CA5-1,"")</f>
        <v>0.13332849119445189</v>
      </c>
      <c r="AZ5" s="184">
        <f>IFERROR(Inv_SY_B!AZ5/Inv_SY_B!$CA5-1,"")</f>
        <v>0.21238743213277145</v>
      </c>
      <c r="BA5" s="184">
        <f>IFERROR(Inv_SY_B!BA5/Inv_SY_B!$CA5-1,"")</f>
        <v>0.13998272733923822</v>
      </c>
      <c r="BB5" s="184">
        <f>IFERROR(Inv_SY_B!BB5/Inv_SY_B!$CA5-1,"")</f>
        <v>0.15862585498267556</v>
      </c>
      <c r="BC5" s="184">
        <f>IFERROR(Inv_SY_B!BC5/Inv_SY_B!$CA5-1,"")</f>
        <v>0.15073246525176809</v>
      </c>
      <c r="BD5" s="184">
        <f>IFERROR(Inv_SY_B!BD5/Inv_SY_B!$CA5-1,"")</f>
        <v>0.17938886568984724</v>
      </c>
      <c r="BE5" s="184">
        <f>IFERROR(Inv_SY_B!BE5/Inv_SY_B!$CA5-1,"")</f>
        <v>0.17560838944451374</v>
      </c>
      <c r="BF5" s="184">
        <f>IFERROR(Inv_SY_B!BF5/Inv_SY_B!$CA5-1,"")</f>
        <v>0.1524106598328141</v>
      </c>
      <c r="BG5" s="184">
        <f>IFERROR(Inv_SY_B!BG5/Inv_SY_B!$CA5-1,"")</f>
        <v>0.16834889140217268</v>
      </c>
      <c r="BH5" s="184">
        <f>IFERROR(Inv_SY_B!BH5/Inv_SY_B!$CA5-1,"")</f>
        <v>0.20236193138682301</v>
      </c>
      <c r="BI5" s="184">
        <f>IFERROR(Inv_SY_B!BI5/Inv_SY_B!$CA5-1,"")</f>
        <v>0.21002196243505833</v>
      </c>
      <c r="BJ5" s="184">
        <f>IFERROR(Inv_SY_B!BJ5/Inv_SY_B!$CA5-1,"")</f>
        <v>0.19421296015792944</v>
      </c>
      <c r="BK5" s="184">
        <f>IFERROR(Inv_SY_B!BK5/Inv_SY_B!$CA5-1,"")</f>
        <v>0.2038508837949784</v>
      </c>
      <c r="BL5" s="184">
        <f>IFERROR(Inv_SY_B!BL5/Inv_SY_B!$CA5-1,"")</f>
        <v>0.21380307747380622</v>
      </c>
      <c r="BM5" s="184">
        <f>IFERROR(Inv_SY_B!BM5/Inv_SY_B!$CA5-1,"")</f>
        <v>0.22209674478543784</v>
      </c>
      <c r="BN5" s="184">
        <f>IFERROR(Inv_SY_B!BN5/Inv_SY_B!$CA5-1,"")</f>
        <v>0.20055308699933527</v>
      </c>
      <c r="BO5" s="184">
        <f>IFERROR(Inv_SY_B!BO5/Inv_SY_B!$CA5-1,"")</f>
        <v>9.137190511971971E-2</v>
      </c>
      <c r="BP5" s="184">
        <f>IFERROR(Inv_SY_B!BP5/Inv_SY_B!$CA5-1,"")</f>
        <v>0.18642798184115517</v>
      </c>
      <c r="BQ5" s="184">
        <f>IFERROR(Inv_SY_B!BQ5/Inv_SY_B!$CA5-1,"")</f>
        <v>-0.55382901876926494</v>
      </c>
      <c r="BR5" s="184">
        <f>IFERROR(Inv_SY_B!BR5/Inv_SY_B!$CA5-1,"")</f>
        <v>-0.88008678751669001</v>
      </c>
      <c r="BS5" s="184">
        <f>IFERROR(Inv_SY_B!BS5/Inv_SY_B!$CA5-1,"")</f>
        <v>-0.52351619315336184</v>
      </c>
      <c r="BT5" s="184">
        <f>IFERROR(Inv_SY_B!BT5/Inv_SY_B!$CA5-1,"")</f>
        <v>-0.86244180798604164</v>
      </c>
      <c r="BU5" s="184">
        <f>IFERROR(Inv_SY_B!BU5/Inv_SY_B!$CA5-1,"")</f>
        <v>-0.79304726875721587</v>
      </c>
      <c r="BV5" s="184">
        <f>IFERROR(Inv_SY_B!BV5/Inv_SY_B!$CA5-1,"")</f>
        <v>0.24456028281933739</v>
      </c>
      <c r="BW5" s="184">
        <f>IFERROR(Inv_SY_B!BW5/Inv_SY_B!$CA5-1,"")</f>
        <v>-0.20932404188528386</v>
      </c>
      <c r="BX5" s="184">
        <f>IFERROR(Inv_SY_B!BX5/Inv_SY_B!$CA5-1,"")</f>
        <v>0.19488625583413532</v>
      </c>
    </row>
    <row r="6" spans="1:76">
      <c r="A6"/>
      <c r="B6" s="179">
        <f t="shared" ref="B6:B34" si="1">B5+1</f>
        <v>45830</v>
      </c>
      <c r="C6" s="184">
        <f>IFERROR(Inv_SY_B!C6/Inv_SY_B!$BY6-1,"")</f>
        <v>-1.0984863515880683E-2</v>
      </c>
      <c r="D6" s="184">
        <f>IFERROR(Inv_SY_B!D6/Inv_SY_B!$BY6-1,"")</f>
        <v>-1.6574118525698678E-2</v>
      </c>
      <c r="E6" s="184">
        <f>IFERROR(Inv_SY_B!E6/Inv_SY_B!$BY6-1,"")</f>
        <v>-1.7170156779243717E-2</v>
      </c>
      <c r="F6" s="184">
        <f>IFERROR(Inv_SY_B!F6/Inv_SY_B!$BY6-1,"")</f>
        <v>-2.2999361701105947E-2</v>
      </c>
      <c r="G6" s="184">
        <f>IFERROR(Inv_SY_B!G6/Inv_SY_B!$BY6-1,"")</f>
        <v>-2.0516345104827693E-2</v>
      </c>
      <c r="H6" s="184">
        <f>IFERROR(Inv_SY_B!H6/Inv_SY_B!$BY6-1,"")</f>
        <v>-2.7020404793439923E-2</v>
      </c>
      <c r="I6" s="184">
        <f>IFERROR(Inv_SY_B!I6/Inv_SY_B!$BY6-1,"")</f>
        <v>-6.3163974792619371E-3</v>
      </c>
      <c r="J6" s="184">
        <f>IFERROR(Inv_SY_B!J6/Inv_SY_B!$BY6-1,"")</f>
        <v>-2.3810277789464318E-2</v>
      </c>
      <c r="K6" s="184">
        <f>IFERROR(Inv_SY_B!K6/Inv_SY_B!$BY6-1,"")</f>
        <v>-8.6671810990386344E-3</v>
      </c>
      <c r="L6" s="184">
        <f>IFERROR(Inv_SY_B!L6/Inv_SY_B!$BY6-1,"")</f>
        <v>9.0687108234921432E-4</v>
      </c>
      <c r="M6" s="184">
        <f>IFERROR(Inv_SY_B!M6/Inv_SY_B!$BY6-1,"")</f>
        <v>3.7193977765172859E-2</v>
      </c>
      <c r="N6" s="184">
        <f>IFERROR(Inv_SY_B!N6/Inv_SY_B!$BY6-1,"")</f>
        <v>-4.9679709889750567E-3</v>
      </c>
      <c r="O6" s="184">
        <f>IFERROR(Inv_SY_B!O6/Inv_SY_B!$BY6-1,"")</f>
        <v>6.4687913679719156E-2</v>
      </c>
      <c r="P6" s="184">
        <f>IFERROR(Inv_SY_B!P6/Inv_SY_B!$BY6-1,"")</f>
        <v>-7.2707888868981385E-3</v>
      </c>
      <c r="Q6" s="184">
        <f>IFERROR(Inv_SY_B!Q6/Inv_SY_B!$BY6-1,"")</f>
        <v>-2.973240837697011E-4</v>
      </c>
      <c r="R6" s="184">
        <f>IFERROR(Inv_SY_B!R6/Inv_SY_B!$BY6-1,"")</f>
        <v>-5.9019418498927889E-3</v>
      </c>
      <c r="S6" s="184">
        <f>IFERROR(Inv_SY_B!S6/Inv_SY_B!$BY6-1,"")</f>
        <v>-7.8030544930873802E-3</v>
      </c>
      <c r="T6" s="184">
        <f>IFERROR(Inv_SY_B!T6/Inv_SY_B!$BY6-1,"")</f>
        <v>-1.6713977712501382E-4</v>
      </c>
      <c r="U6" s="184">
        <f>IFERROR(Inv_SY_B!U6/Inv_SY_B!$BY6-1,"")</f>
        <v>-2.1183027092119833E-4</v>
      </c>
      <c r="V6" s="184">
        <f>IFERROR(Inv_SY_B!V6/Inv_SY_B!$BY6-1,"")</f>
        <v>6.7977372997445329E-3</v>
      </c>
      <c r="W6" s="184">
        <f>IFERROR(Inv_SY_B!W6/Inv_SY_B!$BY6-1,"")</f>
        <v>-2.2477618912877917E-2</v>
      </c>
      <c r="X6" s="184">
        <f>IFERROR(Inv_SY_B!X6/Inv_SY_B!$BY6-1,"")</f>
        <v>-5.9336285657802801E-3</v>
      </c>
      <c r="Y6" s="184">
        <f>IFERROR(Inv_SY_B!Y6/Inv_SY_B!$BY6-1,"")</f>
        <v>2.9472210186629155E-2</v>
      </c>
      <c r="Z6" s="184">
        <f>IFERROR(Inv_SY_B!Z6/Inv_SY_B!$BY6-1,"")</f>
        <v>2.5658431151832861E-2</v>
      </c>
      <c r="AA6" s="184">
        <f>IFERROR(Inv_SY_B!AA6/Inv_SY_B!$BY6-1,"")</f>
        <v>1.6348070283802585E-2</v>
      </c>
      <c r="AB6" s="184">
        <f>IFERROR(Inv_SY_B!AB6/Inv_SY_B!$BY6-1,"")</f>
        <v>3.4888967345063637E-3</v>
      </c>
      <c r="AC6" s="184">
        <f>IFERROR(Inv_SY_B!AC6/Inv_SY_B!$BY6-1,"")</f>
        <v>1.7597136740710173E-2</v>
      </c>
      <c r="AD6" s="184">
        <f>IFERROR(Inv_SY_B!AD6/Inv_SY_B!$BY6-1,"")</f>
        <v>6.939159692819441E-3</v>
      </c>
      <c r="AE6" s="184">
        <f>IFERROR(Inv_SY_B!AE6/Inv_SY_B!$BZ6-1,"")</f>
        <v>2.6298437078945858E-2</v>
      </c>
      <c r="AF6" s="184">
        <f>IFERROR(Inv_SY_B!AF6/Inv_SY_B!$BZ6-1,"")</f>
        <v>1.7891326215375036E-2</v>
      </c>
      <c r="AG6" s="184">
        <f>IFERROR(Inv_SY_B!AG6/Inv_SY_B!$BZ6-1,"")</f>
        <v>1.6594707297209244E-2</v>
      </c>
      <c r="AH6" s="184">
        <f>IFERROR(Inv_SY_B!AH6/Inv_SY_B!$BZ6-1,"")</f>
        <v>1.3037436461198038E-2</v>
      </c>
      <c r="AI6" s="184">
        <f>IFERROR(Inv_SY_B!AI6/Inv_SY_B!$BZ6-1,"")</f>
        <v>8.3255642009545383E-3</v>
      </c>
      <c r="AJ6" s="184">
        <f>IFERROR(Inv_SY_B!AJ6/Inv_SY_B!$BZ6-1,"")</f>
        <v>8.3251916079385424E-3</v>
      </c>
      <c r="AK6" s="184">
        <f>IFERROR(Inv_SY_B!AK6/Inv_SY_B!$BZ6-1,"")</f>
        <v>-5.2538740199342682E-3</v>
      </c>
      <c r="AL6" s="184">
        <f>IFERROR(Inv_SY_B!AL6/Inv_SY_B!$BZ6-1,"")</f>
        <v>1.5671813935018708E-3</v>
      </c>
      <c r="AM6" s="184">
        <f>IFERROR(Inv_SY_B!AM6/Inv_SY_B!$BZ6-1,"")</f>
        <v>-7.1781524994031232E-3</v>
      </c>
      <c r="AN6" s="184">
        <f>IFERROR(Inv_SY_B!AN6/Inv_SY_B!$BZ6-1,"")</f>
        <v>-1.5671338701852555E-3</v>
      </c>
      <c r="AO6" s="184">
        <f>IFERROR(Inv_SY_B!AO6/Inv_SY_B!$BZ6-1,"")</f>
        <v>-2.2240336121425175E-3</v>
      </c>
      <c r="AP6" s="184">
        <f>IFERROR(Inv_SY_B!AP6/Inv_SY_B!$BZ6-1,"")</f>
        <v>1.9637022428347084E-3</v>
      </c>
      <c r="AQ6" s="184">
        <f>IFERROR(Inv_SY_B!AQ6/Inv_SY_B!$BZ6-1,"")</f>
        <v>-5.0215719581906404E-3</v>
      </c>
      <c r="AR6" s="184">
        <f>IFERROR(Inv_SY_B!AR6/Inv_SY_B!$BZ6-1,"")</f>
        <v>-4.6562913409156081E-3</v>
      </c>
      <c r="AS6" s="184">
        <f>IFERROR(Inv_SY_B!AS6/Inv_SY_B!$BZ6-1,"")</f>
        <v>-1.6215592622163433E-2</v>
      </c>
      <c r="AT6" s="184">
        <f>IFERROR(Inv_SY_B!AT6/Inv_SY_B!$BZ6-1,"")</f>
        <v>-1.2719310072962786E-2</v>
      </c>
      <c r="AU6" s="184">
        <f>IFERROR(Inv_SY_B!AU6/Inv_SY_B!$BZ6-1,"")</f>
        <v>-1.2494872008753433E-2</v>
      </c>
      <c r="AV6" s="184">
        <f>IFERROR(Inv_SY_B!AV6/Inv_SY_B!$BZ6-1,"")</f>
        <v>-2.6672714493307881E-2</v>
      </c>
      <c r="AW6" s="184">
        <f>IFERROR(Inv_SY_B!AW6/Inv_SY_B!$CA6-1,"")</f>
        <v>7.9134640381506305E-2</v>
      </c>
      <c r="AX6" s="184">
        <f>IFERROR(Inv_SY_B!AX6/Inv_SY_B!$CA6-1,"")</f>
        <v>9.0167717925273783E-2</v>
      </c>
      <c r="AY6" s="184">
        <f>IFERROR(Inv_SY_B!AY6/Inv_SY_B!$CA6-1,"")</f>
        <v>8.2012189316617246E-2</v>
      </c>
      <c r="AZ6" s="184">
        <f>IFERROR(Inv_SY_B!AZ6/Inv_SY_B!$CA6-1,"")</f>
        <v>0.16793370007189767</v>
      </c>
      <c r="BA6" s="184">
        <f>IFERROR(Inv_SY_B!BA6/Inv_SY_B!$CA6-1,"")</f>
        <v>0.10284431876095801</v>
      </c>
      <c r="BB6" s="184">
        <f>IFERROR(Inv_SY_B!BB6/Inv_SY_B!$CA6-1,"")</f>
        <v>0.13579812272261282</v>
      </c>
      <c r="BC6" s="184">
        <f>IFERROR(Inv_SY_B!BC6/Inv_SY_B!$CA6-1,"")</f>
        <v>0.13414428769785691</v>
      </c>
      <c r="BD6" s="184">
        <f>IFERROR(Inv_SY_B!BD6/Inv_SY_B!$CA6-1,"")</f>
        <v>0.15200255708097044</v>
      </c>
      <c r="BE6" s="184">
        <f>IFERROR(Inv_SY_B!BE6/Inv_SY_B!$CA6-1,"")</f>
        <v>0.15913785884915566</v>
      </c>
      <c r="BF6" s="184">
        <f>IFERROR(Inv_SY_B!BF6/Inv_SY_B!$CA6-1,"")</f>
        <v>0.10313832472849316</v>
      </c>
      <c r="BG6" s="184">
        <f>IFERROR(Inv_SY_B!BG6/Inv_SY_B!$CA6-1,"")</f>
        <v>0.15696196816046415</v>
      </c>
      <c r="BH6" s="184">
        <f>IFERROR(Inv_SY_B!BH6/Inv_SY_B!$CA6-1,"")</f>
        <v>0.14609289638502565</v>
      </c>
      <c r="BI6" s="184">
        <f>IFERROR(Inv_SY_B!BI6/Inv_SY_B!$CA6-1,"")</f>
        <v>0.17781327870459895</v>
      </c>
      <c r="BJ6" s="184">
        <f>IFERROR(Inv_SY_B!BJ6/Inv_SY_B!$CA6-1,"")</f>
        <v>0.14074177517638264</v>
      </c>
      <c r="BK6" s="184">
        <f>IFERROR(Inv_SY_B!BK6/Inv_SY_B!$CA6-1,"")</f>
        <v>0.16090002940783332</v>
      </c>
      <c r="BL6" s="184">
        <f>IFERROR(Inv_SY_B!BL6/Inv_SY_B!$CA6-1,"")</f>
        <v>0.17583481615863117</v>
      </c>
      <c r="BM6" s="184">
        <f>IFERROR(Inv_SY_B!BM6/Inv_SY_B!$CA6-1,"")</f>
        <v>0.19322592330268296</v>
      </c>
      <c r="BN6" s="184">
        <f>IFERROR(Inv_SY_B!BN6/Inv_SY_B!$CA6-1,"")</f>
        <v>0.17443925082993195</v>
      </c>
      <c r="BO6" s="184">
        <f>IFERROR(Inv_SY_B!BO6/Inv_SY_B!$CA6-1,"")</f>
        <v>8.4563238587048284E-2</v>
      </c>
      <c r="BP6" s="184">
        <f>IFERROR(Inv_SY_B!BP6/Inv_SY_B!$CA6-1,"")</f>
        <v>0.15780425931916953</v>
      </c>
      <c r="BQ6" s="184">
        <f>IFERROR(Inv_SY_B!BQ6/Inv_SY_B!$CA6-1,"")</f>
        <v>-0.44797350409653836</v>
      </c>
      <c r="BR6" s="184">
        <f>IFERROR(Inv_SY_B!BR6/Inv_SY_B!$CA6-1,"")</f>
        <v>-0.83522537578943501</v>
      </c>
      <c r="BS6" s="184">
        <f>IFERROR(Inv_SY_B!BS6/Inv_SY_B!$CA6-1,"")</f>
        <v>-0.23546394664074877</v>
      </c>
      <c r="BT6" s="184">
        <f>IFERROR(Inv_SY_B!BT6/Inv_SY_B!$CA6-1,"")</f>
        <v>-0.52314573968294487</v>
      </c>
      <c r="BU6" s="184">
        <f>IFERROR(Inv_SY_B!BU6/Inv_SY_B!$CA6-1,"")</f>
        <v>-0.80912330758779238</v>
      </c>
      <c r="BV6" s="184">
        <f>IFERROR(Inv_SY_B!BV6/Inv_SY_B!$CA6-1,"")</f>
        <v>0.13526755663955448</v>
      </c>
      <c r="BW6" s="184">
        <f>IFERROR(Inv_SY_B!BW6/Inv_SY_B!$CA6-1,"")</f>
        <v>-0.22605705839152834</v>
      </c>
      <c r="BX6" s="184">
        <f>IFERROR(Inv_SY_B!BX6/Inv_SY_B!$CA6-1,"")</f>
        <v>0.16703022198232587</v>
      </c>
    </row>
    <row r="7" spans="1:76">
      <c r="A7"/>
      <c r="B7" s="179">
        <f t="shared" si="1"/>
        <v>45831</v>
      </c>
      <c r="C7" s="184">
        <f>IFERROR(Inv_SY_B!C7/Inv_SY_B!$BY7-1,"")</f>
        <v>-1.0031719578455722E-2</v>
      </c>
      <c r="D7" s="184">
        <f>IFERROR(Inv_SY_B!D7/Inv_SY_B!$BY7-1,"")</f>
        <v>-8.105845066414652E-3</v>
      </c>
      <c r="E7" s="184">
        <f>IFERROR(Inv_SY_B!E7/Inv_SY_B!$BY7-1,"")</f>
        <v>-1.7732080237062631E-2</v>
      </c>
      <c r="F7" s="184">
        <f>IFERROR(Inv_SY_B!F7/Inv_SY_B!$BY7-1,"")</f>
        <v>-2.654102104042666E-2</v>
      </c>
      <c r="G7" s="184">
        <f>IFERROR(Inv_SY_B!G7/Inv_SY_B!$BY7-1,"")</f>
        <v>-3.0230336403094693E-2</v>
      </c>
      <c r="H7" s="184">
        <f>IFERROR(Inv_SY_B!H7/Inv_SY_B!$BY7-1,"")</f>
        <v>-3.1944199777961035E-2</v>
      </c>
      <c r="I7" s="184">
        <f>IFERROR(Inv_SY_B!I7/Inv_SY_B!$BY7-1,"")</f>
        <v>-4.7129819537983231E-3</v>
      </c>
      <c r="J7" s="184">
        <f>IFERROR(Inv_SY_B!J7/Inv_SY_B!$BY7-1,"")</f>
        <v>-1.0023228068261392E-2</v>
      </c>
      <c r="K7" s="184">
        <f>IFERROR(Inv_SY_B!K7/Inv_SY_B!$BY7-1,"")</f>
        <v>-6.8780812213107279E-3</v>
      </c>
      <c r="L7" s="184">
        <f>IFERROR(Inv_SY_B!L7/Inv_SY_B!$BY7-1,"")</f>
        <v>-1.3883820020317295E-3</v>
      </c>
      <c r="M7" s="184">
        <f>IFERROR(Inv_SY_B!M7/Inv_SY_B!$BY7-1,"")</f>
        <v>3.6267372813026055E-2</v>
      </c>
      <c r="N7" s="184">
        <f>IFERROR(Inv_SY_B!N7/Inv_SY_B!$BY7-1,"")</f>
        <v>-5.7787670705466976E-4</v>
      </c>
      <c r="O7" s="184">
        <f>IFERROR(Inv_SY_B!O7/Inv_SY_B!$BY7-1,"")</f>
        <v>6.7476101383288745E-2</v>
      </c>
      <c r="P7" s="184">
        <f>IFERROR(Inv_SY_B!P7/Inv_SY_B!$BY7-1,"")</f>
        <v>-9.8557329265939186E-3</v>
      </c>
      <c r="Q7" s="184">
        <f>IFERROR(Inv_SY_B!Q7/Inv_SY_B!$BY7-1,"")</f>
        <v>-4.2058334698813482E-4</v>
      </c>
      <c r="R7" s="184">
        <f>IFERROR(Inv_SY_B!R7/Inv_SY_B!$BY7-1,"")</f>
        <v>-1.0551481515803651E-3</v>
      </c>
      <c r="S7" s="184">
        <f>IFERROR(Inv_SY_B!S7/Inv_SY_B!$BY7-1,"")</f>
        <v>2.7656394388211325E-3</v>
      </c>
      <c r="T7" s="184">
        <f>IFERROR(Inv_SY_B!T7/Inv_SY_B!$BY7-1,"")</f>
        <v>1.6818173642064282E-2</v>
      </c>
      <c r="U7" s="184">
        <f>IFERROR(Inv_SY_B!U7/Inv_SY_B!$BY7-1,"")</f>
        <v>5.5041186281279408E-3</v>
      </c>
      <c r="V7" s="184">
        <f>IFERROR(Inv_SY_B!V7/Inv_SY_B!$BY7-1,"")</f>
        <v>1.2044702158802156E-2</v>
      </c>
      <c r="W7" s="184">
        <f>IFERROR(Inv_SY_B!W7/Inv_SY_B!$BY7-1,"")</f>
        <v>-1.0023038278945684E-2</v>
      </c>
      <c r="X7" s="184">
        <f>IFERROR(Inv_SY_B!X7/Inv_SY_B!$BY7-1,"")</f>
        <v>-2.009388610085483E-2</v>
      </c>
      <c r="Y7" s="184">
        <f>IFERROR(Inv_SY_B!Y7/Inv_SY_B!$BY7-1,"")</f>
        <v>1.8224906640780691E-2</v>
      </c>
      <c r="Z7" s="184">
        <f>IFERROR(Inv_SY_B!Z7/Inv_SY_B!$BY7-1,"")</f>
        <v>1.2097823177673162E-2</v>
      </c>
      <c r="AA7" s="184">
        <f>IFERROR(Inv_SY_B!AA7/Inv_SY_B!$BY7-1,"")</f>
        <v>1.1610089711622251E-2</v>
      </c>
      <c r="AB7" s="184">
        <f>IFERROR(Inv_SY_B!AB7/Inv_SY_B!$BY7-1,"")</f>
        <v>8.452866640329848E-3</v>
      </c>
      <c r="AC7" s="184">
        <f>IFERROR(Inv_SY_B!AC7/Inv_SY_B!$BY7-1,"")</f>
        <v>5.6231547763219147E-3</v>
      </c>
      <c r="AD7" s="184">
        <f>IFERROR(Inv_SY_B!AD7/Inv_SY_B!$BY7-1,"")</f>
        <v>-7.2708081500121313E-3</v>
      </c>
      <c r="AE7" s="184">
        <f>IFERROR(Inv_SY_B!AE7/Inv_SY_B!$BZ7-1,"")</f>
        <v>3.3272551984021126E-2</v>
      </c>
      <c r="AF7" s="184">
        <f>IFERROR(Inv_SY_B!AF7/Inv_SY_B!$BZ7-1,"")</f>
        <v>1.8262166719477113E-2</v>
      </c>
      <c r="AG7" s="184">
        <f>IFERROR(Inv_SY_B!AG7/Inv_SY_B!$BZ7-1,"")</f>
        <v>1.11063624128247E-2</v>
      </c>
      <c r="AH7" s="184">
        <f>IFERROR(Inv_SY_B!AH7/Inv_SY_B!$BZ7-1,"")</f>
        <v>4.8386330024392521E-3</v>
      </c>
      <c r="AI7" s="184">
        <f>IFERROR(Inv_SY_B!AI7/Inv_SY_B!$BZ7-1,"")</f>
        <v>6.7133038343887286E-3</v>
      </c>
      <c r="AJ7" s="184">
        <f>IFERROR(Inv_SY_B!AJ7/Inv_SY_B!$BZ7-1,"")</f>
        <v>4.3537883802651223E-3</v>
      </c>
      <c r="AK7" s="184">
        <f>IFERROR(Inv_SY_B!AK7/Inv_SY_B!$BZ7-1,"")</f>
        <v>-2.2265703727282204E-3</v>
      </c>
      <c r="AL7" s="184">
        <f>IFERROR(Inv_SY_B!AL7/Inv_SY_B!$BZ7-1,"")</f>
        <v>1.4753389034967146E-3</v>
      </c>
      <c r="AM7" s="184">
        <f>IFERROR(Inv_SY_B!AM7/Inv_SY_B!$BZ7-1,"")</f>
        <v>-8.2593082668567241E-3</v>
      </c>
      <c r="AN7" s="184">
        <f>IFERROR(Inv_SY_B!AN7/Inv_SY_B!$BZ7-1,"")</f>
        <v>-6.8762408542675235E-3</v>
      </c>
      <c r="AO7" s="184">
        <f>IFERROR(Inv_SY_B!AO7/Inv_SY_B!$BZ7-1,"")</f>
        <v>-5.1135078774380283E-3</v>
      </c>
      <c r="AP7" s="184">
        <f>IFERROR(Inv_SY_B!AP7/Inv_SY_B!$BZ7-1,"")</f>
        <v>1.8289481543827257E-3</v>
      </c>
      <c r="AQ7" s="184">
        <f>IFERROR(Inv_SY_B!AQ7/Inv_SY_B!$BZ7-1,"")</f>
        <v>-1.0438508904809018E-2</v>
      </c>
      <c r="AR7" s="184">
        <f>IFERROR(Inv_SY_B!AR7/Inv_SY_B!$BZ7-1,"")</f>
        <v>-9.9509609989524295E-3</v>
      </c>
      <c r="AS7" s="184">
        <f>IFERROR(Inv_SY_B!AS7/Inv_SY_B!$BZ7-1,"")</f>
        <v>-5.0255218895346454E-3</v>
      </c>
      <c r="AT7" s="184">
        <f>IFERROR(Inv_SY_B!AT7/Inv_SY_B!$BZ7-1,"")</f>
        <v>1.4258780410563165E-3</v>
      </c>
      <c r="AU7" s="184">
        <f>IFERROR(Inv_SY_B!AU7/Inv_SY_B!$BZ7-1,"")</f>
        <v>-1.0753258211774086E-2</v>
      </c>
      <c r="AV7" s="184">
        <f>IFERROR(Inv_SY_B!AV7/Inv_SY_B!$BZ7-1,"")</f>
        <v>-2.4633094055991789E-2</v>
      </c>
      <c r="AW7" s="184">
        <f>IFERROR(Inv_SY_B!AW7/Inv_SY_B!$CA7-1,"")</f>
        <v>0.12828336814488095</v>
      </c>
      <c r="AX7" s="184">
        <f>IFERROR(Inv_SY_B!AX7/Inv_SY_B!$CA7-1,"")</f>
        <v>0.14626406037322237</v>
      </c>
      <c r="AY7" s="184">
        <f>IFERROR(Inv_SY_B!AY7/Inv_SY_B!$CA7-1,"")</f>
        <v>9.9575372804872275E-2</v>
      </c>
      <c r="AZ7" s="184">
        <f>IFERROR(Inv_SY_B!AZ7/Inv_SY_B!$CA7-1,"")</f>
        <v>0.17949370317790714</v>
      </c>
      <c r="BA7" s="184">
        <f>IFERROR(Inv_SY_B!BA7/Inv_SY_B!$CA7-1,"")</f>
        <v>0.10919383665273941</v>
      </c>
      <c r="BB7" s="184">
        <f>IFERROR(Inv_SY_B!BB7/Inv_SY_B!$CA7-1,"")</f>
        <v>0.13138309457872377</v>
      </c>
      <c r="BC7" s="184">
        <f>IFERROR(Inv_SY_B!BC7/Inv_SY_B!$CA7-1,"")</f>
        <v>0.12613505667731451</v>
      </c>
      <c r="BD7" s="184">
        <f>IFERROR(Inv_SY_B!BD7/Inv_SY_B!$CA7-1,"")</f>
        <v>0.14822531309618281</v>
      </c>
      <c r="BE7" s="184">
        <f>IFERROR(Inv_SY_B!BE7/Inv_SY_B!$CA7-1,"")</f>
        <v>0.13075489325963163</v>
      </c>
      <c r="BF7" s="184">
        <f>IFERROR(Inv_SY_B!BF7/Inv_SY_B!$CA7-1,"")</f>
        <v>6.9405339308636016E-2</v>
      </c>
      <c r="BG7" s="184">
        <f>IFERROR(Inv_SY_B!BG7/Inv_SY_B!$CA7-1,"")</f>
        <v>0.12656791047345028</v>
      </c>
      <c r="BH7" s="184">
        <f>IFERROR(Inv_SY_B!BH7/Inv_SY_B!$CA7-1,"")</f>
        <v>0.11615050575308827</v>
      </c>
      <c r="BI7" s="184">
        <f>IFERROR(Inv_SY_B!BI7/Inv_SY_B!$CA7-1,"")</f>
        <v>0.15032074060147549</v>
      </c>
      <c r="BJ7" s="184">
        <f>IFERROR(Inv_SY_B!BJ7/Inv_SY_B!$CA7-1,"")</f>
        <v>0.11361794499421718</v>
      </c>
      <c r="BK7" s="184">
        <f>IFERROR(Inv_SY_B!BK7/Inv_SY_B!$CA7-1,"")</f>
        <v>0.13021956801771428</v>
      </c>
      <c r="BL7" s="184">
        <f>IFERROR(Inv_SY_B!BL7/Inv_SY_B!$CA7-1,"")</f>
        <v>0.15144975364198965</v>
      </c>
      <c r="BM7" s="184">
        <f>IFERROR(Inv_SY_B!BM7/Inv_SY_B!$CA7-1,"")</f>
        <v>0.16966924767063807</v>
      </c>
      <c r="BN7" s="184">
        <f>IFERROR(Inv_SY_B!BN7/Inv_SY_B!$CA7-1,"")</f>
        <v>0.15409821600229812</v>
      </c>
      <c r="BO7" s="184">
        <f>IFERROR(Inv_SY_B!BO7/Inv_SY_B!$CA7-1,"")</f>
        <v>6.4843558122138933E-2</v>
      </c>
      <c r="BP7" s="184">
        <f>IFERROR(Inv_SY_B!BP7/Inv_SY_B!$CA7-1,"")</f>
        <v>0.13615858140349935</v>
      </c>
      <c r="BQ7" s="184">
        <f>IFERROR(Inv_SY_B!BQ7/Inv_SY_B!$CA7-1,"")</f>
        <v>-0.47583520432735038</v>
      </c>
      <c r="BR7" s="184">
        <f>IFERROR(Inv_SY_B!BR7/Inv_SY_B!$CA7-1,"")</f>
        <v>-0.84720756395364871</v>
      </c>
      <c r="BS7" s="184">
        <f>IFERROR(Inv_SY_B!BS7/Inv_SY_B!$CA7-1,"")</f>
        <v>9.4853693154111518E-2</v>
      </c>
      <c r="BT7" s="184">
        <f>IFERROR(Inv_SY_B!BT7/Inv_SY_B!$CA7-1,"")</f>
        <v>-0.46374188833045504</v>
      </c>
      <c r="BU7" s="184">
        <f>IFERROR(Inv_SY_B!BU7/Inv_SY_B!$CA7-1,"")</f>
        <v>-0.82239251667498459</v>
      </c>
      <c r="BV7" s="184">
        <f>IFERROR(Inv_SY_B!BV7/Inv_SY_B!$CA7-1,"")</f>
        <v>5.1013675543996717E-2</v>
      </c>
      <c r="BW7" s="184">
        <f>IFERROR(Inv_SY_B!BW7/Inv_SY_B!$CA7-1,"")</f>
        <v>-0.26018540708128834</v>
      </c>
      <c r="BX7" s="184">
        <f>IFERROR(Inv_SY_B!BX7/Inv_SY_B!$CA7-1,"")</f>
        <v>0.14168514691499157</v>
      </c>
    </row>
    <row r="8" spans="1:76">
      <c r="A8"/>
      <c r="B8" s="179">
        <f t="shared" si="1"/>
        <v>45832</v>
      </c>
      <c r="C8" s="184">
        <f>IFERROR(Inv_SY_B!C8/Inv_SY_B!$BY8-1,"")</f>
        <v>-4.0492203810901684E-2</v>
      </c>
      <c r="D8" s="184">
        <f>IFERROR(Inv_SY_B!D8/Inv_SY_B!$BY8-1,"")</f>
        <v>-2.6642745318321004E-2</v>
      </c>
      <c r="E8" s="184">
        <f>IFERROR(Inv_SY_B!E8/Inv_SY_B!$BY8-1,"")</f>
        <v>-3.9938681045490809E-2</v>
      </c>
      <c r="F8" s="184">
        <f>IFERROR(Inv_SY_B!F8/Inv_SY_B!$BY8-1,"")</f>
        <v>-6.9526088074639336E-2</v>
      </c>
      <c r="G8" s="184">
        <f>IFERROR(Inv_SY_B!G8/Inv_SY_B!$BY8-1,"")</f>
        <v>-7.1929914391847261E-2</v>
      </c>
      <c r="H8" s="184">
        <f>IFERROR(Inv_SY_B!H8/Inv_SY_B!$BY8-1,"")</f>
        <v>-7.7951872143152467E-2</v>
      </c>
      <c r="I8" s="184">
        <f>IFERROR(Inv_SY_B!I8/Inv_SY_B!$BY8-1,"")</f>
        <v>-4.9523683891097847E-2</v>
      </c>
      <c r="J8" s="184">
        <f>IFERROR(Inv_SY_B!J8/Inv_SY_B!$BY8-1,"")</f>
        <v>-4.5815990155633535E-2</v>
      </c>
      <c r="K8" s="184">
        <f>IFERROR(Inv_SY_B!K8/Inv_SY_B!$BY8-1,"")</f>
        <v>-3.2297210667737719E-2</v>
      </c>
      <c r="L8" s="184">
        <f>IFERROR(Inv_SY_B!L8/Inv_SY_B!$BY8-1,"")</f>
        <v>-3.1791869363744119E-2</v>
      </c>
      <c r="M8" s="184">
        <f>IFERROR(Inv_SY_B!M8/Inv_SY_B!$BY8-1,"")</f>
        <v>1.1485816921120051E-2</v>
      </c>
      <c r="N8" s="184">
        <f>IFERROR(Inv_SY_B!N8/Inv_SY_B!$BY8-1,"")</f>
        <v>-1.6705197730901289E-2</v>
      </c>
      <c r="O8" s="184">
        <f>IFERROR(Inv_SY_B!O8/Inv_SY_B!$BY8-1,"")</f>
        <v>5.1299642173655791E-2</v>
      </c>
      <c r="P8" s="184">
        <f>IFERROR(Inv_SY_B!P8/Inv_SY_B!$BY8-1,"")</f>
        <v>-1.8266455685200689E-2</v>
      </c>
      <c r="Q8" s="184">
        <f>IFERROR(Inv_SY_B!Q8/Inv_SY_B!$BY8-1,"")</f>
        <v>-1.8419908841809995E-2</v>
      </c>
      <c r="R8" s="184">
        <f>IFERROR(Inv_SY_B!R8/Inv_SY_B!$BY8-1,"")</f>
        <v>-1.6963680615538879E-2</v>
      </c>
      <c r="S8" s="184">
        <f>IFERROR(Inv_SY_B!S8/Inv_SY_B!$BY8-1,"")</f>
        <v>3.2320767168827258E-2</v>
      </c>
      <c r="T8" s="184">
        <f>IFERROR(Inv_SY_B!T8/Inv_SY_B!$BY8-1,"")</f>
        <v>5.7947885935195842E-2</v>
      </c>
      <c r="U8" s="184">
        <f>IFERROR(Inv_SY_B!U8/Inv_SY_B!$BY8-1,"")</f>
        <v>2.4035188500357574E-2</v>
      </c>
      <c r="V8" s="184">
        <f>IFERROR(Inv_SY_B!V8/Inv_SY_B!$BY8-1,"")</f>
        <v>3.3322190750696201E-2</v>
      </c>
      <c r="W8" s="184">
        <f>IFERROR(Inv_SY_B!W8/Inv_SY_B!$BY8-1,"")</f>
        <v>1.3736758868421184E-3</v>
      </c>
      <c r="X8" s="184">
        <f>IFERROR(Inv_SY_B!X8/Inv_SY_B!$BY8-1,"")</f>
        <v>2.2719262959745912E-2</v>
      </c>
      <c r="Y8" s="184">
        <f>IFERROR(Inv_SY_B!Y8/Inv_SY_B!$BY8-1,"")</f>
        <v>6.7309961382648664E-2</v>
      </c>
      <c r="Z8" s="184">
        <f>IFERROR(Inv_SY_B!Z8/Inv_SY_B!$BY8-1,"")</f>
        <v>6.245451834820015E-2</v>
      </c>
      <c r="AA8" s="184">
        <f>IFERROR(Inv_SY_B!AA8/Inv_SY_B!$BY8-1,"")</f>
        <v>5.7330603095447463E-2</v>
      </c>
      <c r="AB8" s="184">
        <f>IFERROR(Inv_SY_B!AB8/Inv_SY_B!$BY8-1,"")</f>
        <v>5.2271241655359901E-2</v>
      </c>
      <c r="AC8" s="184">
        <f>IFERROR(Inv_SY_B!AC8/Inv_SY_B!$BY8-1,"")</f>
        <v>4.6958376572191485E-2</v>
      </c>
      <c r="AD8" s="184">
        <f>IFERROR(Inv_SY_B!AD8/Inv_SY_B!$BY8-1,"")</f>
        <v>3.5436370385726557E-2</v>
      </c>
      <c r="AE8" s="184">
        <f>IFERROR(Inv_SY_B!AE8/Inv_SY_B!$BZ8-1,"")</f>
        <v>3.1642685879609944E-2</v>
      </c>
      <c r="AF8" s="184">
        <f>IFERROR(Inv_SY_B!AF8/Inv_SY_B!$BZ8-1,"")</f>
        <v>1.699083397431389E-2</v>
      </c>
      <c r="AG8" s="184">
        <f>IFERROR(Inv_SY_B!AG8/Inv_SY_B!$BZ8-1,"")</f>
        <v>1.2512791713673144E-2</v>
      </c>
      <c r="AH8" s="184">
        <f>IFERROR(Inv_SY_B!AH8/Inv_SY_B!$BZ8-1,"")</f>
        <v>6.7821670007224277E-3</v>
      </c>
      <c r="AI8" s="184">
        <f>IFERROR(Inv_SY_B!AI8/Inv_SY_B!$BZ8-1,"")</f>
        <v>1.1939563109192974E-2</v>
      </c>
      <c r="AJ8" s="184">
        <f>IFERROR(Inv_SY_B!AJ8/Inv_SY_B!$BZ8-1,"")</f>
        <v>1.4301521868830047E-2</v>
      </c>
      <c r="AK8" s="184">
        <f>IFERROR(Inv_SY_B!AK8/Inv_SY_B!$BZ8-1,"")</f>
        <v>5.672101771224014E-3</v>
      </c>
      <c r="AL8" s="184">
        <f>IFERROR(Inv_SY_B!AL8/Inv_SY_B!$BZ8-1,"")</f>
        <v>1.2592681332400879E-2</v>
      </c>
      <c r="AM8" s="184">
        <f>IFERROR(Inv_SY_B!AM8/Inv_SY_B!$BZ8-1,"")</f>
        <v>-2.3694507369806495E-2</v>
      </c>
      <c r="AN8" s="184">
        <f>IFERROR(Inv_SY_B!AN8/Inv_SY_B!$BZ8-1,"")</f>
        <v>-1.9684070406000176E-2</v>
      </c>
      <c r="AO8" s="184">
        <f>IFERROR(Inv_SY_B!AO8/Inv_SY_B!$BZ8-1,"")</f>
        <v>-2.7469036276918546E-2</v>
      </c>
      <c r="AP8" s="184">
        <f>IFERROR(Inv_SY_B!AP8/Inv_SY_B!$BZ8-1,"")</f>
        <v>-2.0037932491041799E-2</v>
      </c>
      <c r="AQ8" s="184">
        <f>IFERROR(Inv_SY_B!AQ8/Inv_SY_B!$BZ8-1,"")</f>
        <v>-2.8541607563691618E-2</v>
      </c>
      <c r="AR8" s="184">
        <f>IFERROR(Inv_SY_B!AR8/Inv_SY_B!$BZ8-1,"")</f>
        <v>-2.4284277511542718E-2</v>
      </c>
      <c r="AS8" s="184">
        <f>IFERROR(Inv_SY_B!AS8/Inv_SY_B!$BZ8-1,"")</f>
        <v>4.5436870165249665E-3</v>
      </c>
      <c r="AT8" s="184">
        <f>IFERROR(Inv_SY_B!AT8/Inv_SY_B!$BZ8-1,"")</f>
        <v>1.1697726474543924E-2</v>
      </c>
      <c r="AU8" s="184">
        <f>IFERROR(Inv_SY_B!AU8/Inv_SY_B!$BZ8-1,"")</f>
        <v>9.2839239502158222E-3</v>
      </c>
      <c r="AV8" s="184">
        <f>IFERROR(Inv_SY_B!AV8/Inv_SY_B!$BZ8-1,"")</f>
        <v>5.7517475277473196E-3</v>
      </c>
      <c r="AW8" s="184">
        <f>IFERROR(Inv_SY_B!AW8/Inv_SY_B!$CA8-1,"")</f>
        <v>8.1520871823530516E-2</v>
      </c>
      <c r="AX8" s="184">
        <f>IFERROR(Inv_SY_B!AX8/Inv_SY_B!$CA8-1,"")</f>
        <v>9.1329924270924234E-2</v>
      </c>
      <c r="AY8" s="184">
        <f>IFERROR(Inv_SY_B!AY8/Inv_SY_B!$CA8-1,"")</f>
        <v>3.3136772282311266E-2</v>
      </c>
      <c r="AZ8" s="184">
        <f>IFERROR(Inv_SY_B!AZ8/Inv_SY_B!$CA8-1,"")</f>
        <v>0.108639095389369</v>
      </c>
      <c r="BA8" s="184">
        <f>IFERROR(Inv_SY_B!BA8/Inv_SY_B!$CA8-1,"")</f>
        <v>4.8091424136029959E-2</v>
      </c>
      <c r="BB8" s="184">
        <f>IFERROR(Inv_SY_B!BB8/Inv_SY_B!$CA8-1,"")</f>
        <v>7.434423540334345E-2</v>
      </c>
      <c r="BC8" s="184">
        <f>IFERROR(Inv_SY_B!BC8/Inv_SY_B!$CA8-1,"")</f>
        <v>7.2508197891667736E-2</v>
      </c>
      <c r="BD8" s="184">
        <f>IFERROR(Inv_SY_B!BD8/Inv_SY_B!$CA8-1,"")</f>
        <v>9.601110306490046E-2</v>
      </c>
      <c r="BE8" s="184">
        <f>IFERROR(Inv_SY_B!BE8/Inv_SY_B!$CA8-1,"")</f>
        <v>5.6884462155926574E-2</v>
      </c>
      <c r="BF8" s="184">
        <f>IFERROR(Inv_SY_B!BF8/Inv_SY_B!$CA8-1,"")</f>
        <v>-6.60852005286372E-3</v>
      </c>
      <c r="BG8" s="184">
        <f>IFERROR(Inv_SY_B!BG8/Inv_SY_B!$CA8-1,"")</f>
        <v>5.1811266518244414E-2</v>
      </c>
      <c r="BH8" s="184">
        <f>IFERROR(Inv_SY_B!BH8/Inv_SY_B!$CA8-1,"")</f>
        <v>4.2117153462776669E-2</v>
      </c>
      <c r="BI8" s="184">
        <f>IFERROR(Inv_SY_B!BI8/Inv_SY_B!$CA8-1,"")</f>
        <v>7.0735120433495391E-2</v>
      </c>
      <c r="BJ8" s="184">
        <f>IFERROR(Inv_SY_B!BJ8/Inv_SY_B!$CA8-1,"")</f>
        <v>3.572293811107663E-2</v>
      </c>
      <c r="BK8" s="184">
        <f>IFERROR(Inv_SY_B!BK8/Inv_SY_B!$CA8-1,"")</f>
        <v>5.5440134892139614E-2</v>
      </c>
      <c r="BL8" s="184">
        <f>IFERROR(Inv_SY_B!BL8/Inv_SY_B!$CA8-1,"")</f>
        <v>7.4921207334595286E-2</v>
      </c>
      <c r="BM8" s="184">
        <f>IFERROR(Inv_SY_B!BM8/Inv_SY_B!$CA8-1,"")</f>
        <v>0.11587069716703691</v>
      </c>
      <c r="BN8" s="184">
        <f>IFERROR(Inv_SY_B!BN8/Inv_SY_B!$CA8-1,"")</f>
        <v>9.9852015263707683E-2</v>
      </c>
      <c r="BO8" s="184">
        <f>IFERROR(Inv_SY_B!BO8/Inv_SY_B!$CA8-1,"")</f>
        <v>1.1273014619336275E-2</v>
      </c>
      <c r="BP8" s="184">
        <f>IFERROR(Inv_SY_B!BP8/Inv_SY_B!$CA8-1,"")</f>
        <v>8.1657525330505409E-2</v>
      </c>
      <c r="BQ8" s="184">
        <f>IFERROR(Inv_SY_B!BQ8/Inv_SY_B!$CA8-1,"")</f>
        <v>-0.50067273713082616</v>
      </c>
      <c r="BR8" s="184">
        <f>IFERROR(Inv_SY_B!BR8/Inv_SY_B!$CA8-1,"")</f>
        <v>-0.87955408416071967</v>
      </c>
      <c r="BS8" s="184">
        <f>IFERROR(Inv_SY_B!BS8/Inv_SY_B!$CA8-1,"")</f>
        <v>5.1497734925329386E-2</v>
      </c>
      <c r="BT8" s="184">
        <f>IFERROR(Inv_SY_B!BT8/Inv_SY_B!$CA8-1,"")</f>
        <v>-0.42649418456148169</v>
      </c>
      <c r="BU8" s="184">
        <f>IFERROR(Inv_SY_B!BU8/Inv_SY_B!$CA8-1,"")</f>
        <v>-0.85784389081357104</v>
      </c>
      <c r="BV8" s="184">
        <f>IFERROR(Inv_SY_B!BV8/Inv_SY_B!$CA8-1,"")</f>
        <v>-0.18121466735086134</v>
      </c>
      <c r="BW8" s="184">
        <f>IFERROR(Inv_SY_B!BW8/Inv_SY_B!$CA8-1,"")</f>
        <v>-0.31438663981671877</v>
      </c>
      <c r="BX8" s="184">
        <f>IFERROR(Inv_SY_B!BX8/Inv_SY_B!$CA8-1,"")</f>
        <v>7.6011854436504489E-2</v>
      </c>
    </row>
    <row r="9" spans="1:76">
      <c r="A9"/>
      <c r="B9" s="179">
        <f t="shared" si="1"/>
        <v>45833</v>
      </c>
      <c r="C9" s="184">
        <f>IFERROR(Inv_SY_B!C9/Inv_SY_B!$BY9-1,"")</f>
        <v>-8.770509058049325E-3</v>
      </c>
      <c r="D9" s="184">
        <f>IFERROR(Inv_SY_B!D9/Inv_SY_B!$BY9-1,"")</f>
        <v>-1.1122761768051381E-2</v>
      </c>
      <c r="E9" s="184">
        <f>IFERROR(Inv_SY_B!E9/Inv_SY_B!$BY9-1,"")</f>
        <v>-1.8898607678264567E-2</v>
      </c>
      <c r="F9" s="184">
        <f>IFERROR(Inv_SY_B!F9/Inv_SY_B!$BY9-1,"")</f>
        <v>-9.5418613048688927E-3</v>
      </c>
      <c r="G9" s="184">
        <f>IFERROR(Inv_SY_B!G9/Inv_SY_B!$BY9-1,"")</f>
        <v>-7.2005988532720666E-3</v>
      </c>
      <c r="H9" s="184">
        <f>IFERROR(Inv_SY_B!H9/Inv_SY_B!$BY9-1,"")</f>
        <v>-1.5773029911298142E-2</v>
      </c>
      <c r="I9" s="184">
        <f>IFERROR(Inv_SY_B!I9/Inv_SY_B!$BY9-1,"")</f>
        <v>4.8970805869197331E-3</v>
      </c>
      <c r="J9" s="184">
        <f>IFERROR(Inv_SY_B!J9/Inv_SY_B!$BY9-1,"")</f>
        <v>-3.5859335440669993E-3</v>
      </c>
      <c r="K9" s="184">
        <f>IFERROR(Inv_SY_B!K9/Inv_SY_B!$BY9-1,"")</f>
        <v>-1.0082813614649577E-2</v>
      </c>
      <c r="L9" s="184">
        <f>IFERROR(Inv_SY_B!L9/Inv_SY_B!$BY9-1,"")</f>
        <v>9.370231177951327E-3</v>
      </c>
      <c r="M9" s="184">
        <f>IFERROR(Inv_SY_B!M9/Inv_SY_B!$BY9-1,"")</f>
        <v>4.01364878322783E-2</v>
      </c>
      <c r="N9" s="184">
        <f>IFERROR(Inv_SY_B!N9/Inv_SY_B!$BY9-1,"")</f>
        <v>-1.0562881995413997E-3</v>
      </c>
      <c r="O9" s="184">
        <f>IFERROR(Inv_SY_B!O9/Inv_SY_B!$BY9-1,"")</f>
        <v>6.562877944240797E-2</v>
      </c>
      <c r="P9" s="184">
        <f>IFERROR(Inv_SY_B!P9/Inv_SY_B!$BY9-1,"")</f>
        <v>-1.0506289366666977E-2</v>
      </c>
      <c r="Q9" s="184">
        <f>IFERROR(Inv_SY_B!Q9/Inv_SY_B!$BY9-1,"")</f>
        <v>-5.3776545795991559E-4</v>
      </c>
      <c r="R9" s="184">
        <f>IFERROR(Inv_SY_B!R9/Inv_SY_B!$BY9-1,"")</f>
        <v>-7.5364239376191078E-3</v>
      </c>
      <c r="S9" s="184">
        <f>IFERROR(Inv_SY_B!S9/Inv_SY_B!$BY9-1,"")</f>
        <v>-6.3213253968933403E-3</v>
      </c>
      <c r="T9" s="184">
        <f>IFERROR(Inv_SY_B!T9/Inv_SY_B!$BY9-1,"")</f>
        <v>8.0370525024444639E-3</v>
      </c>
      <c r="U9" s="184">
        <f>IFERROR(Inv_SY_B!U9/Inv_SY_B!$BY9-1,"")</f>
        <v>-2.5080585155599078E-3</v>
      </c>
      <c r="V9" s="184">
        <f>IFERROR(Inv_SY_B!V9/Inv_SY_B!$BY9-1,"")</f>
        <v>1.5963058663033269E-3</v>
      </c>
      <c r="W9" s="184">
        <f>IFERROR(Inv_SY_B!W9/Inv_SY_B!$BY9-1,"")</f>
        <v>-8.9287943047643425E-3</v>
      </c>
      <c r="X9" s="184">
        <f>IFERROR(Inv_SY_B!X9/Inv_SY_B!$BY9-1,"")</f>
        <v>-2.4721272163401142E-2</v>
      </c>
      <c r="Y9" s="184">
        <f>IFERROR(Inv_SY_B!Y9/Inv_SY_B!$BY9-1,"")</f>
        <v>1.3183494458023137E-2</v>
      </c>
      <c r="Z9" s="184">
        <f>IFERROR(Inv_SY_B!Z9/Inv_SY_B!$BY9-1,"")</f>
        <v>1.3989307676910423E-2</v>
      </c>
      <c r="AA9" s="184">
        <f>IFERROR(Inv_SY_B!AA9/Inv_SY_B!$BY9-1,"")</f>
        <v>2.5209019763148266E-3</v>
      </c>
      <c r="AB9" s="184">
        <f>IFERROR(Inv_SY_B!AB9/Inv_SY_B!$BY9-1,"")</f>
        <v>-4.5924325259932841E-3</v>
      </c>
      <c r="AC9" s="184">
        <f>IFERROR(Inv_SY_B!AC9/Inv_SY_B!$BY9-1,"")</f>
        <v>8.4553127017361618E-4</v>
      </c>
      <c r="AD9" s="184">
        <f>IFERROR(Inv_SY_B!AD9/Inv_SY_B!$BY9-1,"")</f>
        <v>-8.520407188808754E-3</v>
      </c>
      <c r="AE9" s="184">
        <f>IFERROR(Inv_SY_B!AE9/Inv_SY_B!$BZ9-1,"")</f>
        <v>1.9097486264648245E-2</v>
      </c>
      <c r="AF9" s="184">
        <f>IFERROR(Inv_SY_B!AF9/Inv_SY_B!$BZ9-1,"")</f>
        <v>1.0383645275906739E-2</v>
      </c>
      <c r="AG9" s="184">
        <f>IFERROR(Inv_SY_B!AG9/Inv_SY_B!$BZ9-1,"")</f>
        <v>1.4706983286346453E-2</v>
      </c>
      <c r="AH9" s="184">
        <f>IFERROR(Inv_SY_B!AH9/Inv_SY_B!$BZ9-1,"")</f>
        <v>1.0766635830795401E-2</v>
      </c>
      <c r="AI9" s="184">
        <f>IFERROR(Inv_SY_B!AI9/Inv_SY_B!$BZ9-1,"")</f>
        <v>6.4426135574457977E-3</v>
      </c>
      <c r="AJ9" s="184">
        <f>IFERROR(Inv_SY_B!AJ9/Inv_SY_B!$BZ9-1,"")</f>
        <v>8.8403762033861799E-3</v>
      </c>
      <c r="AK9" s="184">
        <f>IFERROR(Inv_SY_B!AK9/Inv_SY_B!$BZ9-1,"")</f>
        <v>-5.1122331020011513E-3</v>
      </c>
      <c r="AL9" s="184">
        <f>IFERROR(Inv_SY_B!AL9/Inv_SY_B!$BZ9-1,"")</f>
        <v>-5.4306416514524725E-2</v>
      </c>
      <c r="AM9" s="184">
        <f>IFERROR(Inv_SY_B!AM9/Inv_SY_B!$BZ9-1,"")</f>
        <v>4.8774909161530822E-4</v>
      </c>
      <c r="AN9" s="184">
        <f>IFERROR(Inv_SY_B!AN9/Inv_SY_B!$BZ9-1,"")</f>
        <v>3.3804722457768666E-3</v>
      </c>
      <c r="AO9" s="184">
        <f>IFERROR(Inv_SY_B!AO9/Inv_SY_B!$BZ9-1,"")</f>
        <v>-9.0795539216981247E-5</v>
      </c>
      <c r="AP9" s="184">
        <f>IFERROR(Inv_SY_B!AP9/Inv_SY_B!$BZ9-1,"")</f>
        <v>9.2974059701984579E-3</v>
      </c>
      <c r="AQ9" s="184">
        <f>IFERROR(Inv_SY_B!AQ9/Inv_SY_B!$BZ9-1,"")</f>
        <v>-2.0801599959543449E-3</v>
      </c>
      <c r="AR9" s="184">
        <f>IFERROR(Inv_SY_B!AR9/Inv_SY_B!$BZ9-1,"")</f>
        <v>8.3293816082496974E-4</v>
      </c>
      <c r="AS9" s="184">
        <f>IFERROR(Inv_SY_B!AS9/Inv_SY_B!$BZ9-1,"")</f>
        <v>-7.2594894648937425E-3</v>
      </c>
      <c r="AT9" s="184">
        <f>IFERROR(Inv_SY_B!AT9/Inv_SY_B!$BZ9-1,"")</f>
        <v>-1.8812871574414025E-3</v>
      </c>
      <c r="AU9" s="184">
        <f>IFERROR(Inv_SY_B!AU9/Inv_SY_B!$BZ9-1,"")</f>
        <v>-2.9369552597878767E-3</v>
      </c>
      <c r="AV9" s="184">
        <f>IFERROR(Inv_SY_B!AV9/Inv_SY_B!$BZ9-1,"")</f>
        <v>-1.0568968853124638E-2</v>
      </c>
      <c r="AW9" s="184">
        <f>IFERROR(Inv_SY_B!AW9/Inv_SY_B!$CA9-1,"")</f>
        <v>0.10116752275022534</v>
      </c>
      <c r="AX9" s="184">
        <f>IFERROR(Inv_SY_B!AX9/Inv_SY_B!$CA9-1,"")</f>
        <v>0.10476454209718811</v>
      </c>
      <c r="AY9" s="184">
        <f>IFERROR(Inv_SY_B!AY9/Inv_SY_B!$CA9-1,"")</f>
        <v>4.6521514932846841E-2</v>
      </c>
      <c r="AZ9" s="184">
        <f>IFERROR(Inv_SY_B!AZ9/Inv_SY_B!$CA9-1,"")</f>
        <v>0.12779887675337709</v>
      </c>
      <c r="BA9" s="184">
        <f>IFERROR(Inv_SY_B!BA9/Inv_SY_B!$CA9-1,"")</f>
        <v>7.1234987175498699E-2</v>
      </c>
      <c r="BB9" s="184">
        <f>IFERROR(Inv_SY_B!BB9/Inv_SY_B!$CA9-1,"")</f>
        <v>0.10528220145512424</v>
      </c>
      <c r="BC9" s="184">
        <f>IFERROR(Inv_SY_B!BC9/Inv_SY_B!$CA9-1,"")</f>
        <v>0.1047112797001577</v>
      </c>
      <c r="BD9" s="184">
        <f>IFERROR(Inv_SY_B!BD9/Inv_SY_B!$CA9-1,"")</f>
        <v>0.12822893964136139</v>
      </c>
      <c r="BE9" s="184">
        <f>IFERROR(Inv_SY_B!BE9/Inv_SY_B!$CA9-1,"")</f>
        <v>0.12373034098482161</v>
      </c>
      <c r="BF9" s="184">
        <f>IFERROR(Inv_SY_B!BF9/Inv_SY_B!$CA9-1,"")</f>
        <v>6.4157488829198028E-2</v>
      </c>
      <c r="BG9" s="184">
        <f>IFERROR(Inv_SY_B!BG9/Inv_SY_B!$CA9-1,"")</f>
        <v>0.1243665701419101</v>
      </c>
      <c r="BH9" s="184">
        <f>IFERROR(Inv_SY_B!BH9/Inv_SY_B!$CA9-1,"")</f>
        <v>0.11567619174146571</v>
      </c>
      <c r="BI9" s="184">
        <f>IFERROR(Inv_SY_B!BI9/Inv_SY_B!$CA9-1,"")</f>
        <v>8.7332062109529263E-2</v>
      </c>
      <c r="BJ9" s="184">
        <f>IFERROR(Inv_SY_B!BJ9/Inv_SY_B!$CA9-1,"")</f>
        <v>0.10940598071816887</v>
      </c>
      <c r="BK9" s="184">
        <f>IFERROR(Inv_SY_B!BK9/Inv_SY_B!$CA9-1,"")</f>
        <v>0.12531028636612551</v>
      </c>
      <c r="BL9" s="184">
        <f>IFERROR(Inv_SY_B!BL9/Inv_SY_B!$CA9-1,"")</f>
        <v>0.14357829760512586</v>
      </c>
      <c r="BM9" s="184">
        <f>IFERROR(Inv_SY_B!BM9/Inv_SY_B!$CA9-1,"")</f>
        <v>0.1851168723293628</v>
      </c>
      <c r="BN9" s="184">
        <f>IFERROR(Inv_SY_B!BN9/Inv_SY_B!$CA9-1,"")</f>
        <v>0.17098716367310041</v>
      </c>
      <c r="BO9" s="184">
        <f>IFERROR(Inv_SY_B!BO9/Inv_SY_B!$CA9-1,"")</f>
        <v>7.1598048610342246E-2</v>
      </c>
      <c r="BP9" s="184">
        <f>IFERROR(Inv_SY_B!BP9/Inv_SY_B!$CA9-1,"")</f>
        <v>0.14699954039094454</v>
      </c>
      <c r="BQ9" s="184">
        <f>IFERROR(Inv_SY_B!BQ9/Inv_SY_B!$CA9-1,"")</f>
        <v>-0.42895736583467758</v>
      </c>
      <c r="BR9" s="184">
        <f>IFERROR(Inv_SY_B!BR9/Inv_SY_B!$CA9-1,"")</f>
        <v>-0.83987908727545568</v>
      </c>
      <c r="BS9" s="184">
        <f>IFERROR(Inv_SY_B!BS9/Inv_SY_B!$CA9-1,"")</f>
        <v>0.14641316684280437</v>
      </c>
      <c r="BT9" s="184">
        <f>IFERROR(Inv_SY_B!BT9/Inv_SY_B!$CA9-1,"")</f>
        <v>-0.36064050987041041</v>
      </c>
      <c r="BU9" s="184">
        <f>IFERROR(Inv_SY_B!BU9/Inv_SY_B!$CA9-1,"")</f>
        <v>-0.81297784362457626</v>
      </c>
      <c r="BV9" s="184">
        <f>IFERROR(Inv_SY_B!BV9/Inv_SY_B!$CA9-1,"")</f>
        <v>0.1066473179094749</v>
      </c>
      <c r="BW9" s="184">
        <f>IFERROR(Inv_SY_B!BW9/Inv_SY_B!$CA9-1,"")</f>
        <v>-0.23589981848852082</v>
      </c>
      <c r="BX9" s="184">
        <f>IFERROR(Inv_SY_B!BX9/Inv_SY_B!$CA9-1,"")</f>
        <v>0.16732543233547981</v>
      </c>
    </row>
    <row r="10" spans="1:76">
      <c r="A10"/>
      <c r="B10" s="179">
        <f t="shared" si="1"/>
        <v>45834</v>
      </c>
      <c r="C10" s="184">
        <f>IFERROR(Inv_SY_B!C10/Inv_SY_B!$BY10-1,"")</f>
        <v>-5.3430243879706296E-3</v>
      </c>
      <c r="D10" s="184">
        <f>IFERROR(Inv_SY_B!D10/Inv_SY_B!$BY10-1,"")</f>
        <v>-5.9836575965991345E-3</v>
      </c>
      <c r="E10" s="184">
        <f>IFERROR(Inv_SY_B!E10/Inv_SY_B!$BY10-1,"")</f>
        <v>-1.8281221545550008E-2</v>
      </c>
      <c r="F10" s="184">
        <f>IFERROR(Inv_SY_B!F10/Inv_SY_B!$BY10-1,"")</f>
        <v>-2.4506327763541447E-2</v>
      </c>
      <c r="G10" s="184">
        <f>IFERROR(Inv_SY_B!G10/Inv_SY_B!$BY10-1,"")</f>
        <v>-1.6844076938119179E-2</v>
      </c>
      <c r="H10" s="184">
        <f>IFERROR(Inv_SY_B!H10/Inv_SY_B!$BY10-1,"")</f>
        <v>-1.9500989081577602E-2</v>
      </c>
      <c r="I10" s="184">
        <f>IFERROR(Inv_SY_B!I10/Inv_SY_B!$BY10-1,"")</f>
        <v>-5.5207535750844139E-3</v>
      </c>
      <c r="J10" s="184">
        <f>IFERROR(Inv_SY_B!J10/Inv_SY_B!$BY10-1,"")</f>
        <v>3.0495444199374333E-3</v>
      </c>
      <c r="K10" s="184">
        <f>IFERROR(Inv_SY_B!K10/Inv_SY_B!$BY10-1,"")</f>
        <v>-1.6605881097114139E-2</v>
      </c>
      <c r="L10" s="184">
        <f>IFERROR(Inv_SY_B!L10/Inv_SY_B!$BY10-1,"")</f>
        <v>-4.154497725981865E-3</v>
      </c>
      <c r="M10" s="184">
        <f>IFERROR(Inv_SY_B!M10/Inv_SY_B!$BY10-1,"")</f>
        <v>2.2186085290200497E-2</v>
      </c>
      <c r="N10" s="184">
        <f>IFERROR(Inv_SY_B!N10/Inv_SY_B!$BY10-1,"")</f>
        <v>-1.512843785163831E-2</v>
      </c>
      <c r="O10" s="184">
        <f>IFERROR(Inv_SY_B!O10/Inv_SY_B!$BY10-1,"")</f>
        <v>5.6679185956688638E-2</v>
      </c>
      <c r="P10" s="184">
        <f>IFERROR(Inv_SY_B!P10/Inv_SY_B!$BY10-1,"")</f>
        <v>-2.7717951550150777E-2</v>
      </c>
      <c r="Q10" s="184">
        <f>IFERROR(Inv_SY_B!Q10/Inv_SY_B!$BY10-1,"")</f>
        <v>-7.4000387742338969E-3</v>
      </c>
      <c r="R10" s="184">
        <f>IFERROR(Inv_SY_B!R10/Inv_SY_B!$BY10-1,"")</f>
        <v>-1.046460360525181E-2</v>
      </c>
      <c r="S10" s="184">
        <f>IFERROR(Inv_SY_B!S10/Inv_SY_B!$BY10-1,"")</f>
        <v>1.2898185494832903E-2</v>
      </c>
      <c r="T10" s="184">
        <f>IFERROR(Inv_SY_B!T10/Inv_SY_B!$BY10-1,"")</f>
        <v>2.7611589105271062E-2</v>
      </c>
      <c r="U10" s="184">
        <f>IFERROR(Inv_SY_B!U10/Inv_SY_B!$BY10-1,"")</f>
        <v>2.6855795874875632E-2</v>
      </c>
      <c r="V10" s="184">
        <f>IFERROR(Inv_SY_B!V10/Inv_SY_B!$BY10-1,"")</f>
        <v>3.3417893495819806E-2</v>
      </c>
      <c r="W10" s="184">
        <f>IFERROR(Inv_SY_B!W10/Inv_SY_B!$BY10-1,"")</f>
        <v>-5.072369362194562E-2</v>
      </c>
      <c r="X10" s="184">
        <f>IFERROR(Inv_SY_B!X10/Inv_SY_B!$BY10-1,"")</f>
        <v>-3.4095367954065425E-2</v>
      </c>
      <c r="Y10" s="184">
        <f>IFERROR(Inv_SY_B!Y10/Inv_SY_B!$BY10-1,"")</f>
        <v>1.5931426022981254E-2</v>
      </c>
      <c r="Z10" s="184">
        <f>IFERROR(Inv_SY_B!Z10/Inv_SY_B!$BY10-1,"")</f>
        <v>2.0722407784763863E-2</v>
      </c>
      <c r="AA10" s="184">
        <f>IFERROR(Inv_SY_B!AA10/Inv_SY_B!$BY10-1,"")</f>
        <v>1.3735617036207515E-2</v>
      </c>
      <c r="AB10" s="184">
        <f>IFERROR(Inv_SY_B!AB10/Inv_SY_B!$BY10-1,"")</f>
        <v>8.4826349588498218E-3</v>
      </c>
      <c r="AC10" s="184">
        <f>IFERROR(Inv_SY_B!AC10/Inv_SY_B!$BY10-1,"")</f>
        <v>1.90331763296403E-2</v>
      </c>
      <c r="AD10" s="184">
        <f>IFERROR(Inv_SY_B!AD10/Inv_SY_B!$BY10-1,"")</f>
        <v>1.6669812987517574E-3</v>
      </c>
      <c r="AE10" s="184">
        <f>IFERROR(Inv_SY_B!AE10/Inv_SY_B!$BZ10-1,"")</f>
        <v>1.8046297237836795E-2</v>
      </c>
      <c r="AF10" s="184">
        <f>IFERROR(Inv_SY_B!AF10/Inv_SY_B!$BZ10-1,"")</f>
        <v>1.0074733545553993E-2</v>
      </c>
      <c r="AG10" s="184">
        <f>IFERROR(Inv_SY_B!AG10/Inv_SY_B!$BZ10-1,"")</f>
        <v>1.2507564266350135E-2</v>
      </c>
      <c r="AH10" s="184">
        <f>IFERROR(Inv_SY_B!AH10/Inv_SY_B!$BZ10-1,"")</f>
        <v>1.295116770786664E-2</v>
      </c>
      <c r="AI10" s="184">
        <f>IFERROR(Inv_SY_B!AI10/Inv_SY_B!$BZ10-1,"")</f>
        <v>9.3955667844991542E-3</v>
      </c>
      <c r="AJ10" s="184">
        <f>IFERROR(Inv_SY_B!AJ10/Inv_SY_B!$BZ10-1,"")</f>
        <v>1.530395569530496E-2</v>
      </c>
      <c r="AK10" s="184">
        <f>IFERROR(Inv_SY_B!AK10/Inv_SY_B!$BZ10-1,"")</f>
        <v>4.7969347962844022E-3</v>
      </c>
      <c r="AL10" s="184">
        <f>IFERROR(Inv_SY_B!AL10/Inv_SY_B!$BZ10-1,"")</f>
        <v>-3.7173410176435939E-2</v>
      </c>
      <c r="AM10" s="184">
        <f>IFERROR(Inv_SY_B!AM10/Inv_SY_B!$BZ10-1,"")</f>
        <v>-1.9775589083589784E-2</v>
      </c>
      <c r="AN10" s="184">
        <f>IFERROR(Inv_SY_B!AN10/Inv_SY_B!$BZ10-1,"")</f>
        <v>-1.0722829274868673E-2</v>
      </c>
      <c r="AO10" s="184">
        <f>IFERROR(Inv_SY_B!AO10/Inv_SY_B!$BZ10-1,"")</f>
        <v>-3.2565243929631893E-2</v>
      </c>
      <c r="AP10" s="184">
        <f>IFERROR(Inv_SY_B!AP10/Inv_SY_B!$BZ10-1,"")</f>
        <v>-2.0933500221914536E-2</v>
      </c>
      <c r="AQ10" s="184">
        <f>IFERROR(Inv_SY_B!AQ10/Inv_SY_B!$BZ10-1,"")</f>
        <v>-2.7614480754059034E-2</v>
      </c>
      <c r="AR10" s="184">
        <f>IFERROR(Inv_SY_B!AR10/Inv_SY_B!$BZ10-1,"")</f>
        <v>-1.827196667717168E-2</v>
      </c>
      <c r="AS10" s="184">
        <f>IFERROR(Inv_SY_B!AS10/Inv_SY_B!$BZ10-1,"")</f>
        <v>6.1990478456193099E-3</v>
      </c>
      <c r="AT10" s="184">
        <f>IFERROR(Inv_SY_B!AT10/Inv_SY_B!$BZ10-1,"")</f>
        <v>2.1828395789446287E-2</v>
      </c>
      <c r="AU10" s="184">
        <f>IFERROR(Inv_SY_B!AU10/Inv_SY_B!$BZ10-1,"")</f>
        <v>2.6480015413776981E-2</v>
      </c>
      <c r="AV10" s="184">
        <f>IFERROR(Inv_SY_B!AV10/Inv_SY_B!$BZ10-1,"")</f>
        <v>2.9473341035132439E-2</v>
      </c>
      <c r="AW10" s="184">
        <f>IFERROR(Inv_SY_B!AW10/Inv_SY_B!$CA10-1,"")</f>
        <v>0.17372216347843561</v>
      </c>
      <c r="AX10" s="184">
        <f>IFERROR(Inv_SY_B!AX10/Inv_SY_B!$CA10-1,"")</f>
        <v>0.19348680558469589</v>
      </c>
      <c r="AY10" s="184">
        <f>IFERROR(Inv_SY_B!AY10/Inv_SY_B!$CA10-1,"")</f>
        <v>0.13234232370465482</v>
      </c>
      <c r="AZ10" s="184">
        <f>IFERROR(Inv_SY_B!AZ10/Inv_SY_B!$CA10-1,"")</f>
        <v>0.20726517422798163</v>
      </c>
      <c r="BA10" s="184">
        <f>IFERROR(Inv_SY_B!BA10/Inv_SY_B!$CA10-1,"")</f>
        <v>0.14373032532279395</v>
      </c>
      <c r="BB10" s="184">
        <f>IFERROR(Inv_SY_B!BB10/Inv_SY_B!$CA10-1,"")</f>
        <v>0.1701265647107546</v>
      </c>
      <c r="BC10" s="184">
        <f>IFERROR(Inv_SY_B!BC10/Inv_SY_B!$CA10-1,"")</f>
        <v>0.16327227414271772</v>
      </c>
      <c r="BD10" s="184">
        <f>IFERROR(Inv_SY_B!BD10/Inv_SY_B!$CA10-1,"")</f>
        <v>0.18713532262536958</v>
      </c>
      <c r="BE10" s="184">
        <f>IFERROR(Inv_SY_B!BE10/Inv_SY_B!$CA10-1,"")</f>
        <v>0.11892259923422022</v>
      </c>
      <c r="BF10" s="184">
        <f>IFERROR(Inv_SY_B!BF10/Inv_SY_B!$CA10-1,"")</f>
        <v>4.0483801209429959E-2</v>
      </c>
      <c r="BG10" s="184">
        <f>IFERROR(Inv_SY_B!BG10/Inv_SY_B!$CA10-1,"")</f>
        <v>9.9517311049610813E-2</v>
      </c>
      <c r="BH10" s="184">
        <f>IFERROR(Inv_SY_B!BH10/Inv_SY_B!$CA10-1,"")</f>
        <v>6.9103169168104328E-2</v>
      </c>
      <c r="BI10" s="184">
        <f>IFERROR(Inv_SY_B!BI10/Inv_SY_B!$CA10-1,"")</f>
        <v>0.13129814024631226</v>
      </c>
      <c r="BJ10" s="184">
        <f>IFERROR(Inv_SY_B!BJ10/Inv_SY_B!$CA10-1,"")</f>
        <v>8.6312214355689809E-2</v>
      </c>
      <c r="BK10" s="184">
        <f>IFERROR(Inv_SY_B!BK10/Inv_SY_B!$CA10-1,"")</f>
        <v>0.10888770692073568</v>
      </c>
      <c r="BL10" s="184">
        <f>IFERROR(Inv_SY_B!BL10/Inv_SY_B!$CA10-1,"")</f>
        <v>0.13585472601007953</v>
      </c>
      <c r="BM10" s="184">
        <f>IFERROR(Inv_SY_B!BM10/Inv_SY_B!$CA10-1,"")</f>
        <v>0.16078807893062663</v>
      </c>
      <c r="BN10" s="184">
        <f>IFERROR(Inv_SY_B!BN10/Inv_SY_B!$CA10-1,"")</f>
        <v>0.15268393896270682</v>
      </c>
      <c r="BO10" s="184">
        <f>IFERROR(Inv_SY_B!BO10/Inv_SY_B!$CA10-1,"")</f>
        <v>6.7857523153909804E-2</v>
      </c>
      <c r="BP10" s="184">
        <f>IFERROR(Inv_SY_B!BP10/Inv_SY_B!$CA10-1,"")</f>
        <v>0.13166376123019785</v>
      </c>
      <c r="BQ10" s="184">
        <f>IFERROR(Inv_SY_B!BQ10/Inv_SY_B!$CA10-1,"")</f>
        <v>-0.91242676870349559</v>
      </c>
      <c r="BR10" s="184">
        <f>IFERROR(Inv_SY_B!BR10/Inv_SY_B!$CA10-1,"")</f>
        <v>-1</v>
      </c>
      <c r="BS10" s="184">
        <f>IFERROR(Inv_SY_B!BS10/Inv_SY_B!$CA10-1,"")</f>
        <v>-0.52436538546388833</v>
      </c>
      <c r="BT10" s="184">
        <f>IFERROR(Inv_SY_B!BT10/Inv_SY_B!$CA10-1,"")</f>
        <v>-0.74577704012229495</v>
      </c>
      <c r="BU10" s="184">
        <f>IFERROR(Inv_SY_B!BU10/Inv_SY_B!$CA10-1,"")</f>
        <v>-0.87335506172855371</v>
      </c>
      <c r="BV10" s="184">
        <f>IFERROR(Inv_SY_B!BV10/Inv_SY_B!$CA10-1,"")</f>
        <v>-0.30223170413526401</v>
      </c>
      <c r="BW10" s="184">
        <f>IFERROR(Inv_SY_B!BW10/Inv_SY_B!$CA10-1,"")</f>
        <v>-0.31978318428515684</v>
      </c>
      <c r="BX10" s="184">
        <f>IFERROR(Inv_SY_B!BX10/Inv_SY_B!$CA10-1,"")</f>
        <v>9.1058451466125456E-2</v>
      </c>
    </row>
    <row r="11" spans="1:76">
      <c r="A11"/>
      <c r="B11" s="179">
        <f t="shared" si="1"/>
        <v>45835</v>
      </c>
      <c r="C11" s="184">
        <f>IFERROR(Inv_SY_B!C11/Inv_SY_B!$BY11-1,"")</f>
        <v>-8.7587934196742268E-4</v>
      </c>
      <c r="D11" s="184">
        <f>IFERROR(Inv_SY_B!D11/Inv_SY_B!$BY11-1,"")</f>
        <v>-3.9246036540735441E-3</v>
      </c>
      <c r="E11" s="184">
        <f>IFERROR(Inv_SY_B!E11/Inv_SY_B!$BY11-1,"")</f>
        <v>-1.1681133282779532E-2</v>
      </c>
      <c r="F11" s="184">
        <f>IFERROR(Inv_SY_B!F11/Inv_SY_B!$BY11-1,"")</f>
        <v>-2.3241988867671148E-2</v>
      </c>
      <c r="G11" s="184">
        <f>IFERROR(Inv_SY_B!G11/Inv_SY_B!$BY11-1,"")</f>
        <v>-2.1752789784184046E-2</v>
      </c>
      <c r="H11" s="184">
        <f>IFERROR(Inv_SY_B!H11/Inv_SY_B!$BY11-1,"")</f>
        <v>-2.6943510350125988E-2</v>
      </c>
      <c r="I11" s="184">
        <f>IFERROR(Inv_SY_B!I11/Inv_SY_B!$BY11-1,"")</f>
        <v>-2.4007334909703637E-3</v>
      </c>
      <c r="J11" s="184">
        <f>IFERROR(Inv_SY_B!J11/Inv_SY_B!$BY11-1,"")</f>
        <v>-8.4035936928467114E-3</v>
      </c>
      <c r="K11" s="184">
        <f>IFERROR(Inv_SY_B!K11/Inv_SY_B!$BY11-1,"")</f>
        <v>6.1531923679452039E-3</v>
      </c>
      <c r="L11" s="184">
        <f>IFERROR(Inv_SY_B!L11/Inv_SY_B!$BY11-1,"")</f>
        <v>4.4196828757436801E-3</v>
      </c>
      <c r="M11" s="184">
        <f>IFERROR(Inv_SY_B!M11/Inv_SY_B!$BY11-1,"")</f>
        <v>3.4108507199051008E-2</v>
      </c>
      <c r="N11" s="184">
        <f>IFERROR(Inv_SY_B!N11/Inv_SY_B!$BY11-1,"")</f>
        <v>-3.4206292523404347E-3</v>
      </c>
      <c r="O11" s="184">
        <f>IFERROR(Inv_SY_B!O11/Inv_SY_B!$BY11-1,"")</f>
        <v>7.9236790112739097E-2</v>
      </c>
      <c r="P11" s="184">
        <f>IFERROR(Inv_SY_B!P11/Inv_SY_B!$BY11-1,"")</f>
        <v>-7.9991190973492943E-3</v>
      </c>
      <c r="Q11" s="184">
        <f>IFERROR(Inv_SY_B!Q11/Inv_SY_B!$BY11-1,"")</f>
        <v>3.9844154987398461E-3</v>
      </c>
      <c r="R11" s="184">
        <f>IFERROR(Inv_SY_B!R11/Inv_SY_B!$BY11-1,"")</f>
        <v>7.1691079864126817E-3</v>
      </c>
      <c r="S11" s="184">
        <f>IFERROR(Inv_SY_B!S11/Inv_SY_B!$BY11-1,"")</f>
        <v>-1.5656265827233895E-2</v>
      </c>
      <c r="T11" s="184">
        <f>IFERROR(Inv_SY_B!T11/Inv_SY_B!$BY11-1,"")</f>
        <v>-1.577604251354725E-2</v>
      </c>
      <c r="U11" s="184">
        <f>IFERROR(Inv_SY_B!U11/Inv_SY_B!$BY11-1,"")</f>
        <v>2.0435544361661062E-3</v>
      </c>
      <c r="V11" s="184">
        <f>IFERROR(Inv_SY_B!V11/Inv_SY_B!$BY11-1,"")</f>
        <v>5.9948443043589261E-3</v>
      </c>
      <c r="W11" s="184">
        <f>IFERROR(Inv_SY_B!W11/Inv_SY_B!$BY11-1,"")</f>
        <v>-1.6498444198417617E-2</v>
      </c>
      <c r="X11" s="184">
        <f>IFERROR(Inv_SY_B!X11/Inv_SY_B!$BY11-1,"")</f>
        <v>-1.8753495537516263E-2</v>
      </c>
      <c r="Y11" s="184">
        <f>IFERROR(Inv_SY_B!Y11/Inv_SY_B!$BY11-1,"")</f>
        <v>3.6142462932724495E-3</v>
      </c>
      <c r="Z11" s="184">
        <f>IFERROR(Inv_SY_B!Z11/Inv_SY_B!$BY11-1,"")</f>
        <v>2.2354446257716321E-2</v>
      </c>
      <c r="AA11" s="184">
        <f>IFERROR(Inv_SY_B!AA11/Inv_SY_B!$BY11-1,"")</f>
        <v>6.6819847098185114E-3</v>
      </c>
      <c r="AB11" s="184">
        <f>IFERROR(Inv_SY_B!AB11/Inv_SY_B!$BY11-1,"")</f>
        <v>-8.0314734631469209E-3</v>
      </c>
      <c r="AC11" s="184">
        <f>IFERROR(Inv_SY_B!AC11/Inv_SY_B!$BY11-1,"")</f>
        <v>1.284165410898197E-2</v>
      </c>
      <c r="AD11" s="184">
        <f>IFERROR(Inv_SY_B!AD11/Inv_SY_B!$BY11-1,"")</f>
        <v>-3.2427237967677103E-3</v>
      </c>
      <c r="AE11" s="184">
        <f>IFERROR(Inv_SY_B!AE11/Inv_SY_B!$BZ11-1,"")</f>
        <v>1.0204433270728286E-2</v>
      </c>
      <c r="AF11" s="184">
        <f>IFERROR(Inv_SY_B!AF11/Inv_SY_B!$BZ11-1,"")</f>
        <v>4.9335976025548511E-3</v>
      </c>
      <c r="AG11" s="184">
        <f>IFERROR(Inv_SY_B!AG11/Inv_SY_B!$BZ11-1,"")</f>
        <v>1.5002586862360445E-3</v>
      </c>
      <c r="AH11" s="184">
        <f>IFERROR(Inv_SY_B!AH11/Inv_SY_B!$BZ11-1,"")</f>
        <v>-7.0065116582528342E-3</v>
      </c>
      <c r="AI11" s="184">
        <f>IFERROR(Inv_SY_B!AI11/Inv_SY_B!$BZ11-1,"")</f>
        <v>3.7563856426170439E-3</v>
      </c>
      <c r="AJ11" s="184">
        <f>IFERROR(Inv_SY_B!AJ11/Inv_SY_B!$BZ11-1,"")</f>
        <v>4.0770710380364505E-3</v>
      </c>
      <c r="AK11" s="184">
        <f>IFERROR(Inv_SY_B!AK11/Inv_SY_B!$BZ11-1,"")</f>
        <v>-3.5157532142546799E-3</v>
      </c>
      <c r="AL11" s="184">
        <f>IFERROR(Inv_SY_B!AL11/Inv_SY_B!$BZ11-1,"")</f>
        <v>-3.2909709585103863E-2</v>
      </c>
      <c r="AM11" s="184">
        <f>IFERROR(Inv_SY_B!AM11/Inv_SY_B!$BZ11-1,"")</f>
        <v>5.4555942608582875E-3</v>
      </c>
      <c r="AN11" s="184">
        <f>IFERROR(Inv_SY_B!AN11/Inv_SY_B!$BZ11-1,"")</f>
        <v>1.3455350754267847E-2</v>
      </c>
      <c r="AO11" s="184">
        <f>IFERROR(Inv_SY_B!AO11/Inv_SY_B!$BZ11-1,"")</f>
        <v>-4.2596089540680726E-3</v>
      </c>
      <c r="AP11" s="184">
        <f>IFERROR(Inv_SY_B!AP11/Inv_SY_B!$BZ11-1,"")</f>
        <v>-4.3445320590936864E-3</v>
      </c>
      <c r="AQ11" s="184">
        <f>IFERROR(Inv_SY_B!AQ11/Inv_SY_B!$BZ11-1,"")</f>
        <v>-5.2046410460084847E-3</v>
      </c>
      <c r="AR11" s="184">
        <f>IFERROR(Inv_SY_B!AR11/Inv_SY_B!$BZ11-1,"")</f>
        <v>4.2495073840109754E-3</v>
      </c>
      <c r="AS11" s="184">
        <f>IFERROR(Inv_SY_B!AS11/Inv_SY_B!$BZ11-1,"")</f>
        <v>-1.0431946039334838E-2</v>
      </c>
      <c r="AT11" s="184">
        <f>IFERROR(Inv_SY_B!AT11/Inv_SY_B!$BZ11-1,"")</f>
        <v>-7.6633226594247095E-4</v>
      </c>
      <c r="AU11" s="184">
        <f>IFERROR(Inv_SY_B!AU11/Inv_SY_B!$BZ11-1,"")</f>
        <v>1.8015799405247002E-2</v>
      </c>
      <c r="AV11" s="184">
        <f>IFERROR(Inv_SY_B!AV11/Inv_SY_B!$BZ11-1,"")</f>
        <v>2.791036777503253E-3</v>
      </c>
      <c r="AW11" s="184">
        <f>IFERROR(Inv_SY_B!AW11/Inv_SY_B!$CA11-1,"")</f>
        <v>1.1031397669176046E-2</v>
      </c>
      <c r="AX11" s="184">
        <f>IFERROR(Inv_SY_B!AX11/Inv_SY_B!$CA11-1,"")</f>
        <v>3.4895279412327618E-2</v>
      </c>
      <c r="AY11" s="184">
        <f>IFERROR(Inv_SY_B!AY11/Inv_SY_B!$CA11-1,"")</f>
        <v>6.3658599739687238E-2</v>
      </c>
      <c r="AZ11" s="184">
        <f>IFERROR(Inv_SY_B!AZ11/Inv_SY_B!$CA11-1,"")</f>
        <v>0.13795615586356891</v>
      </c>
      <c r="BA11" s="184">
        <f>IFERROR(Inv_SY_B!BA11/Inv_SY_B!$CA11-1,"")</f>
        <v>7.8642192816466672E-2</v>
      </c>
      <c r="BB11" s="184">
        <f>IFERROR(Inv_SY_B!BB11/Inv_SY_B!$CA11-1,"")</f>
        <v>0.10539617845850935</v>
      </c>
      <c r="BC11" s="184">
        <f>IFERROR(Inv_SY_B!BC11/Inv_SY_B!$CA11-1,"")</f>
        <v>0.10926894890945249</v>
      </c>
      <c r="BD11" s="184">
        <f>IFERROR(Inv_SY_B!BD11/Inv_SY_B!$CA11-1,"")</f>
        <v>0.12721441502412745</v>
      </c>
      <c r="BE11" s="184">
        <f>IFERROR(Inv_SY_B!BE11/Inv_SY_B!$CA11-1,"")</f>
        <v>0.14052349237041839</v>
      </c>
      <c r="BF11" s="184">
        <f>IFERROR(Inv_SY_B!BF11/Inv_SY_B!$CA11-1,"")</f>
        <v>8.3114977335227547E-2</v>
      </c>
      <c r="BG11" s="184">
        <f>IFERROR(Inv_SY_B!BG11/Inv_SY_B!$CA11-1,"")</f>
        <v>0.12938364693559246</v>
      </c>
      <c r="BH11" s="184">
        <f>IFERROR(Inv_SY_B!BH11/Inv_SY_B!$CA11-1,"")</f>
        <v>0.11091548435948551</v>
      </c>
      <c r="BI11" s="184">
        <f>IFERROR(Inv_SY_B!BI11/Inv_SY_B!$CA11-1,"")</f>
        <v>0.14288611039527077</v>
      </c>
      <c r="BJ11" s="184">
        <f>IFERROR(Inv_SY_B!BJ11/Inv_SY_B!$CA11-1,"")</f>
        <v>0.12566839180802702</v>
      </c>
      <c r="BK11" s="184">
        <f>IFERROR(Inv_SY_B!BK11/Inv_SY_B!$CA11-1,"")</f>
        <v>0.12762768702263538</v>
      </c>
      <c r="BL11" s="184">
        <f>IFERROR(Inv_SY_B!BL11/Inv_SY_B!$CA11-1,"")</f>
        <v>0.14074430780560587</v>
      </c>
      <c r="BM11" s="184">
        <f>IFERROR(Inv_SY_B!BM11/Inv_SY_B!$CA11-1,"")</f>
        <v>0.18459114386862585</v>
      </c>
      <c r="BN11" s="184">
        <f>IFERROR(Inv_SY_B!BN11/Inv_SY_B!$CA11-1,"")</f>
        <v>0.14417483935008146</v>
      </c>
      <c r="BO11" s="184">
        <f>IFERROR(Inv_SY_B!BO11/Inv_SY_B!$CA11-1,"")</f>
        <v>8.2585173783245036E-2</v>
      </c>
      <c r="BP11" s="184">
        <f>IFERROR(Inv_SY_B!BP11/Inv_SY_B!$CA11-1,"")</f>
        <v>0.15019016678614894</v>
      </c>
      <c r="BQ11" s="184">
        <f>IFERROR(Inv_SY_B!BQ11/Inv_SY_B!$CA11-1,"")</f>
        <v>-0.26468361171875587</v>
      </c>
      <c r="BR11" s="184">
        <f>IFERROR(Inv_SY_B!BR11/Inv_SY_B!$CA11-1,"")</f>
        <v>-0.86247279085535333</v>
      </c>
      <c r="BS11" s="184">
        <f>IFERROR(Inv_SY_B!BS11/Inv_SY_B!$CA11-1,"")</f>
        <v>8.4700561572502497E-2</v>
      </c>
      <c r="BT11" s="184">
        <f>IFERROR(Inv_SY_B!BT11/Inv_SY_B!$CA11-1,"")</f>
        <v>-0.29020386340444138</v>
      </c>
      <c r="BU11" s="184">
        <f>IFERROR(Inv_SY_B!BU11/Inv_SY_B!$CA11-1,"")</f>
        <v>-0.81206405414669847</v>
      </c>
      <c r="BV11" s="184">
        <f>IFERROR(Inv_SY_B!BV11/Inv_SY_B!$CA11-1,"")</f>
        <v>0.13351219759819544</v>
      </c>
      <c r="BW11" s="184">
        <f>IFERROR(Inv_SY_B!BW11/Inv_SY_B!$CA11-1,"")</f>
        <v>-0.28449886147753545</v>
      </c>
      <c r="BX11" s="184">
        <f>IFERROR(Inv_SY_B!BX11/Inv_SY_B!$CA11-1,"")</f>
        <v>6.5241832718403447E-2</v>
      </c>
    </row>
    <row r="12" spans="1:76">
      <c r="A12"/>
      <c r="B12" s="179">
        <f t="shared" si="1"/>
        <v>45836</v>
      </c>
      <c r="C12" s="184">
        <f>IFERROR(Inv_SY_B!C12/Inv_SY_B!$BY12-1,"")</f>
        <v>-4.4455691776138506E-3</v>
      </c>
      <c r="D12" s="184">
        <f>IFERROR(Inv_SY_B!D12/Inv_SY_B!$BY12-1,"")</f>
        <v>7.780188853432346E-4</v>
      </c>
      <c r="E12" s="184">
        <f>IFERROR(Inv_SY_B!E12/Inv_SY_B!$BY12-1,"")</f>
        <v>-1.4772702023132522E-3</v>
      </c>
      <c r="F12" s="184">
        <f>IFERROR(Inv_SY_B!F12/Inv_SY_B!$BY12-1,"")</f>
        <v>-2.6362422824859455E-2</v>
      </c>
      <c r="G12" s="184">
        <f>IFERROR(Inv_SY_B!G12/Inv_SY_B!$BY12-1,"")</f>
        <v>-2.5304706482094486E-2</v>
      </c>
      <c r="H12" s="184">
        <f>IFERROR(Inv_SY_B!H12/Inv_SY_B!$BY12-1,"")</f>
        <v>-2.4139871939778623E-2</v>
      </c>
      <c r="I12" s="184">
        <f>IFERROR(Inv_SY_B!I12/Inv_SY_B!$BY12-1,"")</f>
        <v>1.7649452871610904E-3</v>
      </c>
      <c r="J12" s="184">
        <f>IFERROR(Inv_SY_B!J12/Inv_SY_B!$BY12-1,"")</f>
        <v>-9.8091989684749858E-3</v>
      </c>
      <c r="K12" s="184">
        <f>IFERROR(Inv_SY_B!K12/Inv_SY_B!$BY12-1,"")</f>
        <v>-1.5516500640858077E-2</v>
      </c>
      <c r="L12" s="184">
        <f>IFERROR(Inv_SY_B!L12/Inv_SY_B!$BY12-1,"")</f>
        <v>-1.5745189553376671E-3</v>
      </c>
      <c r="M12" s="184">
        <f>IFERROR(Inv_SY_B!M12/Inv_SY_B!$BY12-1,"")</f>
        <v>3.3784817410381418E-2</v>
      </c>
      <c r="N12" s="184">
        <f>IFERROR(Inv_SY_B!N12/Inv_SY_B!$BY12-1,"")</f>
        <v>2.1545326916962981E-3</v>
      </c>
      <c r="O12" s="184">
        <f>IFERROR(Inv_SY_B!O12/Inv_SY_B!$BY12-1,"")</f>
        <v>6.6203601017693403E-2</v>
      </c>
      <c r="P12" s="184">
        <f>IFERROR(Inv_SY_B!P12/Inv_SY_B!$BY12-1,"")</f>
        <v>-1.5026479590586561E-2</v>
      </c>
      <c r="Q12" s="184">
        <f>IFERROR(Inv_SY_B!Q12/Inv_SY_B!$BY12-1,"")</f>
        <v>-1.6008286797376536E-3</v>
      </c>
      <c r="R12" s="184">
        <f>IFERROR(Inv_SY_B!R12/Inv_SY_B!$BY12-1,"")</f>
        <v>8.2989334321870167E-4</v>
      </c>
      <c r="S12" s="184">
        <f>IFERROR(Inv_SY_B!S12/Inv_SY_B!$BY12-1,"")</f>
        <v>7.141683082071637E-3</v>
      </c>
      <c r="T12" s="184">
        <f>IFERROR(Inv_SY_B!T12/Inv_SY_B!$BY12-1,"")</f>
        <v>-1.0594494451473757E-2</v>
      </c>
      <c r="U12" s="184">
        <f>IFERROR(Inv_SY_B!U12/Inv_SY_B!$BY12-1,"")</f>
        <v>3.5173101815668684E-3</v>
      </c>
      <c r="V12" s="184">
        <f>IFERROR(Inv_SY_B!V12/Inv_SY_B!$BY12-1,"")</f>
        <v>8.7354729442101764E-3</v>
      </c>
      <c r="W12" s="184">
        <f>IFERROR(Inv_SY_B!W12/Inv_SY_B!$BY12-1,"")</f>
        <v>-1.7898843497965111E-2</v>
      </c>
      <c r="X12" s="184">
        <f>IFERROR(Inv_SY_B!X12/Inv_SY_B!$BY12-1,"")</f>
        <v>-6.221740716255697E-4</v>
      </c>
      <c r="Y12" s="184">
        <f>IFERROR(Inv_SY_B!Y12/Inv_SY_B!$BY12-1,"")</f>
        <v>7.7263509182206036E-3</v>
      </c>
      <c r="Z12" s="184">
        <f>IFERROR(Inv_SY_B!Z12/Inv_SY_B!$BY12-1,"")</f>
        <v>4.6649512081005096E-3</v>
      </c>
      <c r="AA12" s="184">
        <f>IFERROR(Inv_SY_B!AA12/Inv_SY_B!$BY12-1,"")</f>
        <v>1.637370363240942E-2</v>
      </c>
      <c r="AB12" s="184">
        <f>IFERROR(Inv_SY_B!AB12/Inv_SY_B!$BY12-1,"")</f>
        <v>1.3730805278568292E-2</v>
      </c>
      <c r="AC12" s="184">
        <f>IFERROR(Inv_SY_B!AC12/Inv_SY_B!$BY12-1,"")</f>
        <v>2.4665188630679236E-3</v>
      </c>
      <c r="AD12" s="184">
        <f>IFERROR(Inv_SY_B!AD12/Inv_SY_B!$BY12-1,"")</f>
        <v>-1.5499725260983532E-2</v>
      </c>
      <c r="AE12" s="184">
        <f>IFERROR(Inv_SY_B!AE12/Inv_SY_B!$BZ12-1,"")</f>
        <v>3.7810004723627388E-2</v>
      </c>
      <c r="AF12" s="184">
        <f>IFERROR(Inv_SY_B!AF12/Inv_SY_B!$BZ12-1,"")</f>
        <v>1.9696008903770768E-2</v>
      </c>
      <c r="AG12" s="184">
        <f>IFERROR(Inv_SY_B!AG12/Inv_SY_B!$BZ12-1,"")</f>
        <v>9.8361731401517272E-3</v>
      </c>
      <c r="AH12" s="184">
        <f>IFERROR(Inv_SY_B!AH12/Inv_SY_B!$BZ12-1,"")</f>
        <v>7.3590070614626413E-3</v>
      </c>
      <c r="AI12" s="184">
        <f>IFERROR(Inv_SY_B!AI12/Inv_SY_B!$BZ12-1,"")</f>
        <v>8.3717041218893673E-3</v>
      </c>
      <c r="AJ12" s="184">
        <f>IFERROR(Inv_SY_B!AJ12/Inv_SY_B!$BZ12-1,"")</f>
        <v>-3.0282253380929935E-3</v>
      </c>
      <c r="AK12" s="184">
        <f>IFERROR(Inv_SY_B!AK12/Inv_SY_B!$BZ12-1,"")</f>
        <v>-3.7887449500024761E-3</v>
      </c>
      <c r="AL12" s="184">
        <f>IFERROR(Inv_SY_B!AL12/Inv_SY_B!$BZ12-1,"")</f>
        <v>-3.5532199958900779E-2</v>
      </c>
      <c r="AM12" s="184">
        <f>IFERROR(Inv_SY_B!AM12/Inv_SY_B!$BZ12-1,"")</f>
        <v>-9.0228212680419917E-3</v>
      </c>
      <c r="AN12" s="184">
        <f>IFERROR(Inv_SY_B!AN12/Inv_SY_B!$BZ12-1,"")</f>
        <v>-8.5793670024580937E-4</v>
      </c>
      <c r="AO12" s="184">
        <f>IFERROR(Inv_SY_B!AO12/Inv_SY_B!$BZ12-1,"")</f>
        <v>-1.5722213733925905E-2</v>
      </c>
      <c r="AP12" s="184">
        <f>IFERROR(Inv_SY_B!AP12/Inv_SY_B!$BZ12-1,"")</f>
        <v>-4.6453773272654431E-3</v>
      </c>
      <c r="AQ12" s="184">
        <f>IFERROR(Inv_SY_B!AQ12/Inv_SY_B!$BZ12-1,"")</f>
        <v>-1.4626225554170369E-2</v>
      </c>
      <c r="AR12" s="184">
        <f>IFERROR(Inv_SY_B!AR12/Inv_SY_B!$BZ12-1,"")</f>
        <v>-1.1318725504256943E-2</v>
      </c>
      <c r="AS12" s="184">
        <f>IFERROR(Inv_SY_B!AS12/Inv_SY_B!$BZ12-1,"")</f>
        <v>-1.1312978532624918E-3</v>
      </c>
      <c r="AT12" s="184">
        <f>IFERROR(Inv_SY_B!AT12/Inv_SY_B!$BZ12-1,"")</f>
        <v>-4.4847306257181918E-3</v>
      </c>
      <c r="AU12" s="184">
        <f>IFERROR(Inv_SY_B!AU12/Inv_SY_B!$BZ12-1,"")</f>
        <v>2.0837387874362179E-2</v>
      </c>
      <c r="AV12" s="184">
        <f>IFERROR(Inv_SY_B!AV12/Inv_SY_B!$BZ12-1,"")</f>
        <v>2.4821298861721353E-4</v>
      </c>
      <c r="AW12" s="184">
        <f>IFERROR(Inv_SY_B!AW12/Inv_SY_B!$CA12-1,"")</f>
        <v>2.9706628743170871E-2</v>
      </c>
      <c r="AX12" s="184">
        <f>IFERROR(Inv_SY_B!AX12/Inv_SY_B!$CA12-1,"")</f>
        <v>5.3757317397124638E-2</v>
      </c>
      <c r="AY12" s="184">
        <f>IFERROR(Inv_SY_B!AY12/Inv_SY_B!$CA12-1,"")</f>
        <v>0.10407924573649252</v>
      </c>
      <c r="AZ12" s="184">
        <f>IFERROR(Inv_SY_B!AZ12/Inv_SY_B!$CA12-1,"")</f>
        <v>0.17826672553270018</v>
      </c>
      <c r="BA12" s="184">
        <f>IFERROR(Inv_SY_B!BA12/Inv_SY_B!$CA12-1,"")</f>
        <v>0.10925816493710183</v>
      </c>
      <c r="BB12" s="184">
        <f>IFERROR(Inv_SY_B!BB12/Inv_SY_B!$CA12-1,"")</f>
        <v>0.12860514143801538</v>
      </c>
      <c r="BC12" s="184">
        <f>IFERROR(Inv_SY_B!BC12/Inv_SY_B!$CA12-1,"")</f>
        <v>0.10723656766696155</v>
      </c>
      <c r="BD12" s="184">
        <f>IFERROR(Inv_SY_B!BD12/Inv_SY_B!$CA12-1,"")</f>
        <v>0.13793508724937942</v>
      </c>
      <c r="BE12" s="184">
        <f>IFERROR(Inv_SY_B!BE12/Inv_SY_B!$CA12-1,"")</f>
        <v>0.16021932318901388</v>
      </c>
      <c r="BF12" s="184">
        <f>IFERROR(Inv_SY_B!BF12/Inv_SY_B!$CA12-1,"")</f>
        <v>0.14414131468953961</v>
      </c>
      <c r="BG12" s="184">
        <f>IFERROR(Inv_SY_B!BG12/Inv_SY_B!$CA12-1,"")</f>
        <v>0.14443222013763002</v>
      </c>
      <c r="BH12" s="184">
        <f>IFERROR(Inv_SY_B!BH12/Inv_SY_B!$CA12-1,"")</f>
        <v>0.12593651966371655</v>
      </c>
      <c r="BI12" s="184">
        <f>IFERROR(Inv_SY_B!BI12/Inv_SY_B!$CA12-1,"")</f>
        <v>0.12834711522988629</v>
      </c>
      <c r="BJ12" s="184">
        <f>IFERROR(Inv_SY_B!BJ12/Inv_SY_B!$CA12-1,"")</f>
        <v>0.11973360888902396</v>
      </c>
      <c r="BK12" s="184">
        <f>IFERROR(Inv_SY_B!BK12/Inv_SY_B!$CA12-1,"")</f>
        <v>0.10349890565075603</v>
      </c>
      <c r="BL12" s="184">
        <f>IFERROR(Inv_SY_B!BL12/Inv_SY_B!$CA12-1,"")</f>
        <v>0.13704363163411792</v>
      </c>
      <c r="BM12" s="184">
        <f>IFERROR(Inv_SY_B!BM12/Inv_SY_B!$CA12-1,"")</f>
        <v>0.16041150691360961</v>
      </c>
      <c r="BN12" s="184">
        <f>IFERROR(Inv_SY_B!BN12/Inv_SY_B!$CA12-1,"")</f>
        <v>0.13691129991827311</v>
      </c>
      <c r="BO12" s="184">
        <f>IFERROR(Inv_SY_B!BO12/Inv_SY_B!$CA12-1,"")</f>
        <v>5.7361606247376073E-2</v>
      </c>
      <c r="BP12" s="184">
        <f>IFERROR(Inv_SY_B!BP12/Inv_SY_B!$CA12-1,"")</f>
        <v>0.1207212512514797</v>
      </c>
      <c r="BQ12" s="184">
        <f>IFERROR(Inv_SY_B!BQ12/Inv_SY_B!$CA12-1,"")</f>
        <v>-0.17092331668044813</v>
      </c>
      <c r="BR12" s="184">
        <f>IFERROR(Inv_SY_B!BR12/Inv_SY_B!$CA12-1,"")</f>
        <v>-0.69786761345869885</v>
      </c>
      <c r="BS12" s="184">
        <f>IFERROR(Inv_SY_B!BS12/Inv_SY_B!$CA12-1,"")</f>
        <v>4.7859594404043859E-2</v>
      </c>
      <c r="BT12" s="184">
        <f>IFERROR(Inv_SY_B!BT12/Inv_SY_B!$CA12-1,"")</f>
        <v>-0.239686673152532</v>
      </c>
      <c r="BU12" s="184">
        <f>IFERROR(Inv_SY_B!BU12/Inv_SY_B!$CA12-1,"")</f>
        <v>-0.83106388107772988</v>
      </c>
      <c r="BV12" s="184">
        <f>IFERROR(Inv_SY_B!BV12/Inv_SY_B!$CA12-1,"")</f>
        <v>-0.72412835009054266</v>
      </c>
      <c r="BW12" s="184">
        <f>IFERROR(Inv_SY_B!BW12/Inv_SY_B!$CA12-1,"")</f>
        <v>0.11727261146978929</v>
      </c>
      <c r="BX12" s="184">
        <f>IFERROR(Inv_SY_B!BX12/Inv_SY_B!$CA12-1,"")</f>
        <v>0.11093444647075179</v>
      </c>
    </row>
    <row r="13" spans="1:76">
      <c r="A13"/>
      <c r="B13" s="179">
        <f t="shared" si="1"/>
        <v>45837</v>
      </c>
      <c r="C13" s="184">
        <f>IFERROR(Inv_SY_B!C13/Inv_SY_B!$BY13-1,"")</f>
        <v>-5.4668025264813513E-3</v>
      </c>
      <c r="D13" s="184">
        <f>IFERROR(Inv_SY_B!D13/Inv_SY_B!$BY13-1,"")</f>
        <v>-1.2573282688947196E-2</v>
      </c>
      <c r="E13" s="184">
        <f>IFERROR(Inv_SY_B!E13/Inv_SY_B!$BY13-1,"")</f>
        <v>-2.1724939094206031E-2</v>
      </c>
      <c r="F13" s="184">
        <f>IFERROR(Inv_SY_B!F13/Inv_SY_B!$BY13-1,"")</f>
        <v>-1.0674219962308884E-2</v>
      </c>
      <c r="G13" s="184">
        <f>IFERROR(Inv_SY_B!G13/Inv_SY_B!$BY13-1,"")</f>
        <v>-2.9783178034199498E-3</v>
      </c>
      <c r="H13" s="184">
        <f>IFERROR(Inv_SY_B!H13/Inv_SY_B!$BY13-1,"")</f>
        <v>-9.0293211306518018E-3</v>
      </c>
      <c r="I13" s="184">
        <f>IFERROR(Inv_SY_B!I13/Inv_SY_B!$BY13-1,"")</f>
        <v>4.4122040358718362E-3</v>
      </c>
      <c r="J13" s="184">
        <f>IFERROR(Inv_SY_B!J13/Inv_SY_B!$BY13-1,"")</f>
        <v>1.1593588575724567E-3</v>
      </c>
      <c r="K13" s="184">
        <f>IFERROR(Inv_SY_B!K13/Inv_SY_B!$BY13-1,"")</f>
        <v>-9.5758269051228195E-3</v>
      </c>
      <c r="L13" s="184">
        <f>IFERROR(Inv_SY_B!L13/Inv_SY_B!$BY13-1,"")</f>
        <v>1.02134425370346E-2</v>
      </c>
      <c r="M13" s="184">
        <f>IFERROR(Inv_SY_B!M13/Inv_SY_B!$BY13-1,"")</f>
        <v>3.4463984585091589E-2</v>
      </c>
      <c r="N13" s="184">
        <f>IFERROR(Inv_SY_B!N13/Inv_SY_B!$BY13-1,"")</f>
        <v>-3.5973293428565034E-3</v>
      </c>
      <c r="O13" s="184">
        <f>IFERROR(Inv_SY_B!O13/Inv_SY_B!$BY13-1,"")</f>
        <v>5.8634437611388757E-2</v>
      </c>
      <c r="P13" s="184">
        <f>IFERROR(Inv_SY_B!P13/Inv_SY_B!$BY13-1,"")</f>
        <v>-2.5898386119959427E-2</v>
      </c>
      <c r="Q13" s="184">
        <f>IFERROR(Inv_SY_B!Q13/Inv_SY_B!$BY13-1,"")</f>
        <v>-2.926701396293363E-3</v>
      </c>
      <c r="R13" s="184">
        <f>IFERROR(Inv_SY_B!R13/Inv_SY_B!$BY13-1,"")</f>
        <v>-1.0869026959651529E-2</v>
      </c>
      <c r="S13" s="184">
        <f>IFERROR(Inv_SY_B!S13/Inv_SY_B!$BY13-1,"")</f>
        <v>-8.8695217350746036E-3</v>
      </c>
      <c r="T13" s="184">
        <f>IFERROR(Inv_SY_B!T13/Inv_SY_B!$BY13-1,"")</f>
        <v>1.6398921445670567E-3</v>
      </c>
      <c r="U13" s="184">
        <f>IFERROR(Inv_SY_B!U13/Inv_SY_B!$BY13-1,"")</f>
        <v>2.8064958116869043E-4</v>
      </c>
      <c r="V13" s="184">
        <f>IFERROR(Inv_SY_B!V13/Inv_SY_B!$BY13-1,"")</f>
        <v>4.6947426237360368E-3</v>
      </c>
      <c r="W13" s="184">
        <f>IFERROR(Inv_SY_B!W13/Inv_SY_B!$BY13-1,"")</f>
        <v>-1.0749995527569167E-2</v>
      </c>
      <c r="X13" s="184">
        <f>IFERROR(Inv_SY_B!X13/Inv_SY_B!$BY13-1,"")</f>
        <v>-2.4388963886365689E-2</v>
      </c>
      <c r="Y13" s="184">
        <f>IFERROR(Inv_SY_B!Y13/Inv_SY_B!$BY13-1,"")</f>
        <v>3.8792425572193867E-3</v>
      </c>
      <c r="Z13" s="184">
        <f>IFERROR(Inv_SY_B!Z13/Inv_SY_B!$BY13-1,"")</f>
        <v>2.2669506127092509E-2</v>
      </c>
      <c r="AA13" s="184">
        <f>IFERROR(Inv_SY_B!AA13/Inv_SY_B!$BY13-1,"")</f>
        <v>6.496469655000503E-3</v>
      </c>
      <c r="AB13" s="184">
        <f>IFERROR(Inv_SY_B!AB13/Inv_SY_B!$BY13-1,"")</f>
        <v>-2.9308357499910898E-3</v>
      </c>
      <c r="AC13" s="184">
        <f>IFERROR(Inv_SY_B!AC13/Inv_SY_B!$BY13-1,"")</f>
        <v>1.2070479402350065E-2</v>
      </c>
      <c r="AD13" s="184">
        <f>IFERROR(Inv_SY_B!AD13/Inv_SY_B!$BY13-1,"")</f>
        <v>1.6390611108112463E-3</v>
      </c>
      <c r="AE13" s="184">
        <f>IFERROR(Inv_SY_B!AE13/Inv_SY_B!$BZ13-1,"")</f>
        <v>5.6908797996508831E-3</v>
      </c>
      <c r="AF13" s="184">
        <f>IFERROR(Inv_SY_B!AF13/Inv_SY_B!$BZ13-1,"")</f>
        <v>-1.5738922167688463E-3</v>
      </c>
      <c r="AG13" s="184">
        <f>IFERROR(Inv_SY_B!AG13/Inv_SY_B!$BZ13-1,"")</f>
        <v>1.0578525661479876E-3</v>
      </c>
      <c r="AH13" s="184">
        <f>IFERROR(Inv_SY_B!AH13/Inv_SY_B!$BZ13-1,"")</f>
        <v>-5.5882781891413158E-3</v>
      </c>
      <c r="AI13" s="184">
        <f>IFERROR(Inv_SY_B!AI13/Inv_SY_B!$BZ13-1,"")</f>
        <v>3.547478055097919E-3</v>
      </c>
      <c r="AJ13" s="184">
        <f>IFERROR(Inv_SY_B!AJ13/Inv_SY_B!$BZ13-1,"")</f>
        <v>7.0737597205823288E-3</v>
      </c>
      <c r="AK13" s="184">
        <f>IFERROR(Inv_SY_B!AK13/Inv_SY_B!$BZ13-1,"")</f>
        <v>-3.6242770367299615E-3</v>
      </c>
      <c r="AL13" s="184">
        <f>IFERROR(Inv_SY_B!AL13/Inv_SY_B!$BZ13-1,"")</f>
        <v>-4.0631757171629146E-2</v>
      </c>
      <c r="AM13" s="184">
        <f>IFERROR(Inv_SY_B!AM13/Inv_SY_B!$BZ13-1,"")</f>
        <v>2.300112852304359E-3</v>
      </c>
      <c r="AN13" s="184">
        <f>IFERROR(Inv_SY_B!AN13/Inv_SY_B!$BZ13-1,"")</f>
        <v>8.9270302909079113E-3</v>
      </c>
      <c r="AO13" s="184">
        <f>IFERROR(Inv_SY_B!AO13/Inv_SY_B!$BZ13-1,"")</f>
        <v>-1.0925522376228236E-2</v>
      </c>
      <c r="AP13" s="184">
        <f>IFERROR(Inv_SY_B!AP13/Inv_SY_B!$BZ13-1,"")</f>
        <v>-1.3519890054319972E-2</v>
      </c>
      <c r="AQ13" s="184">
        <f>IFERROR(Inv_SY_B!AQ13/Inv_SY_B!$BZ13-1,"")</f>
        <v>-9.4926088922914209E-3</v>
      </c>
      <c r="AR13" s="184">
        <f>IFERROR(Inv_SY_B!AR13/Inv_SY_B!$BZ13-1,"")</f>
        <v>-7.4891242937358271E-5</v>
      </c>
      <c r="AS13" s="184">
        <f>IFERROR(Inv_SY_B!AS13/Inv_SY_B!$BZ13-1,"")</f>
        <v>-3.1545347465693485E-3</v>
      </c>
      <c r="AT13" s="184">
        <f>IFERROR(Inv_SY_B!AT13/Inv_SY_B!$BZ13-1,"")</f>
        <v>1.5544309949686363E-2</v>
      </c>
      <c r="AU13" s="184">
        <f>IFERROR(Inv_SY_B!AU13/Inv_SY_B!$BZ13-1,"")</f>
        <v>2.4630871341981164E-2</v>
      </c>
      <c r="AV13" s="184">
        <f>IFERROR(Inv_SY_B!AV13/Inv_SY_B!$BZ13-1,"")</f>
        <v>1.981335735025902E-2</v>
      </c>
      <c r="AW13" s="184">
        <f>IFERROR(Inv_SY_B!AW13/Inv_SY_B!$CA13-1,"")</f>
        <v>7.9314701139929111E-2</v>
      </c>
      <c r="AX13" s="184">
        <f>IFERROR(Inv_SY_B!AX13/Inv_SY_B!$CA13-1,"")</f>
        <v>9.1518272299665027E-2</v>
      </c>
      <c r="AY13" s="184">
        <f>IFERROR(Inv_SY_B!AY13/Inv_SY_B!$CA13-1,"")</f>
        <v>3.415585951127964E-2</v>
      </c>
      <c r="AZ13" s="184">
        <f>IFERROR(Inv_SY_B!AZ13/Inv_SY_B!$CA13-1,"")</f>
        <v>9.9769253842500571E-2</v>
      </c>
      <c r="BA13" s="184">
        <f>IFERROR(Inv_SY_B!BA13/Inv_SY_B!$CA13-1,"")</f>
        <v>5.1160541855184594E-2</v>
      </c>
      <c r="BB13" s="184">
        <f>IFERROR(Inv_SY_B!BB13/Inv_SY_B!$CA13-1,"")</f>
        <v>7.6571544176752937E-2</v>
      </c>
      <c r="BC13" s="184">
        <f>IFERROR(Inv_SY_B!BC13/Inv_SY_B!$CA13-1,"")</f>
        <v>7.2465807447952724E-2</v>
      </c>
      <c r="BD13" s="184">
        <f>IFERROR(Inv_SY_B!BD13/Inv_SY_B!$CA13-1,"")</f>
        <v>9.0377334559828215E-2</v>
      </c>
      <c r="BE13" s="184">
        <f>IFERROR(Inv_SY_B!BE13/Inv_SY_B!$CA13-1,"")</f>
        <v>6.6943392769392318E-2</v>
      </c>
      <c r="BF13" s="184">
        <f>IFERROR(Inv_SY_B!BF13/Inv_SY_B!$CA13-1,"")</f>
        <v>3.6773629892092652E-2</v>
      </c>
      <c r="BG13" s="184">
        <f>IFERROR(Inv_SY_B!BG13/Inv_SY_B!$CA13-1,"")</f>
        <v>8.6688295339174548E-2</v>
      </c>
      <c r="BH13" s="184">
        <f>IFERROR(Inv_SY_B!BH13/Inv_SY_B!$CA13-1,"")</f>
        <v>7.4204962659865537E-2</v>
      </c>
      <c r="BI13" s="184">
        <f>IFERROR(Inv_SY_B!BI13/Inv_SY_B!$CA13-1,"")</f>
        <v>9.019218274177887E-2</v>
      </c>
      <c r="BJ13" s="184">
        <f>IFERROR(Inv_SY_B!BJ13/Inv_SY_B!$CA13-1,"")</f>
        <v>9.0449994724535632E-2</v>
      </c>
      <c r="BK13" s="184">
        <f>IFERROR(Inv_SY_B!BK13/Inv_SY_B!$CA13-1,"")</f>
        <v>8.5452463329088735E-2</v>
      </c>
      <c r="BL13" s="184">
        <f>IFERROR(Inv_SY_B!BL13/Inv_SY_B!$CA13-1,"")</f>
        <v>8.9793374190261233E-2</v>
      </c>
      <c r="BM13" s="184">
        <f>IFERROR(Inv_SY_B!BM13/Inv_SY_B!$CA13-1,"")</f>
        <v>9.155780357665444E-2</v>
      </c>
      <c r="BN13" s="184">
        <f>IFERROR(Inv_SY_B!BN13/Inv_SY_B!$CA13-1,"")</f>
        <v>7.711984786177295E-2</v>
      </c>
      <c r="BO13" s="184">
        <f>IFERROR(Inv_SY_B!BO13/Inv_SY_B!$CA13-1,"")</f>
        <v>7.0521573836550555E-3</v>
      </c>
      <c r="BP13" s="184">
        <f>IFERROR(Inv_SY_B!BP13/Inv_SY_B!$CA13-1,"")</f>
        <v>6.5702254730190868E-2</v>
      </c>
      <c r="BQ13" s="184">
        <f>IFERROR(Inv_SY_B!BQ13/Inv_SY_B!$CA13-1,"")</f>
        <v>-0.13506470883904753</v>
      </c>
      <c r="BR13" s="184">
        <f>IFERROR(Inv_SY_B!BR13/Inv_SY_B!$CA13-1,"")</f>
        <v>-0.23285151816138827</v>
      </c>
      <c r="BS13" s="184">
        <f>IFERROR(Inv_SY_B!BS13/Inv_SY_B!$CA13-1,"")</f>
        <v>1.5278137885596399E-2</v>
      </c>
      <c r="BT13" s="184">
        <f>IFERROR(Inv_SY_B!BT13/Inv_SY_B!$CA13-1,"")</f>
        <v>-0.1857768059625915</v>
      </c>
      <c r="BU13" s="184">
        <f>IFERROR(Inv_SY_B!BU13/Inv_SY_B!$CA13-1,"")</f>
        <v>-0.77408725181483895</v>
      </c>
      <c r="BV13" s="184">
        <f>IFERROR(Inv_SY_B!BV13/Inv_SY_B!$CA13-1,"")</f>
        <v>-0.27800352358036939</v>
      </c>
      <c r="BW13" s="184">
        <f>IFERROR(Inv_SY_B!BW13/Inv_SY_B!$CA13-1,"")</f>
        <v>7.2657753362660893E-2</v>
      </c>
      <c r="BX13" s="184">
        <f>IFERROR(Inv_SY_B!BX13/Inv_SY_B!$CA13-1,"")</f>
        <v>6.0584243078423583E-2</v>
      </c>
    </row>
    <row r="14" spans="1:76">
      <c r="A14"/>
      <c r="B14" s="179">
        <f t="shared" si="1"/>
        <v>45838</v>
      </c>
      <c r="C14" s="184">
        <f>IFERROR(Inv_SY_B!C14/Inv_SY_B!$BY14-1,"")</f>
        <v>6.290327338413837E-3</v>
      </c>
      <c r="D14" s="184">
        <f>IFERROR(Inv_SY_B!D14/Inv_SY_B!$BY14-1,"")</f>
        <v>5.2052718465036563E-3</v>
      </c>
      <c r="E14" s="184">
        <f>IFERROR(Inv_SY_B!E14/Inv_SY_B!$BY14-1,"")</f>
        <v>-7.3136207870742043E-3</v>
      </c>
      <c r="F14" s="184">
        <f>IFERROR(Inv_SY_B!F14/Inv_SY_B!$BY14-1,"")</f>
        <v>-1.3792051030412589E-2</v>
      </c>
      <c r="G14" s="184">
        <f>IFERROR(Inv_SY_B!G14/Inv_SY_B!$BY14-1,"")</f>
        <v>-1.0623145394865086E-2</v>
      </c>
      <c r="H14" s="184">
        <f>IFERROR(Inv_SY_B!H14/Inv_SY_B!$BY14-1,"")</f>
        <v>-1.3583650227088295E-2</v>
      </c>
      <c r="I14" s="184">
        <f>IFERROR(Inv_SY_B!I14/Inv_SY_B!$BY14-1,"")</f>
        <v>7.4929423115415172E-3</v>
      </c>
      <c r="J14" s="184">
        <f>IFERROR(Inv_SY_B!J14/Inv_SY_B!$BY14-1,"")</f>
        <v>1.0207669935049513E-2</v>
      </c>
      <c r="K14" s="184">
        <f>IFERROR(Inv_SY_B!K14/Inv_SY_B!$BY14-1,"")</f>
        <v>-4.0834706548951161E-3</v>
      </c>
      <c r="L14" s="184">
        <f>IFERROR(Inv_SY_B!L14/Inv_SY_B!$BY14-1,"")</f>
        <v>7.3591607348972854E-3</v>
      </c>
      <c r="M14" s="184">
        <f>IFERROR(Inv_SY_B!M14/Inv_SY_B!$BY14-1,"")</f>
        <v>3.2816006732212966E-2</v>
      </c>
      <c r="N14" s="184">
        <f>IFERROR(Inv_SY_B!N14/Inv_SY_B!$BY14-1,"")</f>
        <v>9.6780809107244181E-4</v>
      </c>
      <c r="O14" s="184">
        <f>IFERROR(Inv_SY_B!O14/Inv_SY_B!$BY14-1,"")</f>
        <v>6.4050064552752417E-2</v>
      </c>
      <c r="P14" s="184">
        <f>IFERROR(Inv_SY_B!P14/Inv_SY_B!$BY14-1,"")</f>
        <v>-2.7566255564859699E-2</v>
      </c>
      <c r="Q14" s="184">
        <f>IFERROR(Inv_SY_B!Q14/Inv_SY_B!$BY14-1,"")</f>
        <v>7.9288106301800276E-4</v>
      </c>
      <c r="R14" s="184">
        <f>IFERROR(Inv_SY_B!R14/Inv_SY_B!$BY14-1,"")</f>
        <v>2.6021362202024445E-3</v>
      </c>
      <c r="S14" s="184">
        <f>IFERROR(Inv_SY_B!S14/Inv_SY_B!$BY14-1,"")</f>
        <v>6.1164090473586619E-4</v>
      </c>
      <c r="T14" s="184">
        <f>IFERROR(Inv_SY_B!T14/Inv_SY_B!$BY14-1,"")</f>
        <v>9.1545677325106656E-3</v>
      </c>
      <c r="U14" s="184">
        <f>IFERROR(Inv_SY_B!U14/Inv_SY_B!$BY14-1,"")</f>
        <v>8.8544710042237629E-3</v>
      </c>
      <c r="V14" s="184">
        <f>IFERROR(Inv_SY_B!V14/Inv_SY_B!$BY14-1,"")</f>
        <v>1.5291576925857253E-2</v>
      </c>
      <c r="W14" s="184">
        <f>IFERROR(Inv_SY_B!W14/Inv_SY_B!$BY14-1,"")</f>
        <v>-1.8461866863169418E-2</v>
      </c>
      <c r="X14" s="184">
        <f>IFERROR(Inv_SY_B!X14/Inv_SY_B!$BY14-1,"")</f>
        <v>-3.7638979778931603E-2</v>
      </c>
      <c r="Y14" s="184">
        <f>IFERROR(Inv_SY_B!Y14/Inv_SY_B!$BY14-1,"")</f>
        <v>-1.1663123775097262E-2</v>
      </c>
      <c r="Z14" s="184">
        <f>IFERROR(Inv_SY_B!Z14/Inv_SY_B!$BY14-1,"")</f>
        <v>-1.4814899986818064E-3</v>
      </c>
      <c r="AA14" s="184">
        <f>IFERROR(Inv_SY_B!AA14/Inv_SY_B!$BY14-1,"")</f>
        <v>-1.5239570411471615E-3</v>
      </c>
      <c r="AB14" s="184">
        <f>IFERROR(Inv_SY_B!AB14/Inv_SY_B!$BY14-1,"")</f>
        <v>-2.0124168248026875E-3</v>
      </c>
      <c r="AC14" s="184">
        <f>IFERROR(Inv_SY_B!AC14/Inv_SY_B!$BY14-1,"")</f>
        <v>-4.3895707963055308E-3</v>
      </c>
      <c r="AD14" s="184">
        <f>IFERROR(Inv_SY_B!AD14/Inv_SY_B!$BY14-1,"")</f>
        <v>-1.7562926655661504E-2</v>
      </c>
      <c r="AE14" s="184">
        <f>IFERROR(Inv_SY_B!AE14/Inv_SY_B!$BZ14-1,"")</f>
        <v>1.8910883084422014E-2</v>
      </c>
      <c r="AF14" s="184">
        <f>IFERROR(Inv_SY_B!AF14/Inv_SY_B!$BZ14-1,"")</f>
        <v>9.8118664794335508E-3</v>
      </c>
      <c r="AG14" s="184">
        <f>IFERROR(Inv_SY_B!AG14/Inv_SY_B!$BZ14-1,"")</f>
        <v>6.7949860633549353E-3</v>
      </c>
      <c r="AH14" s="184">
        <f>IFERROR(Inv_SY_B!AH14/Inv_SY_B!$BZ14-1,"")</f>
        <v>4.8865745389650161E-3</v>
      </c>
      <c r="AI14" s="184">
        <f>IFERROR(Inv_SY_B!AI14/Inv_SY_B!$BZ14-1,"")</f>
        <v>7.2428386405054557E-3</v>
      </c>
      <c r="AJ14" s="184">
        <f>IFERROR(Inv_SY_B!AJ14/Inv_SY_B!$BZ14-1,"")</f>
        <v>6.2353585152681301E-3</v>
      </c>
      <c r="AK14" s="184">
        <f>IFERROR(Inv_SY_B!AK14/Inv_SY_B!$BZ14-1,"")</f>
        <v>-4.2625720711586546E-4</v>
      </c>
      <c r="AL14" s="184">
        <f>IFERROR(Inv_SY_B!AL14/Inv_SY_B!$BZ14-1,"")</f>
        <v>-3.9357187211531808E-2</v>
      </c>
      <c r="AM14" s="184">
        <f>IFERROR(Inv_SY_B!AM14/Inv_SY_B!$BZ14-1,"")</f>
        <v>-1.5717751518561363E-3</v>
      </c>
      <c r="AN14" s="184">
        <f>IFERROR(Inv_SY_B!AN14/Inv_SY_B!$BZ14-1,"")</f>
        <v>4.7316427820580653E-3</v>
      </c>
      <c r="AO14" s="184">
        <f>IFERROR(Inv_SY_B!AO14/Inv_SY_B!$BZ14-1,"")</f>
        <v>-1.2740989385633839E-2</v>
      </c>
      <c r="AP14" s="184">
        <f>IFERROR(Inv_SY_B!AP14/Inv_SY_B!$BZ14-1,"")</f>
        <v>-9.2851681499354077E-3</v>
      </c>
      <c r="AQ14" s="184">
        <f>IFERROR(Inv_SY_B!AQ14/Inv_SY_B!$BZ14-1,"")</f>
        <v>-1.1377401466971748E-2</v>
      </c>
      <c r="AR14" s="184">
        <f>IFERROR(Inv_SY_B!AR14/Inv_SY_B!$BZ14-1,"")</f>
        <v>-2.8627244572505539E-3</v>
      </c>
      <c r="AS14" s="184">
        <f>IFERROR(Inv_SY_B!AS14/Inv_SY_B!$BZ14-1,"")</f>
        <v>-2.9164223953286328E-3</v>
      </c>
      <c r="AT14" s="184">
        <f>IFERROR(Inv_SY_B!AT14/Inv_SY_B!$BZ14-1,"")</f>
        <v>8.5515456705824722E-3</v>
      </c>
      <c r="AU14" s="184">
        <f>IFERROR(Inv_SY_B!AU14/Inv_SY_B!$BZ14-1,"")</f>
        <v>8.4210648513771691E-3</v>
      </c>
      <c r="AV14" s="184">
        <f>IFERROR(Inv_SY_B!AV14/Inv_SY_B!$BZ14-1,"")</f>
        <v>4.9511647996569597E-3</v>
      </c>
      <c r="AW14" s="184">
        <f>IFERROR(Inv_SY_B!AW14/Inv_SY_B!$CA14-1,"")</f>
        <v>2.8681875049629824E-2</v>
      </c>
      <c r="AX14" s="184">
        <f>IFERROR(Inv_SY_B!AX14/Inv_SY_B!$CA14-1,"")</f>
        <v>4.4961843088176412E-2</v>
      </c>
      <c r="AY14" s="184">
        <f>IFERROR(Inv_SY_B!AY14/Inv_SY_B!$CA14-1,"")</f>
        <v>4.77928478393852E-3</v>
      </c>
      <c r="AZ14" s="184">
        <f>IFERROR(Inv_SY_B!AZ14/Inv_SY_B!$CA14-1,"")</f>
        <v>-4.8424909938038496E-4</v>
      </c>
      <c r="BA14" s="184">
        <f>IFERROR(Inv_SY_B!BA14/Inv_SY_B!$CA14-1,"")</f>
        <v>2.206952594995526E-2</v>
      </c>
      <c r="BB14" s="184">
        <f>IFERROR(Inv_SY_B!BB14/Inv_SY_B!$CA14-1,"")</f>
        <v>5.0049129831329697E-2</v>
      </c>
      <c r="BC14" s="184">
        <f>IFERROR(Inv_SY_B!BC14/Inv_SY_B!$CA14-1,"")</f>
        <v>4.0411501883285794E-2</v>
      </c>
      <c r="BD14" s="184">
        <f>IFERROR(Inv_SY_B!BD14/Inv_SY_B!$CA14-1,"")</f>
        <v>5.5635711139217392E-2</v>
      </c>
      <c r="BE14" s="184">
        <f>IFERROR(Inv_SY_B!BE14/Inv_SY_B!$CA14-1,"")</f>
        <v>4.3823392200593725E-2</v>
      </c>
      <c r="BF14" s="184">
        <f>IFERROR(Inv_SY_B!BF14/Inv_SY_B!$CA14-1,"")</f>
        <v>1.5824570392221737E-2</v>
      </c>
      <c r="BG14" s="184">
        <f>IFERROR(Inv_SY_B!BG14/Inv_SY_B!$CA14-1,"")</f>
        <v>6.5251924943240613E-2</v>
      </c>
      <c r="BH14" s="184">
        <f>IFERROR(Inv_SY_B!BH14/Inv_SY_B!$CA14-1,"")</f>
        <v>0.20708674741669064</v>
      </c>
      <c r="BI14" s="184">
        <f>IFERROR(Inv_SY_B!BI14/Inv_SY_B!$CA14-1,"")</f>
        <v>6.6492735634027245E-2</v>
      </c>
      <c r="BJ14" s="184">
        <f>IFERROR(Inv_SY_B!BJ14/Inv_SY_B!$CA14-1,"")</f>
        <v>8.0063390193820139E-2</v>
      </c>
      <c r="BK14" s="184">
        <f>IFERROR(Inv_SY_B!BK14/Inv_SY_B!$CA14-1,"")</f>
        <v>8.0646416704382107E-2</v>
      </c>
      <c r="BL14" s="184">
        <f>IFERROR(Inv_SY_B!BL14/Inv_SY_B!$CA14-1,"")</f>
        <v>6.5307829507097681E-2</v>
      </c>
      <c r="BM14" s="184">
        <f>IFERROR(Inv_SY_B!BM14/Inv_SY_B!$CA14-1,"")</f>
        <v>6.9161495053748023E-2</v>
      </c>
      <c r="BN14" s="184">
        <f>IFERROR(Inv_SY_B!BN14/Inv_SY_B!$CA14-1,"")</f>
        <v>5.0137225877422198E-2</v>
      </c>
      <c r="BO14" s="184">
        <f>IFERROR(Inv_SY_B!BO14/Inv_SY_B!$CA14-1,"")</f>
        <v>-1.3737793267786458E-2</v>
      </c>
      <c r="BP14" s="184">
        <f>IFERROR(Inv_SY_B!BP14/Inv_SY_B!$CA14-1,"")</f>
        <v>3.9331784684282223E-2</v>
      </c>
      <c r="BQ14" s="184">
        <f>IFERROR(Inv_SY_B!BQ14/Inv_SY_B!$CA14-1,"")</f>
        <v>3.3419034907836487E-2</v>
      </c>
      <c r="BR14" s="184">
        <f>IFERROR(Inv_SY_B!BR14/Inv_SY_B!$CA14-1,"")</f>
        <v>-0.2143977206148191</v>
      </c>
      <c r="BS14" s="184">
        <f>IFERROR(Inv_SY_B!BS14/Inv_SY_B!$CA14-1,"")</f>
        <v>1.7383442639864022E-2</v>
      </c>
      <c r="BT14" s="184">
        <f>IFERROR(Inv_SY_B!BT14/Inv_SY_B!$CA14-1,"")</f>
        <v>-1.1265601456423857E-2</v>
      </c>
      <c r="BU14" s="184">
        <f>IFERROR(Inv_SY_B!BU14/Inv_SY_B!$CA14-1,"")</f>
        <v>-0.75520088982017475</v>
      </c>
      <c r="BV14" s="184">
        <f>IFERROR(Inv_SY_B!BV14/Inv_SY_B!$CA14-1,"")</f>
        <v>-0.19623459079376382</v>
      </c>
      <c r="BW14" s="184">
        <f>IFERROR(Inv_SY_B!BW14/Inv_SY_B!$CA14-1,"")</f>
        <v>6.3317841915354611E-2</v>
      </c>
      <c r="BX14" s="184">
        <f>IFERROR(Inv_SY_B!BX14/Inv_SY_B!$CA14-1,"")</f>
        <v>4.7484141256235013E-2</v>
      </c>
    </row>
    <row r="15" spans="1:76">
      <c r="A15"/>
      <c r="B15" s="179">
        <f t="shared" si="1"/>
        <v>45839</v>
      </c>
      <c r="C15" s="184">
        <f>IFERROR(Inv_SY_B!C15/Inv_SY_B!$BY15-1,"")</f>
        <v>1.0823307557739525E-2</v>
      </c>
      <c r="D15" s="184">
        <f>IFERROR(Inv_SY_B!D15/Inv_SY_B!$BY15-1,"")</f>
        <v>4.0973574623215381E-3</v>
      </c>
      <c r="E15" s="184">
        <f>IFERROR(Inv_SY_B!E15/Inv_SY_B!$BY15-1,"")</f>
        <v>-2.4369650328348591E-3</v>
      </c>
      <c r="F15" s="184">
        <f>IFERROR(Inv_SY_B!F15/Inv_SY_B!$BY15-1,"")</f>
        <v>-7.370508765783379E-3</v>
      </c>
      <c r="G15" s="184">
        <f>IFERROR(Inv_SY_B!G15/Inv_SY_B!$BY15-1,"")</f>
        <v>-4.7413513449041655E-3</v>
      </c>
      <c r="H15" s="184">
        <f>IFERROR(Inv_SY_B!H15/Inv_SY_B!$BY15-1,"")</f>
        <v>-4.0385295976189672E-3</v>
      </c>
      <c r="I15" s="184">
        <f>IFERROR(Inv_SY_B!I15/Inv_SY_B!$BY15-1,"")</f>
        <v>1.6549597540881589E-2</v>
      </c>
      <c r="J15" s="184">
        <f>IFERROR(Inv_SY_B!J15/Inv_SY_B!$BY15-1,"")</f>
        <v>1.3366068747276749E-2</v>
      </c>
      <c r="K15" s="184">
        <f>IFERROR(Inv_SY_B!K15/Inv_SY_B!$BY15-1,"")</f>
        <v>4.6436122018143067E-3</v>
      </c>
      <c r="L15" s="184">
        <f>IFERROR(Inv_SY_B!L15/Inv_SY_B!$BY15-1,"")</f>
        <v>1.3373878964109132E-2</v>
      </c>
      <c r="M15" s="184">
        <f>IFERROR(Inv_SY_B!M15/Inv_SY_B!$BY15-1,"")</f>
        <v>3.7692186789333171E-2</v>
      </c>
      <c r="N15" s="184">
        <f>IFERROR(Inv_SY_B!N15/Inv_SY_B!$BY15-1,"")</f>
        <v>6.5304183396515114E-3</v>
      </c>
      <c r="O15" s="184">
        <f>IFERROR(Inv_SY_B!O15/Inv_SY_B!$BY15-1,"")</f>
        <v>6.7717067565921552E-2</v>
      </c>
      <c r="P15" s="184">
        <f>IFERROR(Inv_SY_B!P15/Inv_SY_B!$BY15-1,"")</f>
        <v>-2.5257016174685565E-2</v>
      </c>
      <c r="Q15" s="184">
        <f>IFERROR(Inv_SY_B!Q15/Inv_SY_B!$BY15-1,"")</f>
        <v>3.7996531886619334E-3</v>
      </c>
      <c r="R15" s="184">
        <f>IFERROR(Inv_SY_B!R15/Inv_SY_B!$BY15-1,"")</f>
        <v>6.9556948517011108E-3</v>
      </c>
      <c r="S15" s="184">
        <f>IFERROR(Inv_SY_B!S15/Inv_SY_B!$BY15-1,"")</f>
        <v>-3.1266778741224632E-3</v>
      </c>
      <c r="T15" s="184">
        <f>IFERROR(Inv_SY_B!T15/Inv_SY_B!$BY15-1,"")</f>
        <v>-1.489984464774774E-3</v>
      </c>
      <c r="U15" s="184">
        <f>IFERROR(Inv_SY_B!U15/Inv_SY_B!$BY15-1,"")</f>
        <v>7.8266961554598335E-3</v>
      </c>
      <c r="V15" s="184">
        <f>IFERROR(Inv_SY_B!V15/Inv_SY_B!$BY15-1,"")</f>
        <v>1.3311169382010712E-2</v>
      </c>
      <c r="W15" s="184">
        <f>IFERROR(Inv_SY_B!W15/Inv_SY_B!$BY15-1,"")</f>
        <v>-3.0251079000079728E-2</v>
      </c>
      <c r="X15" s="184">
        <f>IFERROR(Inv_SY_B!X15/Inv_SY_B!$BY15-1,"")</f>
        <v>-4.333881483689983E-2</v>
      </c>
      <c r="Y15" s="184">
        <f>IFERROR(Inv_SY_B!Y15/Inv_SY_B!$BY15-1,"")</f>
        <v>-2.3831340814838842E-2</v>
      </c>
      <c r="Z15" s="184">
        <f>IFERROR(Inv_SY_B!Z15/Inv_SY_B!$BY15-1,"")</f>
        <v>-6.3011834424033797E-3</v>
      </c>
      <c r="AA15" s="184">
        <f>IFERROR(Inv_SY_B!AA15/Inv_SY_B!$BY15-1,"")</f>
        <v>-9.7514266509721725E-3</v>
      </c>
      <c r="AB15" s="184">
        <f>IFERROR(Inv_SY_B!AB15/Inv_SY_B!$BY15-1,"")</f>
        <v>-1.2578639540814618E-2</v>
      </c>
      <c r="AC15" s="184">
        <f>IFERROR(Inv_SY_B!AC15/Inv_SY_B!$BY15-1,"")</f>
        <v>-9.9331042017701821E-3</v>
      </c>
      <c r="AD15" s="184">
        <f>IFERROR(Inv_SY_B!AD15/Inv_SY_B!$BY15-1,"")</f>
        <v>-2.2240087004375408E-2</v>
      </c>
      <c r="AE15" s="184">
        <f>IFERROR(Inv_SY_B!AE15/Inv_SY_B!$BZ15-1,"")</f>
        <v>1.4258984916512008E-2</v>
      </c>
      <c r="AF15" s="184">
        <f>IFERROR(Inv_SY_B!AF15/Inv_SY_B!$BZ15-1,"")</f>
        <v>3.9166235213090594E-3</v>
      </c>
      <c r="AG15" s="184">
        <f>IFERROR(Inv_SY_B!AG15/Inv_SY_B!$BZ15-1,"")</f>
        <v>8.6520277519475108E-4</v>
      </c>
      <c r="AH15" s="184">
        <f>IFERROR(Inv_SY_B!AH15/Inv_SY_B!$BZ15-1,"")</f>
        <v>-3.5821805829258091E-3</v>
      </c>
      <c r="AI15" s="184">
        <f>IFERROR(Inv_SY_B!AI15/Inv_SY_B!$BZ15-1,"")</f>
        <v>5.5003148982935013E-3</v>
      </c>
      <c r="AJ15" s="184">
        <f>IFERROR(Inv_SY_B!AJ15/Inv_SY_B!$BZ15-1,"")</f>
        <v>5.1607988093937962E-3</v>
      </c>
      <c r="AK15" s="184">
        <f>IFERROR(Inv_SY_B!AK15/Inv_SY_B!$BZ15-1,"")</f>
        <v>-7.8712738877251276E-4</v>
      </c>
      <c r="AL15" s="184">
        <f>IFERROR(Inv_SY_B!AL15/Inv_SY_B!$BZ15-1,"")</f>
        <v>-3.6971011063663073E-2</v>
      </c>
      <c r="AM15" s="184">
        <f>IFERROR(Inv_SY_B!AM15/Inv_SY_B!$BZ15-1,"")</f>
        <v>3.5934911022097449E-3</v>
      </c>
      <c r="AN15" s="184">
        <f>IFERROR(Inv_SY_B!AN15/Inv_SY_B!$BZ15-1,"")</f>
        <v>7.3931386433774282E-3</v>
      </c>
      <c r="AO15" s="184">
        <f>IFERROR(Inv_SY_B!AO15/Inv_SY_B!$BZ15-1,"")</f>
        <v>-1.1164895993667434E-2</v>
      </c>
      <c r="AP15" s="184">
        <f>IFERROR(Inv_SY_B!AP15/Inv_SY_B!$BZ15-1,"")</f>
        <v>-5.3264131865071729E-3</v>
      </c>
      <c r="AQ15" s="184">
        <f>IFERROR(Inv_SY_B!AQ15/Inv_SY_B!$BZ15-1,"")</f>
        <v>-1.0434020064833627E-2</v>
      </c>
      <c r="AR15" s="184">
        <f>IFERROR(Inv_SY_B!AR15/Inv_SY_B!$BZ15-1,"")</f>
        <v>-2.2940115480679646E-3</v>
      </c>
      <c r="AS15" s="184">
        <f>IFERROR(Inv_SY_B!AS15/Inv_SY_B!$BZ15-1,"")</f>
        <v>-1.3524006091234497E-3</v>
      </c>
      <c r="AT15" s="184">
        <f>IFERROR(Inv_SY_B!AT15/Inv_SY_B!$BZ15-1,"")</f>
        <v>1.1532614358207294E-2</v>
      </c>
      <c r="AU15" s="184">
        <f>IFERROR(Inv_SY_B!AU15/Inv_SY_B!$BZ15-1,"")</f>
        <v>1.329815141699453E-2</v>
      </c>
      <c r="AV15" s="184">
        <f>IFERROR(Inv_SY_B!AV15/Inv_SY_B!$BZ15-1,"")</f>
        <v>6.3927399960712616E-3</v>
      </c>
      <c r="AW15" s="184">
        <f>IFERROR(Inv_SY_B!AW15/Inv_SY_B!$CA15-1,"")</f>
        <v>3.9832818822956639E-2</v>
      </c>
      <c r="AX15" s="184">
        <f>IFERROR(Inv_SY_B!AX15/Inv_SY_B!$CA15-1,"")</f>
        <v>5.4725036076791911E-2</v>
      </c>
      <c r="AY15" s="184">
        <f>IFERROR(Inv_SY_B!AY15/Inv_SY_B!$CA15-1,"")</f>
        <v>1.5345015216416513E-2</v>
      </c>
      <c r="AZ15" s="184">
        <f>IFERROR(Inv_SY_B!AZ15/Inv_SY_B!$CA15-1,"")</f>
        <v>-3.7324792827886366E-3</v>
      </c>
      <c r="BA15" s="184">
        <f>IFERROR(Inv_SY_B!BA15/Inv_SY_B!$CA15-1,"")</f>
        <v>3.0732902756839708E-2</v>
      </c>
      <c r="BB15" s="184">
        <f>IFERROR(Inv_SY_B!BB15/Inv_SY_B!$CA15-1,"")</f>
        <v>5.9904862603095577E-2</v>
      </c>
      <c r="BC15" s="184">
        <f>IFERROR(Inv_SY_B!BC15/Inv_SY_B!$CA15-1,"")</f>
        <v>4.6750218137689314E-2</v>
      </c>
      <c r="BD15" s="184">
        <f>IFERROR(Inv_SY_B!BD15/Inv_SY_B!$CA15-1,"")</f>
        <v>6.6834264534576526E-2</v>
      </c>
      <c r="BE15" s="184">
        <f>IFERROR(Inv_SY_B!BE15/Inv_SY_B!$CA15-1,"")</f>
        <v>6.2001101133790204E-2</v>
      </c>
      <c r="BF15" s="184">
        <f>IFERROR(Inv_SY_B!BF15/Inv_SY_B!$CA15-1,"")</f>
        <v>3.6387654170575878E-2</v>
      </c>
      <c r="BG15" s="184">
        <f>IFERROR(Inv_SY_B!BG15/Inv_SY_B!$CA15-1,"")</f>
        <v>8.1970600459560838E-2</v>
      </c>
      <c r="BH15" s="184">
        <f>IFERROR(Inv_SY_B!BH15/Inv_SY_B!$CA15-1,"")</f>
        <v>2.6798651866563494E-2</v>
      </c>
      <c r="BI15" s="184">
        <f>IFERROR(Inv_SY_B!BI15/Inv_SY_B!$CA15-1,"")</f>
        <v>7.464171876854464E-2</v>
      </c>
      <c r="BJ15" s="184">
        <f>IFERROR(Inv_SY_B!BJ15/Inv_SY_B!$CA15-1,"")</f>
        <v>7.7536686499549701E-2</v>
      </c>
      <c r="BK15" s="184">
        <f>IFERROR(Inv_SY_B!BK15/Inv_SY_B!$CA15-1,"")</f>
        <v>8.0297340869952993E-2</v>
      </c>
      <c r="BL15" s="184">
        <f>IFERROR(Inv_SY_B!BL15/Inv_SY_B!$CA15-1,"")</f>
        <v>7.3008686420323432E-2</v>
      </c>
      <c r="BM15" s="184">
        <f>IFERROR(Inv_SY_B!BM15/Inv_SY_B!$CA15-1,"")</f>
        <v>4.0292620696743109E-2</v>
      </c>
      <c r="BN15" s="184">
        <f>IFERROR(Inv_SY_B!BN15/Inv_SY_B!$CA15-1,"")</f>
        <v>4.7276370377403953E-2</v>
      </c>
      <c r="BO15" s="184">
        <f>IFERROR(Inv_SY_B!BO15/Inv_SY_B!$CA15-1,"")</f>
        <v>-1.8819635633518628E-2</v>
      </c>
      <c r="BP15" s="184">
        <f>IFERROR(Inv_SY_B!BP15/Inv_SY_B!$CA15-1,"")</f>
        <v>7.0392543786533368E-2</v>
      </c>
      <c r="BQ15" s="184">
        <f>IFERROR(Inv_SY_B!BQ15/Inv_SY_B!$CA15-1,"")</f>
        <v>1.7928973047725227E-2</v>
      </c>
      <c r="BR15" s="184">
        <f>IFERROR(Inv_SY_B!BR15/Inv_SY_B!$CA15-1,"")</f>
        <v>-0.21262474233103257</v>
      </c>
      <c r="BS15" s="184">
        <f>IFERROR(Inv_SY_B!BS15/Inv_SY_B!$CA15-1,"")</f>
        <v>-3.4799652912941292E-3</v>
      </c>
      <c r="BT15" s="184">
        <f>IFERROR(Inv_SY_B!BT15/Inv_SY_B!$CA15-1,"")</f>
        <v>-3.3608667672737291E-2</v>
      </c>
      <c r="BU15" s="184">
        <f>IFERROR(Inv_SY_B!BU15/Inv_SY_B!$CA15-1,"")</f>
        <v>-0.65086288413466453</v>
      </c>
      <c r="BV15" s="184">
        <f>IFERROR(Inv_SY_B!BV15/Inv_SY_B!$CA15-1,"")</f>
        <v>-0.19340353425751566</v>
      </c>
      <c r="BW15" s="184">
        <f>IFERROR(Inv_SY_B!BW15/Inv_SY_B!$CA15-1,"")</f>
        <v>5.9931223792057953E-2</v>
      </c>
      <c r="BX15" s="184">
        <f>IFERROR(Inv_SY_B!BX15/Inv_SY_B!$CA15-1,"")</f>
        <v>5.3942618565858247E-2</v>
      </c>
    </row>
    <row r="16" spans="1:76">
      <c r="A16"/>
      <c r="B16" s="179">
        <f t="shared" si="1"/>
        <v>45840</v>
      </c>
      <c r="C16" s="184">
        <f>IFERROR(Inv_SY_B!C16/Inv_SY_B!$BY16-1,"")</f>
        <v>3.4626058168258922E-3</v>
      </c>
      <c r="D16" s="184">
        <f>IFERROR(Inv_SY_B!D16/Inv_SY_B!$BY16-1,"")</f>
        <v>4.4314284438100593E-3</v>
      </c>
      <c r="E16" s="184">
        <f>IFERROR(Inv_SY_B!E16/Inv_SY_B!$BY16-1,"")</f>
        <v>-5.5919892890309297E-3</v>
      </c>
      <c r="F16" s="184">
        <f>IFERROR(Inv_SY_B!F16/Inv_SY_B!$BY16-1,"")</f>
        <v>-1.748217262820051E-2</v>
      </c>
      <c r="G16" s="184">
        <f>IFERROR(Inv_SY_B!G16/Inv_SY_B!$BY16-1,"")</f>
        <v>-1.040034293029457E-2</v>
      </c>
      <c r="H16" s="184">
        <f>IFERROR(Inv_SY_B!H16/Inv_SY_B!$BY16-1,"")</f>
        <v>-1.532597923005441E-2</v>
      </c>
      <c r="I16" s="184">
        <f>IFERROR(Inv_SY_B!I16/Inv_SY_B!$BY16-1,"")</f>
        <v>5.0449405898074229E-3</v>
      </c>
      <c r="J16" s="184">
        <f>IFERROR(Inv_SY_B!J16/Inv_SY_B!$BY16-1,"")</f>
        <v>4.5121636627254436E-3</v>
      </c>
      <c r="K16" s="184">
        <f>IFERROR(Inv_SY_B!K16/Inv_SY_B!$BY16-1,"")</f>
        <v>-1.011948130849516E-2</v>
      </c>
      <c r="L16" s="184">
        <f>IFERROR(Inv_SY_B!L16/Inv_SY_B!$BY16-1,"")</f>
        <v>5.5594011839212865E-3</v>
      </c>
      <c r="M16" s="184">
        <f>IFERROR(Inv_SY_B!M16/Inv_SY_B!$BY16-1,"")</f>
        <v>3.0968041975912852E-2</v>
      </c>
      <c r="N16" s="184">
        <f>IFERROR(Inv_SY_B!N16/Inv_SY_B!$BY16-1,"")</f>
        <v>3.1404399272676464E-3</v>
      </c>
      <c r="O16" s="184">
        <f>IFERROR(Inv_SY_B!O16/Inv_SY_B!$BY16-1,"")</f>
        <v>5.9135011018527583E-2</v>
      </c>
      <c r="P16" s="184">
        <f>IFERROR(Inv_SY_B!P16/Inv_SY_B!$BY16-1,"")</f>
        <v>-2.7662590109531426E-2</v>
      </c>
      <c r="Q16" s="184">
        <f>IFERROR(Inv_SY_B!Q16/Inv_SY_B!$BY16-1,"")</f>
        <v>-2.6776646060044929E-3</v>
      </c>
      <c r="R16" s="184">
        <f>IFERROR(Inv_SY_B!R16/Inv_SY_B!$BY16-1,"")</f>
        <v>8.7018864178989297E-4</v>
      </c>
      <c r="S16" s="184">
        <f>IFERROR(Inv_SY_B!S16/Inv_SY_B!$BY16-1,"")</f>
        <v>-6.267507145022444E-4</v>
      </c>
      <c r="T16" s="184">
        <f>IFERROR(Inv_SY_B!T16/Inv_SY_B!$BY16-1,"")</f>
        <v>1.4907417118732447E-3</v>
      </c>
      <c r="U16" s="184">
        <f>IFERROR(Inv_SY_B!U16/Inv_SY_B!$BY16-1,"")</f>
        <v>2.2532761418507796E-3</v>
      </c>
      <c r="V16" s="184">
        <f>IFERROR(Inv_SY_B!V16/Inv_SY_B!$BY16-1,"")</f>
        <v>8.785581292632294E-3</v>
      </c>
      <c r="W16" s="184">
        <f>IFERROR(Inv_SY_B!W16/Inv_SY_B!$BY16-1,"")</f>
        <v>-1.7867322697730836E-2</v>
      </c>
      <c r="X16" s="184">
        <f>IFERROR(Inv_SY_B!X16/Inv_SY_B!$BY16-1,"")</f>
        <v>-2.4093391552066579E-2</v>
      </c>
      <c r="Y16" s="184">
        <f>IFERROR(Inv_SY_B!Y16/Inv_SY_B!$BY16-1,"")</f>
        <v>5.4419764095279266E-3</v>
      </c>
      <c r="Z16" s="184">
        <f>IFERROR(Inv_SY_B!Z16/Inv_SY_B!$BY16-1,"")</f>
        <v>1.2933783336926297E-2</v>
      </c>
      <c r="AA16" s="184">
        <f>IFERROR(Inv_SY_B!AA16/Inv_SY_B!$BY16-1,"")</f>
        <v>-6.5685107387691843E-4</v>
      </c>
      <c r="AB16" s="184">
        <f>IFERROR(Inv_SY_B!AB16/Inv_SY_B!$BY16-1,"")</f>
        <v>-1.4447190989361758E-3</v>
      </c>
      <c r="AC16" s="184">
        <f>IFERROR(Inv_SY_B!AC16/Inv_SY_B!$BY16-1,"")</f>
        <v>-3.6554720483974457E-3</v>
      </c>
      <c r="AD16" s="184">
        <f>IFERROR(Inv_SY_B!AD16/Inv_SY_B!$BY16-1,"")</f>
        <v>-1.0424852866281364E-2</v>
      </c>
      <c r="AE16" s="184">
        <f>IFERROR(Inv_SY_B!AE16/Inv_SY_B!$BZ16-1,"")</f>
        <v>0.12456544899683775</v>
      </c>
      <c r="AF16" s="184">
        <f>IFERROR(Inv_SY_B!AF16/Inv_SY_B!$BZ16-1,"")</f>
        <v>0.10091373062305609</v>
      </c>
      <c r="AG16" s="184">
        <f>IFERROR(Inv_SY_B!AG16/Inv_SY_B!$BZ16-1,"")</f>
        <v>9.079629777045195E-2</v>
      </c>
      <c r="AH16" s="184">
        <f>IFERROR(Inv_SY_B!AH16/Inv_SY_B!$BZ16-1,"")</f>
        <v>8.2087760904231422E-2</v>
      </c>
      <c r="AI16" s="184">
        <f>IFERROR(Inv_SY_B!AI16/Inv_SY_B!$BZ16-1,"")</f>
        <v>-6.4232664602698053E-3</v>
      </c>
      <c r="AJ16" s="184">
        <f>IFERROR(Inv_SY_B!AJ16/Inv_SY_B!$BZ16-1,"")</f>
        <v>-2.0818035080882535E-2</v>
      </c>
      <c r="AK16" s="184">
        <f>IFERROR(Inv_SY_B!AK16/Inv_SY_B!$BZ16-1,"")</f>
        <v>-1.464547563037899E-2</v>
      </c>
      <c r="AL16" s="184">
        <f>IFERROR(Inv_SY_B!AL16/Inv_SY_B!$BZ16-1,"")</f>
        <v>-0.24963428959004219</v>
      </c>
      <c r="AM16" s="184">
        <f>IFERROR(Inv_SY_B!AM16/Inv_SY_B!$BZ16-1,"")</f>
        <v>0.10575606381520419</v>
      </c>
      <c r="AN16" s="184">
        <f>IFERROR(Inv_SY_B!AN16/Inv_SY_B!$BZ16-1,"")</f>
        <v>0.11205334576479498</v>
      </c>
      <c r="AO16" s="184">
        <f>IFERROR(Inv_SY_B!AO16/Inv_SY_B!$BZ16-1,"")</f>
        <v>-0.17859696051464014</v>
      </c>
      <c r="AP16" s="184">
        <f>IFERROR(Inv_SY_B!AP16/Inv_SY_B!$BZ16-1,"")</f>
        <v>-0.17253291122984882</v>
      </c>
      <c r="AQ16" s="184">
        <f>IFERROR(Inv_SY_B!AQ16/Inv_SY_B!$BZ16-1,"")</f>
        <v>-0.18319376026177792</v>
      </c>
      <c r="AR16" s="184">
        <f>IFERROR(Inv_SY_B!AR16/Inv_SY_B!$BZ16-1,"")</f>
        <v>-0.17366939039650897</v>
      </c>
      <c r="AS16" s="184">
        <f>IFERROR(Inv_SY_B!AS16/Inv_SY_B!$BZ16-1,"")</f>
        <v>9.8216130792283307E-2</v>
      </c>
      <c r="AT16" s="184">
        <f>IFERROR(Inv_SY_B!AT16/Inv_SY_B!$BZ16-1,"")</f>
        <v>9.6499403391706817E-2</v>
      </c>
      <c r="AU16" s="184">
        <f>IFERROR(Inv_SY_B!AU16/Inv_SY_B!$BZ16-1,"")</f>
        <v>9.8515736028291334E-2</v>
      </c>
      <c r="AV16" s="184">
        <f>IFERROR(Inv_SY_B!AV16/Inv_SY_B!$BZ16-1,"")</f>
        <v>9.0110171077489865E-2</v>
      </c>
      <c r="AW16" s="184">
        <f>IFERROR(Inv_SY_B!AW16/Inv_SY_B!$CA16-1,"")</f>
        <v>-4.4807324786517388E-2</v>
      </c>
      <c r="AX16" s="184">
        <f>IFERROR(Inv_SY_B!AX16/Inv_SY_B!$CA16-1,"")</f>
        <v>-3.6375533774645752E-2</v>
      </c>
      <c r="AY16" s="184">
        <f>IFERROR(Inv_SY_B!AY16/Inv_SY_B!$CA16-1,"")</f>
        <v>-6.0717199807642674E-2</v>
      </c>
      <c r="AZ16" s="184">
        <f>IFERROR(Inv_SY_B!AZ16/Inv_SY_B!$CA16-1,"")</f>
        <v>-1.9597786006033124E-2</v>
      </c>
      <c r="BA16" s="184">
        <f>IFERROR(Inv_SY_B!BA16/Inv_SY_B!$CA16-1,"")</f>
        <v>-2.1503340269623417E-2</v>
      </c>
      <c r="BB16" s="184">
        <f>IFERROR(Inv_SY_B!BB16/Inv_SY_B!$CA16-1,"")</f>
        <v>1.3464989245705272E-2</v>
      </c>
      <c r="BC16" s="184">
        <f>IFERROR(Inv_SY_B!BC16/Inv_SY_B!$CA16-1,"")</f>
        <v>-2.3413252404657081E-3</v>
      </c>
      <c r="BD16" s="184">
        <f>IFERROR(Inv_SY_B!BD16/Inv_SY_B!$CA16-1,"")</f>
        <v>2.2370878626905899E-2</v>
      </c>
      <c r="BE16" s="184">
        <f>IFERROR(Inv_SY_B!BE16/Inv_SY_B!$CA16-1,"")</f>
        <v>4.6764299703429213E-2</v>
      </c>
      <c r="BF16" s="184">
        <f>IFERROR(Inv_SY_B!BF16/Inv_SY_B!$CA16-1,"")</f>
        <v>2.8748561444364329E-2</v>
      </c>
      <c r="BG16" s="184">
        <f>IFERROR(Inv_SY_B!BG16/Inv_SY_B!$CA16-1,"")</f>
        <v>8.0263253155928416E-2</v>
      </c>
      <c r="BH16" s="184">
        <f>IFERROR(Inv_SY_B!BH16/Inv_SY_B!$CA16-1,"")</f>
        <v>7.1387382630551999E-2</v>
      </c>
      <c r="BI16" s="184">
        <f>IFERROR(Inv_SY_B!BI16/Inv_SY_B!$CA16-1,"")</f>
        <v>5.7374984690721886E-2</v>
      </c>
      <c r="BJ16" s="184">
        <f>IFERROR(Inv_SY_B!BJ16/Inv_SY_B!$CA16-1,"")</f>
        <v>7.7555361799603428E-2</v>
      </c>
      <c r="BK16" s="184">
        <f>IFERROR(Inv_SY_B!BK16/Inv_SY_B!$CA16-1,"")</f>
        <v>7.4646032913046945E-2</v>
      </c>
      <c r="BL16" s="184">
        <f>IFERROR(Inv_SY_B!BL16/Inv_SY_B!$CA16-1,"")</f>
        <v>6.2563072512937135E-2</v>
      </c>
      <c r="BM16" s="184">
        <f>IFERROR(Inv_SY_B!BM16/Inv_SY_B!$CA16-1,"")</f>
        <v>4.0449225128983635E-2</v>
      </c>
      <c r="BN16" s="184">
        <f>IFERROR(Inv_SY_B!BN16/Inv_SY_B!$CA16-1,"")</f>
        <v>4.9117145545026109E-2</v>
      </c>
      <c r="BO16" s="184">
        <f>IFERROR(Inv_SY_B!BO16/Inv_SY_B!$CA16-1,"")</f>
        <v>-1.5591639038241456E-2</v>
      </c>
      <c r="BP16" s="184">
        <f>IFERROR(Inv_SY_B!BP16/Inv_SY_B!$CA16-1,"")</f>
        <v>6.4726670570199651E-2</v>
      </c>
      <c r="BQ16" s="184">
        <f>IFERROR(Inv_SY_B!BQ16/Inv_SY_B!$CA16-1,"")</f>
        <v>1.3384810053518104E-2</v>
      </c>
      <c r="BR16" s="184">
        <f>IFERROR(Inv_SY_B!BR16/Inv_SY_B!$CA16-1,"")</f>
        <v>-0.14364357647846349</v>
      </c>
      <c r="BS16" s="184">
        <f>IFERROR(Inv_SY_B!BS16/Inv_SY_B!$CA16-1,"")</f>
        <v>7.5859132080349223E-3</v>
      </c>
      <c r="BT16" s="184">
        <f>IFERROR(Inv_SY_B!BT16/Inv_SY_B!$CA16-1,"")</f>
        <v>8.5529182487273925E-3</v>
      </c>
      <c r="BU16" s="184">
        <f>IFERROR(Inv_SY_B!BU16/Inv_SY_B!$CA16-1,"")</f>
        <v>-0.52250784983840259</v>
      </c>
      <c r="BV16" s="184">
        <f>IFERROR(Inv_SY_B!BV16/Inv_SY_B!$CA16-1,"")</f>
        <v>3.8844884567072357E-2</v>
      </c>
      <c r="BW16" s="184">
        <f>IFERROR(Inv_SY_B!BW16/Inv_SY_B!$CA16-1,"")</f>
        <v>5.8856620514950775E-2</v>
      </c>
      <c r="BX16" s="184">
        <f>IFERROR(Inv_SY_B!BX16/Inv_SY_B!$CA16-1,"")</f>
        <v>5.0428570680328466E-2</v>
      </c>
    </row>
    <row r="17" spans="1:76">
      <c r="A17"/>
      <c r="B17" s="179">
        <f t="shared" si="1"/>
        <v>45841</v>
      </c>
      <c r="C17" s="184">
        <f>IFERROR(Inv_SY_B!C17/Inv_SY_B!$BY17-1,"")</f>
        <v>-1.0219407670158165E-2</v>
      </c>
      <c r="D17" s="184">
        <f>IFERROR(Inv_SY_B!D17/Inv_SY_B!$BY17-1,"")</f>
        <v>-7.6480279391910599E-3</v>
      </c>
      <c r="E17" s="184">
        <f>IFERROR(Inv_SY_B!E17/Inv_SY_B!$BY17-1,"")</f>
        <v>-1.8765909872650588E-2</v>
      </c>
      <c r="F17" s="184">
        <f>IFERROR(Inv_SY_B!F17/Inv_SY_B!$BY17-1,"")</f>
        <v>-3.3622811260444418E-2</v>
      </c>
      <c r="G17" s="184">
        <f>IFERROR(Inv_SY_B!G17/Inv_SY_B!$BY17-1,"")</f>
        <v>-2.6996077621281978E-2</v>
      </c>
      <c r="H17" s="184">
        <f>IFERROR(Inv_SY_B!H17/Inv_SY_B!$BY17-1,"")</f>
        <v>-3.1075097174822819E-2</v>
      </c>
      <c r="I17" s="184">
        <f>IFERROR(Inv_SY_B!I17/Inv_SY_B!$BY17-1,"")</f>
        <v>-1.019331532190404E-2</v>
      </c>
      <c r="J17" s="184">
        <f>IFERROR(Inv_SY_B!J17/Inv_SY_B!$BY17-1,"")</f>
        <v>-1.9097489632008524E-2</v>
      </c>
      <c r="K17" s="184">
        <f>IFERROR(Inv_SY_B!K17/Inv_SY_B!$BY17-1,"")</f>
        <v>-1.4832641258702872E-2</v>
      </c>
      <c r="L17" s="184">
        <f>IFERROR(Inv_SY_B!L17/Inv_SY_B!$BY17-1,"")</f>
        <v>-3.5343666810004892E-3</v>
      </c>
      <c r="M17" s="184">
        <f>IFERROR(Inv_SY_B!M17/Inv_SY_B!$BY17-1,"")</f>
        <v>2.6079529636988674E-2</v>
      </c>
      <c r="N17" s="184">
        <f>IFERROR(Inv_SY_B!N17/Inv_SY_B!$BY17-1,"")</f>
        <v>-1.4306977586404646E-3</v>
      </c>
      <c r="O17" s="184">
        <f>IFERROR(Inv_SY_B!O17/Inv_SY_B!$BY17-1,"")</f>
        <v>5.1943787624536331E-2</v>
      </c>
      <c r="P17" s="184">
        <f>IFERROR(Inv_SY_B!P17/Inv_SY_B!$BY17-1,"")</f>
        <v>-2.423751275225916E-2</v>
      </c>
      <c r="Q17" s="184">
        <f>IFERROR(Inv_SY_B!Q17/Inv_SY_B!$BY17-1,"")</f>
        <v>-4.9303959053967894E-3</v>
      </c>
      <c r="R17" s="184">
        <f>IFERROR(Inv_SY_B!R17/Inv_SY_B!$BY17-1,"")</f>
        <v>-2.7174879780212935E-3</v>
      </c>
      <c r="S17" s="184">
        <f>IFERROR(Inv_SY_B!S17/Inv_SY_B!$BY17-1,"")</f>
        <v>-4.6811554527032007E-3</v>
      </c>
      <c r="T17" s="184">
        <f>IFERROR(Inv_SY_B!T17/Inv_SY_B!$BY17-1,"")</f>
        <v>2.1320987290633919E-3</v>
      </c>
      <c r="U17" s="184">
        <f>IFERROR(Inv_SY_B!U17/Inv_SY_B!$BY17-1,"")</f>
        <v>-1.168508789383349E-3</v>
      </c>
      <c r="V17" s="184">
        <f>IFERROR(Inv_SY_B!V17/Inv_SY_B!$BY17-1,"")</f>
        <v>6.8102045608251505E-3</v>
      </c>
      <c r="W17" s="184">
        <f>IFERROR(Inv_SY_B!W17/Inv_SY_B!$BY17-1,"")</f>
        <v>5.8223808992157178E-3</v>
      </c>
      <c r="X17" s="184">
        <f>IFERROR(Inv_SY_B!X17/Inv_SY_B!$BY17-1,"")</f>
        <v>1.847056090890975E-3</v>
      </c>
      <c r="Y17" s="184">
        <f>IFERROR(Inv_SY_B!Y17/Inv_SY_B!$BY17-1,"")</f>
        <v>3.4993424589849553E-2</v>
      </c>
      <c r="Z17" s="184">
        <f>IFERROR(Inv_SY_B!Z17/Inv_SY_B!$BY17-1,"")</f>
        <v>3.4426829127891523E-2</v>
      </c>
      <c r="AA17" s="184">
        <f>IFERROR(Inv_SY_B!AA17/Inv_SY_B!$BY17-1,"")</f>
        <v>1.7538137505570317E-2</v>
      </c>
      <c r="AB17" s="184">
        <f>IFERROR(Inv_SY_B!AB17/Inv_SY_B!$BY17-1,"")</f>
        <v>1.1300488255860497E-2</v>
      </c>
      <c r="AC17" s="184">
        <f>IFERROR(Inv_SY_B!AC17/Inv_SY_B!$BY17-1,"")</f>
        <v>1.5626672048326462E-2</v>
      </c>
      <c r="AD17" s="184">
        <f>IFERROR(Inv_SY_B!AD17/Inv_SY_B!$BY17-1,"")</f>
        <v>6.6302939995506183E-3</v>
      </c>
      <c r="AE17" s="184">
        <f>IFERROR(Inv_SY_B!AE17/Inv_SY_B!$BZ17-1,"")</f>
        <v>1.9183751816508776E-2</v>
      </c>
      <c r="AF17" s="184">
        <f>IFERROR(Inv_SY_B!AF17/Inv_SY_B!$BZ17-1,"")</f>
        <v>1.8096599007197955E-3</v>
      </c>
      <c r="AG17" s="184">
        <f>IFERROR(Inv_SY_B!AG17/Inv_SY_B!$BZ17-1,"")</f>
        <v>-5.1222118323154264E-3</v>
      </c>
      <c r="AH17" s="184">
        <f>IFERROR(Inv_SY_B!AH17/Inv_SY_B!$BZ17-1,"")</f>
        <v>-1.5540664741763632E-2</v>
      </c>
      <c r="AI17" s="184">
        <f>IFERROR(Inv_SY_B!AI17/Inv_SY_B!$BZ17-1,"")</f>
        <v>4.7289406848363136E-3</v>
      </c>
      <c r="AJ17" s="184">
        <f>IFERROR(Inv_SY_B!AJ17/Inv_SY_B!$BZ17-1,"")</f>
        <v>-1.1970414405269025E-3</v>
      </c>
      <c r="AK17" s="184">
        <f>IFERROR(Inv_SY_B!AK17/Inv_SY_B!$BZ17-1,"")</f>
        <v>-1.0810439248970516E-3</v>
      </c>
      <c r="AL17" s="184">
        <f>IFERROR(Inv_SY_B!AL17/Inv_SY_B!$BZ17-1,"")</f>
        <v>-1.5312240642114672E-3</v>
      </c>
      <c r="AM17" s="184">
        <f>IFERROR(Inv_SY_B!AM17/Inv_SY_B!$BZ17-1,"")</f>
        <v>-4.0052942388478785E-3</v>
      </c>
      <c r="AN17" s="184">
        <f>IFERROR(Inv_SY_B!AN17/Inv_SY_B!$BZ17-1,"")</f>
        <v>6.2061086140154931E-3</v>
      </c>
      <c r="AO17" s="184">
        <f>IFERROR(Inv_SY_B!AO17/Inv_SY_B!$BZ17-1,"")</f>
        <v>-1.7077285969537837E-3</v>
      </c>
      <c r="AP17" s="184">
        <f>IFERROR(Inv_SY_B!AP17/Inv_SY_B!$BZ17-1,"")</f>
        <v>-4.2241100142665911E-3</v>
      </c>
      <c r="AQ17" s="184">
        <f>IFERROR(Inv_SY_B!AQ17/Inv_SY_B!$BZ17-1,"")</f>
        <v>-1.5511952158255404E-2</v>
      </c>
      <c r="AR17" s="184">
        <f>IFERROR(Inv_SY_B!AR17/Inv_SY_B!$BZ17-1,"")</f>
        <v>-1.0050943781265809E-2</v>
      </c>
      <c r="AS17" s="184">
        <f>IFERROR(Inv_SY_B!AS17/Inv_SY_B!$BZ17-1,"")</f>
        <v>-1.4158391582628216E-3</v>
      </c>
      <c r="AT17" s="184">
        <f>IFERROR(Inv_SY_B!AT17/Inv_SY_B!$BZ17-1,"")</f>
        <v>6.4372974830402274E-3</v>
      </c>
      <c r="AU17" s="184">
        <f>IFERROR(Inv_SY_B!AU17/Inv_SY_B!$BZ17-1,"")</f>
        <v>1.9659431124244842E-2</v>
      </c>
      <c r="AV17" s="184">
        <f>IFERROR(Inv_SY_B!AV17/Inv_SY_B!$BZ17-1,"")</f>
        <v>3.3628643281979897E-3</v>
      </c>
      <c r="AW17" s="184">
        <f>IFERROR(Inv_SY_B!AW17/Inv_SY_B!$CA17-1,"")</f>
        <v>-2.9852670353267774E-2</v>
      </c>
      <c r="AX17" s="184">
        <f>IFERROR(Inv_SY_B!AX17/Inv_SY_B!$CA17-1,"")</f>
        <v>-1.1935950503099702E-2</v>
      </c>
      <c r="AY17" s="184">
        <f>IFERROR(Inv_SY_B!AY17/Inv_SY_B!$CA17-1,"")</f>
        <v>-2.2112842797655907E-2</v>
      </c>
      <c r="AZ17" s="184">
        <f>IFERROR(Inv_SY_B!AZ17/Inv_SY_B!$CA17-1,"")</f>
        <v>-9.2549078771508864E-2</v>
      </c>
      <c r="BA17" s="184">
        <f>IFERROR(Inv_SY_B!BA17/Inv_SY_B!$CA17-1,"")</f>
        <v>-1.8447124815409222E-2</v>
      </c>
      <c r="BB17" s="184">
        <f>IFERROR(Inv_SY_B!BB17/Inv_SY_B!$CA17-1,"")</f>
        <v>1.2194611751526141E-2</v>
      </c>
      <c r="BC17" s="184">
        <f>IFERROR(Inv_SY_B!BC17/Inv_SY_B!$CA17-1,"")</f>
        <v>4.5537790048018056E-3</v>
      </c>
      <c r="BD17" s="184">
        <f>IFERROR(Inv_SY_B!BD17/Inv_SY_B!$CA17-1,"")</f>
        <v>2.3495240329898248E-2</v>
      </c>
      <c r="BE17" s="184">
        <f>IFERROR(Inv_SY_B!BE17/Inv_SY_B!$CA17-1,"")</f>
        <v>2.8292032927270006E-2</v>
      </c>
      <c r="BF17" s="184">
        <f>IFERROR(Inv_SY_B!BF17/Inv_SY_B!$CA17-1,"")</f>
        <v>7.4358862538523862E-3</v>
      </c>
      <c r="BG17" s="184">
        <f>IFERROR(Inv_SY_B!BG17/Inv_SY_B!$CA17-1,"")</f>
        <v>5.4249205918282417E-2</v>
      </c>
      <c r="BH17" s="184">
        <f>IFERROR(Inv_SY_B!BH17/Inv_SY_B!$CA17-1,"")</f>
        <v>4.5487690909895351E-2</v>
      </c>
      <c r="BI17" s="184">
        <f>IFERROR(Inv_SY_B!BI17/Inv_SY_B!$CA17-1,"")</f>
        <v>4.3016474686930595E-2</v>
      </c>
      <c r="BJ17" s="184">
        <f>IFERROR(Inv_SY_B!BJ17/Inv_SY_B!$CA17-1,"")</f>
        <v>5.780795878858358E-2</v>
      </c>
      <c r="BK17" s="184">
        <f>IFERROR(Inv_SY_B!BK17/Inv_SY_B!$CA17-1,"")</f>
        <v>5.3227795590185201E-2</v>
      </c>
      <c r="BL17" s="184">
        <f>IFERROR(Inv_SY_B!BL17/Inv_SY_B!$CA17-1,"")</f>
        <v>4.2358814877067053E-2</v>
      </c>
      <c r="BM17" s="184">
        <f>IFERROR(Inv_SY_B!BM17/Inv_SY_B!$CA17-1,"")</f>
        <v>1.7851407534722918E-2</v>
      </c>
      <c r="BN17" s="184">
        <f>IFERROR(Inv_SY_B!BN17/Inv_SY_B!$CA17-1,"")</f>
        <v>3.8621856571689372E-2</v>
      </c>
      <c r="BO17" s="184">
        <f>IFERROR(Inv_SY_B!BO17/Inv_SY_B!$CA17-1,"")</f>
        <v>-3.8976084210484374E-2</v>
      </c>
      <c r="BP17" s="184">
        <f>IFERROR(Inv_SY_B!BP17/Inv_SY_B!$CA17-1,"")</f>
        <v>4.310874548402488E-2</v>
      </c>
      <c r="BQ17" s="184">
        <f>IFERROR(Inv_SY_B!BQ17/Inv_SY_B!$CA17-1,"")</f>
        <v>2.1707719004829817E-2</v>
      </c>
      <c r="BR17" s="184">
        <f>IFERROR(Inv_SY_B!BR17/Inv_SY_B!$CA17-1,"")</f>
        <v>5.1788692582340756E-2</v>
      </c>
      <c r="BS17" s="184">
        <f>IFERROR(Inv_SY_B!BS17/Inv_SY_B!$CA17-1,"")</f>
        <v>1.3813122349899398E-2</v>
      </c>
      <c r="BT17" s="184">
        <f>IFERROR(Inv_SY_B!BT17/Inv_SY_B!$CA17-1,"")</f>
        <v>1.782522809007614E-2</v>
      </c>
      <c r="BU17" s="184">
        <f>IFERROR(Inv_SY_B!BU17/Inv_SY_B!$CA17-1,"")</f>
        <v>-0.49761575653763401</v>
      </c>
      <c r="BV17" s="184">
        <f>IFERROR(Inv_SY_B!BV17/Inv_SY_B!$CA17-1,"")</f>
        <v>5.1222906514198918E-2</v>
      </c>
      <c r="BW17" s="184">
        <f>IFERROR(Inv_SY_B!BW17/Inv_SY_B!$CA17-1,"")</f>
        <v>4.9228317662378895E-2</v>
      </c>
      <c r="BX17" s="184">
        <f>IFERROR(Inv_SY_B!BX17/Inv_SY_B!$CA17-1,"")</f>
        <v>3.4202021156603868E-2</v>
      </c>
    </row>
    <row r="18" spans="1:76">
      <c r="A18"/>
      <c r="B18" s="179">
        <f t="shared" si="1"/>
        <v>45842</v>
      </c>
      <c r="C18" s="184">
        <f>IFERROR(Inv_SY_B!C18/Inv_SY_B!$BY18-1,"")</f>
        <v>1.035720961793718E-3</v>
      </c>
      <c r="D18" s="184">
        <f>IFERROR(Inv_SY_B!D18/Inv_SY_B!$BY18-1,"")</f>
        <v>-7.5310852434463671E-3</v>
      </c>
      <c r="E18" s="184">
        <f>IFERROR(Inv_SY_B!E18/Inv_SY_B!$BY18-1,"")</f>
        <v>-1.6749349880408992E-2</v>
      </c>
      <c r="F18" s="184">
        <f>IFERROR(Inv_SY_B!F18/Inv_SY_B!$BY18-1,"")</f>
        <v>-9.056744139093964E-3</v>
      </c>
      <c r="G18" s="184">
        <f>IFERROR(Inv_SY_B!G18/Inv_SY_B!$BY18-1,"")</f>
        <v>1.9891254276891424E-3</v>
      </c>
      <c r="H18" s="184">
        <f>IFERROR(Inv_SY_B!H18/Inv_SY_B!$BY18-1,"")</f>
        <v>-2.731914398344748E-3</v>
      </c>
      <c r="I18" s="184">
        <f>IFERROR(Inv_SY_B!I18/Inv_SY_B!$BY18-1,"")</f>
        <v>1.1966086408244481E-2</v>
      </c>
      <c r="J18" s="184">
        <f>IFERROR(Inv_SY_B!J18/Inv_SY_B!$BY18-1,"")</f>
        <v>8.0512450582765904E-3</v>
      </c>
      <c r="K18" s="184">
        <f>IFERROR(Inv_SY_B!K18/Inv_SY_B!$BY18-1,"")</f>
        <v>-7.0112230269124831E-3</v>
      </c>
      <c r="L18" s="184">
        <f>IFERROR(Inv_SY_B!L18/Inv_SY_B!$BY18-1,"")</f>
        <v>1.4690228600377608E-2</v>
      </c>
      <c r="M18" s="184">
        <f>IFERROR(Inv_SY_B!M18/Inv_SY_B!$BY18-1,"")</f>
        <v>3.4882241959087512E-2</v>
      </c>
      <c r="N18" s="184">
        <f>IFERROR(Inv_SY_B!N18/Inv_SY_B!$BY18-1,"")</f>
        <v>2.3842511615508322E-3</v>
      </c>
      <c r="O18" s="184">
        <f>IFERROR(Inv_SY_B!O18/Inv_SY_B!$BY18-1,"")</f>
        <v>5.2374631191838272E-2</v>
      </c>
      <c r="P18" s="184">
        <f>IFERROR(Inv_SY_B!P18/Inv_SY_B!$BY18-1,"")</f>
        <v>-2.6562318467337254E-2</v>
      </c>
      <c r="Q18" s="184">
        <f>IFERROR(Inv_SY_B!Q18/Inv_SY_B!$BY18-1,"")</f>
        <v>-1.4375853881412048E-3</v>
      </c>
      <c r="R18" s="184">
        <f>IFERROR(Inv_SY_B!R18/Inv_SY_B!$BY18-1,"")</f>
        <v>-6.5443727577416677E-3</v>
      </c>
      <c r="S18" s="184">
        <f>IFERROR(Inv_SY_B!S18/Inv_SY_B!$BY18-1,"")</f>
        <v>-1.0246134491336822E-2</v>
      </c>
      <c r="T18" s="184">
        <f>IFERROR(Inv_SY_B!T18/Inv_SY_B!$BY18-1,"")</f>
        <v>-9.557450277080104E-4</v>
      </c>
      <c r="U18" s="184">
        <f>IFERROR(Inv_SY_B!U18/Inv_SY_B!$BY18-1,"")</f>
        <v>-4.3291406008100219E-3</v>
      </c>
      <c r="V18" s="184">
        <f>IFERROR(Inv_SY_B!V18/Inv_SY_B!$BY18-1,"")</f>
        <v>3.461363888632718E-4</v>
      </c>
      <c r="W18" s="184">
        <f>IFERROR(Inv_SY_B!W18/Inv_SY_B!$BY18-1,"")</f>
        <v>-2.1082415780802832E-2</v>
      </c>
      <c r="X18" s="184">
        <f>IFERROR(Inv_SY_B!X18/Inv_SY_B!$BY18-1,"")</f>
        <v>-2.4628136047728622E-2</v>
      </c>
      <c r="Y18" s="184">
        <f>IFERROR(Inv_SY_B!Y18/Inv_SY_B!$BY18-1,"")</f>
        <v>1.006939442586563E-2</v>
      </c>
      <c r="Z18" s="184">
        <f>IFERROR(Inv_SY_B!Z18/Inv_SY_B!$BY18-1,"")</f>
        <v>1.2391595787008436E-2</v>
      </c>
      <c r="AA18" s="184">
        <f>IFERROR(Inv_SY_B!AA18/Inv_SY_B!$BY18-1,"")</f>
        <v>2.8997363199634307E-4</v>
      </c>
      <c r="AB18" s="184">
        <f>IFERROR(Inv_SY_B!AB18/Inv_SY_B!$BY18-1,"")</f>
        <v>-4.3331797894842206E-3</v>
      </c>
      <c r="AC18" s="184">
        <f>IFERROR(Inv_SY_B!AC18/Inv_SY_B!$BY18-1,"")</f>
        <v>1.3126564507803806E-4</v>
      </c>
      <c r="AD18" s="184">
        <f>IFERROR(Inv_SY_B!AD18/Inv_SY_B!$BY18-1,"")</f>
        <v>-7.4025516083715548E-3</v>
      </c>
      <c r="AE18" s="184">
        <f>IFERROR(Inv_SY_B!AE18/Inv_SY_B!$BZ18-1,"")</f>
        <v>9.9030941863260669E-3</v>
      </c>
      <c r="AF18" s="184">
        <f>IFERROR(Inv_SY_B!AF18/Inv_SY_B!$BZ18-1,"")</f>
        <v>8.5728560334175086E-5</v>
      </c>
      <c r="AG18" s="184">
        <f>IFERROR(Inv_SY_B!AG18/Inv_SY_B!$BZ18-1,"")</f>
        <v>-3.0559172314426064E-5</v>
      </c>
      <c r="AH18" s="184">
        <f>IFERROR(Inv_SY_B!AH18/Inv_SY_B!$BZ18-1,"")</f>
        <v>-8.8707428354175555E-3</v>
      </c>
      <c r="AI18" s="184">
        <f>IFERROR(Inv_SY_B!AI18/Inv_SY_B!$BZ18-1,"")</f>
        <v>1.0766604393741552E-3</v>
      </c>
      <c r="AJ18" s="184">
        <f>IFERROR(Inv_SY_B!AJ18/Inv_SY_B!$BZ18-1,"")</f>
        <v>1.9753991613531419E-3</v>
      </c>
      <c r="AK18" s="184">
        <f>IFERROR(Inv_SY_B!AK18/Inv_SY_B!$BZ18-1,"")</f>
        <v>-4.5122380946626128E-3</v>
      </c>
      <c r="AL18" s="184">
        <f>IFERROR(Inv_SY_B!AL18/Inv_SY_B!$BZ18-1,"")</f>
        <v>-2.2323795865580864E-3</v>
      </c>
      <c r="AM18" s="184">
        <f>IFERROR(Inv_SY_B!AM18/Inv_SY_B!$BZ18-1,"")</f>
        <v>-3.5927382682310327E-3</v>
      </c>
      <c r="AN18" s="184">
        <f>IFERROR(Inv_SY_B!AN18/Inv_SY_B!$BZ18-1,"")</f>
        <v>2.5008580539513936E-3</v>
      </c>
      <c r="AO18" s="184">
        <f>IFERROR(Inv_SY_B!AO18/Inv_SY_B!$BZ18-1,"")</f>
        <v>8.5249456728389017E-3</v>
      </c>
      <c r="AP18" s="184">
        <f>IFERROR(Inv_SY_B!AP18/Inv_SY_B!$BZ18-1,"")</f>
        <v>-5.5752489102234293E-4</v>
      </c>
      <c r="AQ18" s="184">
        <f>IFERROR(Inv_SY_B!AQ18/Inv_SY_B!$BZ18-1,"")</f>
        <v>-1.0782745774018387E-4</v>
      </c>
      <c r="AR18" s="184">
        <f>IFERROR(Inv_SY_B!AR18/Inv_SY_B!$BZ18-1,"")</f>
        <v>-6.1718769957507247E-3</v>
      </c>
      <c r="AS18" s="184">
        <f>IFERROR(Inv_SY_B!AS18/Inv_SY_B!$BZ18-1,"")</f>
        <v>-7.4242982708426775E-3</v>
      </c>
      <c r="AT18" s="184">
        <f>IFERROR(Inv_SY_B!AT18/Inv_SY_B!$BZ18-1,"")</f>
        <v>6.3976020838243386E-3</v>
      </c>
      <c r="AU18" s="184">
        <f>IFERROR(Inv_SY_B!AU18/Inv_SY_B!$BZ18-1,"")</f>
        <v>4.6294823805403951E-3</v>
      </c>
      <c r="AV18" s="184">
        <f>IFERROR(Inv_SY_B!AV18/Inv_SY_B!$BZ18-1,"")</f>
        <v>-1.5935849660045909E-3</v>
      </c>
      <c r="AW18" s="184">
        <f>IFERROR(Inv_SY_B!AW18/Inv_SY_B!$CA18-1,"")</f>
        <v>4.4820371551625326E-2</v>
      </c>
      <c r="AX18" s="184">
        <f>IFERROR(Inv_SY_B!AX18/Inv_SY_B!$CA18-1,"")</f>
        <v>6.1900713789931672E-2</v>
      </c>
      <c r="AY18" s="184">
        <f>IFERROR(Inv_SY_B!AY18/Inv_SY_B!$CA18-1,"")</f>
        <v>2.0675824267657461E-3</v>
      </c>
      <c r="AZ18" s="184">
        <f>IFERROR(Inv_SY_B!AZ18/Inv_SY_B!$CA18-1,"")</f>
        <v>-0.22554403683741731</v>
      </c>
      <c r="BA18" s="184">
        <f>IFERROR(Inv_SY_B!BA18/Inv_SY_B!$CA18-1,"")</f>
        <v>2.5148407500611869E-2</v>
      </c>
      <c r="BB18" s="184">
        <f>IFERROR(Inv_SY_B!BB18/Inv_SY_B!$CA18-1,"")</f>
        <v>4.94483134320578E-2</v>
      </c>
      <c r="BC18" s="184">
        <f>IFERROR(Inv_SY_B!BC18/Inv_SY_B!$CA18-1,"")</f>
        <v>3.4247665930453364E-2</v>
      </c>
      <c r="BD18" s="184">
        <f>IFERROR(Inv_SY_B!BD18/Inv_SY_B!$CA18-1,"")</f>
        <v>5.0585621483921761E-2</v>
      </c>
      <c r="BE18" s="184">
        <f>IFERROR(Inv_SY_B!BE18/Inv_SY_B!$CA18-1,"")</f>
        <v>3.7409278436812077E-2</v>
      </c>
      <c r="BF18" s="184">
        <f>IFERROR(Inv_SY_B!BF18/Inv_SY_B!$CA18-1,"")</f>
        <v>1.0781224009941637E-2</v>
      </c>
      <c r="BG18" s="184">
        <f>IFERROR(Inv_SY_B!BG18/Inv_SY_B!$CA18-1,"")</f>
        <v>5.3411765971291381E-2</v>
      </c>
      <c r="BH18" s="184">
        <f>IFERROR(Inv_SY_B!BH18/Inv_SY_B!$CA18-1,"")</f>
        <v>4.3499555412683799E-2</v>
      </c>
      <c r="BI18" s="184">
        <f>IFERROR(Inv_SY_B!BI18/Inv_SY_B!$CA18-1,"")</f>
        <v>5.6684067568526064E-2</v>
      </c>
      <c r="BJ18" s="184">
        <f>IFERROR(Inv_SY_B!BJ18/Inv_SY_B!$CA18-1,"")</f>
        <v>5.1878614986742289E-2</v>
      </c>
      <c r="BK18" s="184">
        <f>IFERROR(Inv_SY_B!BK18/Inv_SY_B!$CA18-1,"")</f>
        <v>6.5160435638780267E-2</v>
      </c>
      <c r="BL18" s="184">
        <f>IFERROR(Inv_SY_B!BL18/Inv_SY_B!$CA18-1,"")</f>
        <v>5.5990644369511733E-2</v>
      </c>
      <c r="BM18" s="184">
        <f>IFERROR(Inv_SY_B!BM18/Inv_SY_B!$CA18-1,"")</f>
        <v>1.2822172586963054E-2</v>
      </c>
      <c r="BN18" s="184">
        <f>IFERROR(Inv_SY_B!BN18/Inv_SY_B!$CA18-1,"")</f>
        <v>4.0454715236367456E-2</v>
      </c>
      <c r="BO18" s="184">
        <f>IFERROR(Inv_SY_B!BO18/Inv_SY_B!$CA18-1,"")</f>
        <v>-3.3457636609599328E-2</v>
      </c>
      <c r="BP18" s="184">
        <f>IFERROR(Inv_SY_B!BP18/Inv_SY_B!$CA18-1,"")</f>
        <v>4.6067875220611176E-2</v>
      </c>
      <c r="BQ18" s="184">
        <f>IFERROR(Inv_SY_B!BQ18/Inv_SY_B!$CA18-1,"")</f>
        <v>-6.5167038149307688E-2</v>
      </c>
      <c r="BR18" s="184">
        <f>IFERROR(Inv_SY_B!BR18/Inv_SY_B!$CA18-1,"")</f>
        <v>4.3676800754754552E-2</v>
      </c>
      <c r="BS18" s="184">
        <f>IFERROR(Inv_SY_B!BS18/Inv_SY_B!$CA18-1,"")</f>
        <v>-3.9258070975479731E-3</v>
      </c>
      <c r="BT18" s="184">
        <f>IFERROR(Inv_SY_B!BT18/Inv_SY_B!$CA18-1,"")</f>
        <v>9.7316572279018132E-3</v>
      </c>
      <c r="BU18" s="184">
        <f>IFERROR(Inv_SY_B!BU18/Inv_SY_B!$CA18-1,"")</f>
        <v>-0.5109030826986718</v>
      </c>
      <c r="BV18" s="184">
        <f>IFERROR(Inv_SY_B!BV18/Inv_SY_B!$CA18-1,"")</f>
        <v>-2.6569689649719064E-2</v>
      </c>
      <c r="BW18" s="184">
        <f>IFERROR(Inv_SY_B!BW18/Inv_SY_B!$CA18-1,"")</f>
        <v>4.0191618033501797E-2</v>
      </c>
      <c r="BX18" s="184">
        <f>IFERROR(Inv_SY_B!BX18/Inv_SY_B!$CA18-1,"")</f>
        <v>2.9588189472511184E-2</v>
      </c>
    </row>
    <row r="19" spans="1:76">
      <c r="A19"/>
      <c r="B19" s="179">
        <f t="shared" si="1"/>
        <v>45843</v>
      </c>
      <c r="C19" s="184">
        <f>IFERROR(Inv_SY_B!C19/Inv_SY_B!$BY19-1,"")</f>
        <v>4.068438068098823E-2</v>
      </c>
      <c r="D19" s="184">
        <f>IFERROR(Inv_SY_B!D19/Inv_SY_B!$BY19-1,"")</f>
        <v>4.3681163149001723E-2</v>
      </c>
      <c r="E19" s="184">
        <f>IFERROR(Inv_SY_B!E19/Inv_SY_B!$BY19-1,"")</f>
        <v>3.1676901035977645E-2</v>
      </c>
      <c r="F19" s="184">
        <f>IFERROR(Inv_SY_B!F19/Inv_SY_B!$BY19-1,"")</f>
        <v>6.7575225537852557E-3</v>
      </c>
      <c r="G19" s="184">
        <f>IFERROR(Inv_SY_B!G19/Inv_SY_B!$BY19-1,"")</f>
        <v>1.060479527075775E-2</v>
      </c>
      <c r="H19" s="184">
        <f>IFERROR(Inv_SY_B!H19/Inv_SY_B!$BY19-1,"")</f>
        <v>1.3958488452764151E-2</v>
      </c>
      <c r="I19" s="184">
        <f>IFERROR(Inv_SY_B!I19/Inv_SY_B!$BY19-1,"")</f>
        <v>4.0920755297663813E-2</v>
      </c>
      <c r="J19" s="184">
        <f>IFERROR(Inv_SY_B!J19/Inv_SY_B!$BY19-1,"")</f>
        <v>2.4983087224893952E-2</v>
      </c>
      <c r="K19" s="184">
        <f>IFERROR(Inv_SY_B!K19/Inv_SY_B!$BY19-1,"")</f>
        <v>3.4142070740657005E-2</v>
      </c>
      <c r="L19" s="184">
        <f>IFERROR(Inv_SY_B!L19/Inv_SY_B!$BY19-1,"")</f>
        <v>4.0929589763259777E-2</v>
      </c>
      <c r="M19" s="184">
        <f>IFERROR(Inv_SY_B!M19/Inv_SY_B!$BY19-1,"")</f>
        <v>6.5513329651955221E-2</v>
      </c>
      <c r="N19" s="184">
        <f>IFERROR(Inv_SY_B!N19/Inv_SY_B!$BY19-1,"")</f>
        <v>4.0944285645798217E-2</v>
      </c>
      <c r="O19" s="184">
        <f>IFERROR(Inv_SY_B!O19/Inv_SY_B!$BY19-1,"")</f>
        <v>9.556576272621875E-2</v>
      </c>
      <c r="P19" s="184">
        <f>IFERROR(Inv_SY_B!P19/Inv_SY_B!$BY19-1,"")</f>
        <v>8.637409873386348E-3</v>
      </c>
      <c r="Q19" s="184">
        <f>IFERROR(Inv_SY_B!Q19/Inv_SY_B!$BY19-1,"")</f>
        <v>3.8992580072524374E-2</v>
      </c>
      <c r="R19" s="184">
        <f>IFERROR(Inv_SY_B!R19/Inv_SY_B!$BY19-1,"")</f>
        <v>4.5951931936188961E-2</v>
      </c>
      <c r="S19" s="184">
        <f>IFERROR(Inv_SY_B!S19/Inv_SY_B!$BY19-1,"")</f>
        <v>-4.3399894866527733E-2</v>
      </c>
      <c r="T19" s="184">
        <f>IFERROR(Inv_SY_B!T19/Inv_SY_B!$BY19-1,"")</f>
        <v>-3.7106155721920997E-2</v>
      </c>
      <c r="U19" s="184">
        <f>IFERROR(Inv_SY_B!U19/Inv_SY_B!$BY19-1,"")</f>
        <v>-3.5122837240804672E-2</v>
      </c>
      <c r="V19" s="184">
        <f>IFERROR(Inv_SY_B!V19/Inv_SY_B!$BY19-1,"")</f>
        <v>-2.8162938185932962E-2</v>
      </c>
      <c r="W19" s="184">
        <f>IFERROR(Inv_SY_B!W19/Inv_SY_B!$BY19-1,"")</f>
        <v>2.5390470267509846E-2</v>
      </c>
      <c r="X19" s="184">
        <f>IFERROR(Inv_SY_B!X19/Inv_SY_B!$BY19-1,"")</f>
        <v>1.5782523877313936E-2</v>
      </c>
      <c r="Y19" s="184">
        <f>IFERROR(Inv_SY_B!Y19/Inv_SY_B!$BY19-1,"")</f>
        <v>5.185623146457452E-2</v>
      </c>
      <c r="Z19" s="184">
        <f>IFERROR(Inv_SY_B!Z19/Inv_SY_B!$BY19-1,"")</f>
        <v>4.5498634920647207E-2</v>
      </c>
      <c r="AA19" s="184">
        <f>IFERROR(Inv_SY_B!AA19/Inv_SY_B!$BY19-1,"")</f>
        <v>-0.32218663530499547</v>
      </c>
      <c r="AB19" s="184">
        <f>IFERROR(Inv_SY_B!AB19/Inv_SY_B!$BY19-1,"")</f>
        <v>-0.32775781116816272</v>
      </c>
      <c r="AC19" s="184">
        <f>IFERROR(Inv_SY_B!AC19/Inv_SY_B!$BY19-1,"")</f>
        <v>4.1740592992615566E-2</v>
      </c>
      <c r="AD19" s="184">
        <f>IFERROR(Inv_SY_B!AD19/Inv_SY_B!$BY19-1,"")</f>
        <v>2.9523764889858972E-2</v>
      </c>
      <c r="AE19" s="184">
        <f>IFERROR(Inv_SY_B!AE19/Inv_SY_B!$BZ19-1,"")</f>
        <v>-4.5075875703459722E-5</v>
      </c>
      <c r="AF19" s="184">
        <f>IFERROR(Inv_SY_B!AF19/Inv_SY_B!$BZ19-1,"")</f>
        <v>-1.2642645130119479E-2</v>
      </c>
      <c r="AG19" s="184">
        <f>IFERROR(Inv_SY_B!AG19/Inv_SY_B!$BZ19-1,"")</f>
        <v>-9.0387192660785765E-3</v>
      </c>
      <c r="AH19" s="184">
        <f>IFERROR(Inv_SY_B!AH19/Inv_SY_B!$BZ19-1,"")</f>
        <v>-1.8466390349520356E-2</v>
      </c>
      <c r="AI19" s="184">
        <f>IFERROR(Inv_SY_B!AI19/Inv_SY_B!$BZ19-1,"")</f>
        <v>-1.124340535915147E-3</v>
      </c>
      <c r="AJ19" s="184">
        <f>IFERROR(Inv_SY_B!AJ19/Inv_SY_B!$BZ19-1,"")</f>
        <v>2.9232881158856028E-3</v>
      </c>
      <c r="AK19" s="184">
        <f>IFERROR(Inv_SY_B!AK19/Inv_SY_B!$BZ19-1,"")</f>
        <v>-3.3591970817207217E-3</v>
      </c>
      <c r="AL19" s="184">
        <f>IFERROR(Inv_SY_B!AL19/Inv_SY_B!$BZ19-1,"")</f>
        <v>3.4614236618577543E-3</v>
      </c>
      <c r="AM19" s="184">
        <f>IFERROR(Inv_SY_B!AM19/Inv_SY_B!$BZ19-1,"")</f>
        <v>-4.2213797903722927E-3</v>
      </c>
      <c r="AN19" s="184">
        <f>IFERROR(Inv_SY_B!AN19/Inv_SY_B!$BZ19-1,"")</f>
        <v>2.6264418678616508E-3</v>
      </c>
      <c r="AO19" s="184">
        <f>IFERROR(Inv_SY_B!AO19/Inv_SY_B!$BZ19-1,"")</f>
        <v>2.7581307459043636E-3</v>
      </c>
      <c r="AP19" s="184">
        <f>IFERROR(Inv_SY_B!AP19/Inv_SY_B!$BZ19-1,"")</f>
        <v>-8.6461260926157246E-3</v>
      </c>
      <c r="AQ19" s="184">
        <f>IFERROR(Inv_SY_B!AQ19/Inv_SY_B!$BZ19-1,"")</f>
        <v>-6.0873559030174551E-3</v>
      </c>
      <c r="AR19" s="184">
        <f>IFERROR(Inv_SY_B!AR19/Inv_SY_B!$BZ19-1,"")</f>
        <v>-8.4747919312881947E-3</v>
      </c>
      <c r="AS19" s="184">
        <f>IFERROR(Inv_SY_B!AS19/Inv_SY_B!$BZ19-1,"")</f>
        <v>-1.22706734562672E-3</v>
      </c>
      <c r="AT19" s="184">
        <f>IFERROR(Inv_SY_B!AT19/Inv_SY_B!$BZ19-1,"")</f>
        <v>2.0896880494152503E-2</v>
      </c>
      <c r="AU19" s="184">
        <f>IFERROR(Inv_SY_B!AU19/Inv_SY_B!$BZ19-1,"")</f>
        <v>2.4870022339645637E-2</v>
      </c>
      <c r="AV19" s="184">
        <f>IFERROR(Inv_SY_B!AV19/Inv_SY_B!$BZ19-1,"")</f>
        <v>1.579690207667106E-2</v>
      </c>
      <c r="AW19" s="184">
        <f>IFERROR(Inv_SY_B!AW19/Inv_SY_B!$CA19-1,"")</f>
        <v>4.5249389864785439E-3</v>
      </c>
      <c r="AX19" s="184">
        <f>IFERROR(Inv_SY_B!AX19/Inv_SY_B!$CA19-1,"")</f>
        <v>2.7927033546921054E-2</v>
      </c>
      <c r="AY19" s="184">
        <f>IFERROR(Inv_SY_B!AY19/Inv_SY_B!$CA19-1,"")</f>
        <v>-0.5381229029146013</v>
      </c>
      <c r="AZ19" s="184">
        <f>IFERROR(Inv_SY_B!AZ19/Inv_SY_B!$CA19-1,"")</f>
        <v>-0.99675440640772961</v>
      </c>
      <c r="BA19" s="184">
        <f>IFERROR(Inv_SY_B!BA19/Inv_SY_B!$CA19-1,"")</f>
        <v>2.1124962224201571E-2</v>
      </c>
      <c r="BB19" s="184">
        <f>IFERROR(Inv_SY_B!BB19/Inv_SY_B!$CA19-1,"")</f>
        <v>3.1376560221720196E-2</v>
      </c>
      <c r="BC19" s="184">
        <f>IFERROR(Inv_SY_B!BC19/Inv_SY_B!$CA19-1,"")</f>
        <v>4.0845637073154473E-2</v>
      </c>
      <c r="BD19" s="184">
        <f>IFERROR(Inv_SY_B!BD19/Inv_SY_B!$CA19-1,"")</f>
        <v>5.8911578411861454E-2</v>
      </c>
      <c r="BE19" s="184">
        <f>IFERROR(Inv_SY_B!BE19/Inv_SY_B!$CA19-1,"")</f>
        <v>5.7075670314020721E-2</v>
      </c>
      <c r="BF19" s="184">
        <f>IFERROR(Inv_SY_B!BF19/Inv_SY_B!$CA19-1,"")</f>
        <v>3.2699279432588435E-2</v>
      </c>
      <c r="BG19" s="184">
        <f>IFERROR(Inv_SY_B!BG19/Inv_SY_B!$CA19-1,"")</f>
        <v>8.0065248605732053E-2</v>
      </c>
      <c r="BH19" s="184">
        <f>IFERROR(Inv_SY_B!BH19/Inv_SY_B!$CA19-1,"")</f>
        <v>7.1728874467787529E-2</v>
      </c>
      <c r="BI19" s="184">
        <f>IFERROR(Inv_SY_B!BI19/Inv_SY_B!$CA19-1,"")</f>
        <v>6.5024794161982813E-2</v>
      </c>
      <c r="BJ19" s="184">
        <f>IFERROR(Inv_SY_B!BJ19/Inv_SY_B!$CA19-1,"")</f>
        <v>8.0577312310481375E-2</v>
      </c>
      <c r="BK19" s="184">
        <f>IFERROR(Inv_SY_B!BK19/Inv_SY_B!$CA19-1,"")</f>
        <v>7.5100225810816656E-2</v>
      </c>
      <c r="BL19" s="184">
        <f>IFERROR(Inv_SY_B!BL19/Inv_SY_B!$CA19-1,"")</f>
        <v>6.509796955536995E-2</v>
      </c>
      <c r="BM19" s="184">
        <f>IFERROR(Inv_SY_B!BM19/Inv_SY_B!$CA19-1,"")</f>
        <v>4.2906094522550786E-2</v>
      </c>
      <c r="BN19" s="184">
        <f>IFERROR(Inv_SY_B!BN19/Inv_SY_B!$CA19-1,"")</f>
        <v>7.3988631221117762E-2</v>
      </c>
      <c r="BO19" s="184">
        <f>IFERROR(Inv_SY_B!BO19/Inv_SY_B!$CA19-1,"")</f>
        <v>-8.6599563652089984E-5</v>
      </c>
      <c r="BP19" s="184">
        <f>IFERROR(Inv_SY_B!BP19/Inv_SY_B!$CA19-1,"")</f>
        <v>7.2109751317458226E-2</v>
      </c>
      <c r="BQ19" s="184">
        <f>IFERROR(Inv_SY_B!BQ19/Inv_SY_B!$CA19-1,"")</f>
        <v>2.1092229391177497E-2</v>
      </c>
      <c r="BR19" s="184">
        <f>IFERROR(Inv_SY_B!BR19/Inv_SY_B!$CA19-1,"")</f>
        <v>4.5596693142349709E-2</v>
      </c>
      <c r="BS19" s="184">
        <f>IFERROR(Inv_SY_B!BS19/Inv_SY_B!$CA19-1,"")</f>
        <v>-1.3028280564148842E-2</v>
      </c>
      <c r="BT19" s="184">
        <f>IFERROR(Inv_SY_B!BT19/Inv_SY_B!$CA19-1,"")</f>
        <v>4.8446009527582934E-3</v>
      </c>
      <c r="BU19" s="184">
        <f>IFERROR(Inv_SY_B!BU19/Inv_SY_B!$CA19-1,"")</f>
        <v>-0.5114833801648957</v>
      </c>
      <c r="BV19" s="184">
        <f>IFERROR(Inv_SY_B!BV19/Inv_SY_B!$CA19-1,"")</f>
        <v>-2.9100954522851552E-3</v>
      </c>
      <c r="BW19" s="184">
        <f>IFERROR(Inv_SY_B!BW19/Inv_SY_B!$CA19-1,"")</f>
        <v>5.0658334895486101E-2</v>
      </c>
      <c r="BX19" s="184">
        <f>IFERROR(Inv_SY_B!BX19/Inv_SY_B!$CA19-1,"")</f>
        <v>4.2354838093560332E-2</v>
      </c>
    </row>
    <row r="20" spans="1:76">
      <c r="A20"/>
      <c r="B20" s="179">
        <f t="shared" si="1"/>
        <v>45844</v>
      </c>
      <c r="C20" s="184">
        <f>IFERROR(Inv_SY_B!C20/Inv_SY_B!$BY20-1,"")</f>
        <v>7.774211522850738E-4</v>
      </c>
      <c r="D20" s="184">
        <f>IFERROR(Inv_SY_B!D20/Inv_SY_B!$BY20-1,"")</f>
        <v>-5.0025375816571405E-3</v>
      </c>
      <c r="E20" s="184">
        <f>IFERROR(Inv_SY_B!E20/Inv_SY_B!$BY20-1,"")</f>
        <v>-9.4189761297692742E-3</v>
      </c>
      <c r="F20" s="184">
        <f>IFERROR(Inv_SY_B!F20/Inv_SY_B!$BY20-1,"")</f>
        <v>-5.3284256746746195E-3</v>
      </c>
      <c r="G20" s="184">
        <f>IFERROR(Inv_SY_B!G20/Inv_SY_B!$BY20-1,"")</f>
        <v>7.8444228570535568E-3</v>
      </c>
      <c r="H20" s="184">
        <f>IFERROR(Inv_SY_B!H20/Inv_SY_B!$BY20-1,"")</f>
        <v>3.4225704359962528E-3</v>
      </c>
      <c r="I20" s="184">
        <f>IFERROR(Inv_SY_B!I20/Inv_SY_B!$BY20-1,"")</f>
        <v>1.3594283570873333E-2</v>
      </c>
      <c r="J20" s="184">
        <f>IFERROR(Inv_SY_B!J20/Inv_SY_B!$BY20-1,"")</f>
        <v>3.4665242263716145E-3</v>
      </c>
      <c r="K20" s="184">
        <f>IFERROR(Inv_SY_B!K20/Inv_SY_B!$BY20-1,"")</f>
        <v>-1.1119868480075068E-2</v>
      </c>
      <c r="L20" s="184">
        <f>IFERROR(Inv_SY_B!L20/Inv_SY_B!$BY20-1,"")</f>
        <v>1.6534351085744303E-2</v>
      </c>
      <c r="M20" s="184">
        <f>IFERROR(Inv_SY_B!M20/Inv_SY_B!$BY20-1,"")</f>
        <v>3.301755335306833E-2</v>
      </c>
      <c r="N20" s="184">
        <f>IFERROR(Inv_SY_B!N20/Inv_SY_B!$BY20-1,"")</f>
        <v>-1.8658960900902466E-3</v>
      </c>
      <c r="O20" s="184">
        <f>IFERROR(Inv_SY_B!O20/Inv_SY_B!$BY20-1,"")</f>
        <v>4.8075670924305314E-2</v>
      </c>
      <c r="P20" s="184">
        <f>IFERROR(Inv_SY_B!P20/Inv_SY_B!$BY20-1,"")</f>
        <v>-3.1470355990522614E-2</v>
      </c>
      <c r="Q20" s="184">
        <f>IFERROR(Inv_SY_B!Q20/Inv_SY_B!$BY20-1,"")</f>
        <v>-6.0819907801912265E-4</v>
      </c>
      <c r="R20" s="184">
        <f>IFERROR(Inv_SY_B!R20/Inv_SY_B!$BY20-1,"")</f>
        <v>-3.2880913529899081E-3</v>
      </c>
      <c r="S20" s="184">
        <f>IFERROR(Inv_SY_B!S20/Inv_SY_B!$BY20-1,"")</f>
        <v>-3.083291768072205E-3</v>
      </c>
      <c r="T20" s="184">
        <f>IFERROR(Inv_SY_B!T20/Inv_SY_B!$BY20-1,"")</f>
        <v>-1.8373240765858778E-3</v>
      </c>
      <c r="U20" s="184">
        <f>IFERROR(Inv_SY_B!U20/Inv_SY_B!$BY20-1,"")</f>
        <v>5.7904911874304688E-3</v>
      </c>
      <c r="V20" s="184">
        <f>IFERROR(Inv_SY_B!V20/Inv_SY_B!$BY20-1,"")</f>
        <v>7.8546660068194996E-3</v>
      </c>
      <c r="W20" s="184">
        <f>IFERROR(Inv_SY_B!W20/Inv_SY_B!$BY20-1,"")</f>
        <v>-2.5702037685824797E-2</v>
      </c>
      <c r="X20" s="184">
        <f>IFERROR(Inv_SY_B!X20/Inv_SY_B!$BY20-1,"")</f>
        <v>-2.9187683466410541E-2</v>
      </c>
      <c r="Y20" s="184">
        <f>IFERROR(Inv_SY_B!Y20/Inv_SY_B!$BY20-1,"")</f>
        <v>6.8211136925306892E-3</v>
      </c>
      <c r="Z20" s="184">
        <f>IFERROR(Inv_SY_B!Z20/Inv_SY_B!$BY20-1,"")</f>
        <v>1.2189926662940387E-2</v>
      </c>
      <c r="AA20" s="184">
        <f>IFERROR(Inv_SY_B!AA20/Inv_SY_B!$BY20-1,"")</f>
        <v>-9.0918322401195573E-3</v>
      </c>
      <c r="AB20" s="184">
        <f>IFERROR(Inv_SY_B!AB20/Inv_SY_B!$BY20-1,"")</f>
        <v>-1.1576740348795855E-2</v>
      </c>
      <c r="AC20" s="184">
        <f>IFERROR(Inv_SY_B!AC20/Inv_SY_B!$BY20-1,"")</f>
        <v>-2.1223119667684864E-3</v>
      </c>
      <c r="AD20" s="184">
        <f>IFERROR(Inv_SY_B!AD20/Inv_SY_B!$BY20-1,"")</f>
        <v>-8.6854232250458407E-3</v>
      </c>
      <c r="AE20" s="184">
        <f>IFERROR(Inv_SY_B!AE20/Inv_SY_B!$BZ20-1,"")</f>
        <v>1.5751878662048524E-2</v>
      </c>
      <c r="AF20" s="184">
        <f>IFERROR(Inv_SY_B!AF20/Inv_SY_B!$BZ20-1,"")</f>
        <v>1.8832435968973993E-3</v>
      </c>
      <c r="AG20" s="184">
        <f>IFERROR(Inv_SY_B!AG20/Inv_SY_B!$BZ20-1,"")</f>
        <v>1.9950290423038641E-3</v>
      </c>
      <c r="AH20" s="184">
        <f>IFERROR(Inv_SY_B!AH20/Inv_SY_B!$BZ20-1,"")</f>
        <v>-2.6233428072691689E-3</v>
      </c>
      <c r="AI20" s="184">
        <f>IFERROR(Inv_SY_B!AI20/Inv_SY_B!$BZ20-1,"")</f>
        <v>5.2703235491908806E-3</v>
      </c>
      <c r="AJ20" s="184">
        <f>IFERROR(Inv_SY_B!AJ20/Inv_SY_B!$BZ20-1,"")</f>
        <v>4.3590528486237012E-3</v>
      </c>
      <c r="AK20" s="184">
        <f>IFERROR(Inv_SY_B!AK20/Inv_SY_B!$BZ20-1,"")</f>
        <v>-4.3707039053892949E-3</v>
      </c>
      <c r="AL20" s="184">
        <f>IFERROR(Inv_SY_B!AL20/Inv_SY_B!$BZ20-1,"")</f>
        <v>3.2308515181018738E-3</v>
      </c>
      <c r="AM20" s="184">
        <f>IFERROR(Inv_SY_B!AM20/Inv_SY_B!$BZ20-1,"")</f>
        <v>-6.9379216926294118E-3</v>
      </c>
      <c r="AN20" s="184">
        <f>IFERROR(Inv_SY_B!AN20/Inv_SY_B!$BZ20-1,"")</f>
        <v>5.7193834554003509E-4</v>
      </c>
      <c r="AO20" s="184">
        <f>IFERROR(Inv_SY_B!AO20/Inv_SY_B!$BZ20-1,"")</f>
        <v>5.2484079663781547E-3</v>
      </c>
      <c r="AP20" s="184">
        <f>IFERROR(Inv_SY_B!AP20/Inv_SY_B!$BZ20-1,"")</f>
        <v>8.4702479382459117E-4</v>
      </c>
      <c r="AQ20" s="184">
        <f>IFERROR(Inv_SY_B!AQ20/Inv_SY_B!$BZ20-1,"")</f>
        <v>6.6087421424954051E-4</v>
      </c>
      <c r="AR20" s="184">
        <f>IFERROR(Inv_SY_B!AR20/Inv_SY_B!$BZ20-1,"")</f>
        <v>-4.1627337764614802E-3</v>
      </c>
      <c r="AS20" s="184">
        <f>IFERROR(Inv_SY_B!AS20/Inv_SY_B!$BZ20-1,"")</f>
        <v>-6.3967145765969624E-3</v>
      </c>
      <c r="AT20" s="184">
        <f>IFERROR(Inv_SY_B!AT20/Inv_SY_B!$BZ20-1,"")</f>
        <v>-2.4222278279387721E-3</v>
      </c>
      <c r="AU20" s="184">
        <f>IFERROR(Inv_SY_B!AU20/Inv_SY_B!$BZ20-1,"")</f>
        <v>-3.5606677009373255E-3</v>
      </c>
      <c r="AV20" s="184">
        <f>IFERROR(Inv_SY_B!AV20/Inv_SY_B!$BZ20-1,"")</f>
        <v>-9.3443122499369258E-3</v>
      </c>
      <c r="AW20" s="184">
        <f>IFERROR(Inv_SY_B!AW20/Inv_SY_B!$CA20-1,"")</f>
        <v>-0.10688272524570286</v>
      </c>
      <c r="AX20" s="184">
        <f>IFERROR(Inv_SY_B!AX20/Inv_SY_B!$CA20-1,"")</f>
        <v>-8.4594395498823638E-2</v>
      </c>
      <c r="AY20" s="184">
        <f>IFERROR(Inv_SY_B!AY20/Inv_SY_B!$CA20-1,"")</f>
        <v>-0.39604283356071635</v>
      </c>
      <c r="AZ20" s="184">
        <f>IFERROR(Inv_SY_B!AZ20/Inv_SY_B!$CA20-1,"")</f>
        <v>-0.99210891661461276</v>
      </c>
      <c r="BA20" s="184">
        <f>IFERROR(Inv_SY_B!BA20/Inv_SY_B!$CA20-1,"")</f>
        <v>4.0801715288506069E-2</v>
      </c>
      <c r="BB20" s="184">
        <f>IFERROR(Inv_SY_B!BB20/Inv_SY_B!$CA20-1,"")</f>
        <v>6.5457156777163572E-2</v>
      </c>
      <c r="BC20" s="184">
        <f>IFERROR(Inv_SY_B!BC20/Inv_SY_B!$CA20-1,"")</f>
        <v>4.8605206545156987E-2</v>
      </c>
      <c r="BD20" s="184">
        <f>IFERROR(Inv_SY_B!BD20/Inv_SY_B!$CA20-1,"")</f>
        <v>7.0991685903859514E-2</v>
      </c>
      <c r="BE20" s="184">
        <f>IFERROR(Inv_SY_B!BE20/Inv_SY_B!$CA20-1,"")</f>
        <v>5.7549264308760506E-2</v>
      </c>
      <c r="BF20" s="184">
        <f>IFERROR(Inv_SY_B!BF20/Inv_SY_B!$CA20-1,"")</f>
        <v>2.8628295768682976E-2</v>
      </c>
      <c r="BG20" s="184">
        <f>IFERROR(Inv_SY_B!BG20/Inv_SY_B!$CA20-1,"")</f>
        <v>6.9941276790080664E-2</v>
      </c>
      <c r="BH20" s="184">
        <f>IFERROR(Inv_SY_B!BH20/Inv_SY_B!$CA20-1,"")</f>
        <v>6.3565557832954811E-2</v>
      </c>
      <c r="BI20" s="184">
        <f>IFERROR(Inv_SY_B!BI20/Inv_SY_B!$CA20-1,"")</f>
        <v>5.9740849329309231E-2</v>
      </c>
      <c r="BJ20" s="184">
        <f>IFERROR(Inv_SY_B!BJ20/Inv_SY_B!$CA20-1,"")</f>
        <v>6.8919092377828228E-2</v>
      </c>
      <c r="BK20" s="184">
        <f>IFERROR(Inv_SY_B!BK20/Inv_SY_B!$CA20-1,"")</f>
        <v>7.2421047161807639E-2</v>
      </c>
      <c r="BL20" s="184">
        <f>IFERROR(Inv_SY_B!BL20/Inv_SY_B!$CA20-1,"")</f>
        <v>6.1398970098311523E-2</v>
      </c>
      <c r="BM20" s="184">
        <f>IFERROR(Inv_SY_B!BM20/Inv_SY_B!$CA20-1,"")</f>
        <v>4.9874490083334555E-2</v>
      </c>
      <c r="BN20" s="184">
        <f>IFERROR(Inv_SY_B!BN20/Inv_SY_B!$CA20-1,"")</f>
        <v>7.1778797167660446E-2</v>
      </c>
      <c r="BO20" s="184">
        <f>IFERROR(Inv_SY_B!BO20/Inv_SY_B!$CA20-1,"")</f>
        <v>-7.8148656247770676E-2</v>
      </c>
      <c r="BP20" s="184">
        <f>IFERROR(Inv_SY_B!BP20/Inv_SY_B!$CA20-1,"")</f>
        <v>6.9922460494929117E-2</v>
      </c>
      <c r="BQ20" s="184">
        <f>IFERROR(Inv_SY_B!BQ20/Inv_SY_B!$CA20-1,"")</f>
        <v>5.005975027783971E-2</v>
      </c>
      <c r="BR20" s="184">
        <f>IFERROR(Inv_SY_B!BR20/Inv_SY_B!$CA20-1,"")</f>
        <v>6.7202512351457244E-2</v>
      </c>
      <c r="BS20" s="184">
        <f>IFERROR(Inv_SY_B!BS20/Inv_SY_B!$CA20-1,"")</f>
        <v>2.2154695432998972E-2</v>
      </c>
      <c r="BT20" s="184">
        <f>IFERROR(Inv_SY_B!BT20/Inv_SY_B!$CA20-1,"")</f>
        <v>3.2070239842093784E-2</v>
      </c>
      <c r="BU20" s="184">
        <f>IFERROR(Inv_SY_B!BU20/Inv_SY_B!$CA20-1,"")</f>
        <v>-0.50294207280626724</v>
      </c>
      <c r="BV20" s="184">
        <f>IFERROR(Inv_SY_B!BV20/Inv_SY_B!$CA20-1,"")</f>
        <v>-3.0571443674593191E-2</v>
      </c>
      <c r="BW20" s="184">
        <f>IFERROR(Inv_SY_B!BW20/Inv_SY_B!$CA20-1,"")</f>
        <v>6.6298103037027545E-2</v>
      </c>
      <c r="BX20" s="184">
        <f>IFERROR(Inv_SY_B!BX20/Inv_SY_B!$CA20-1,"")</f>
        <v>6.1800960164115626E-2</v>
      </c>
    </row>
    <row r="21" spans="1:76">
      <c r="A21"/>
      <c r="B21" s="179">
        <f t="shared" si="1"/>
        <v>45845</v>
      </c>
      <c r="C21" s="184">
        <f>IFERROR(Inv_SY_B!C21/Inv_SY_B!$BY21-1,"")</f>
        <v>-4.6004698027686253E-3</v>
      </c>
      <c r="D21" s="184">
        <f>IFERROR(Inv_SY_B!D21/Inv_SY_B!$BY21-1,"")</f>
        <v>-9.5730562883239445E-3</v>
      </c>
      <c r="E21" s="184">
        <f>IFERROR(Inv_SY_B!E21/Inv_SY_B!$BY21-1,"")</f>
        <v>-2.064909166985951E-2</v>
      </c>
      <c r="F21" s="184">
        <f>IFERROR(Inv_SY_B!F21/Inv_SY_B!$BY21-1,"")</f>
        <v>-2.8622855521148627E-2</v>
      </c>
      <c r="G21" s="184">
        <f>IFERROR(Inv_SY_B!G21/Inv_SY_B!$BY21-1,"")</f>
        <v>-1.8838709610941251E-2</v>
      </c>
      <c r="H21" s="184">
        <f>IFERROR(Inv_SY_B!H21/Inv_SY_B!$BY21-1,"")</f>
        <v>-1.7938712001310808E-2</v>
      </c>
      <c r="I21" s="184">
        <f>IFERROR(Inv_SY_B!I21/Inv_SY_B!$BY21-1,"")</f>
        <v>-3.5687822830310356E-3</v>
      </c>
      <c r="J21" s="184">
        <f>IFERROR(Inv_SY_B!J21/Inv_SY_B!$BY21-1,"")</f>
        <v>-1.05037277555875E-3</v>
      </c>
      <c r="K21" s="184">
        <f>IFERROR(Inv_SY_B!K21/Inv_SY_B!$BY21-1,"")</f>
        <v>-1.2732718118855568E-2</v>
      </c>
      <c r="L21" s="184">
        <f>IFERROR(Inv_SY_B!L21/Inv_SY_B!$BY21-1,"")</f>
        <v>3.8232157017643598E-3</v>
      </c>
      <c r="M21" s="184">
        <f>IFERROR(Inv_SY_B!M21/Inv_SY_B!$BY21-1,"")</f>
        <v>2.0493570887547996E-2</v>
      </c>
      <c r="N21" s="184">
        <f>IFERROR(Inv_SY_B!N21/Inv_SY_B!$BY21-1,"")</f>
        <v>-6.9977339043765241E-3</v>
      </c>
      <c r="O21" s="184">
        <f>IFERROR(Inv_SY_B!O21/Inv_SY_B!$BY21-1,"")</f>
        <v>4.1473092755746288E-2</v>
      </c>
      <c r="P21" s="184">
        <f>IFERROR(Inv_SY_B!P21/Inv_SY_B!$BY21-1,"")</f>
        <v>-3.6873279786535429E-2</v>
      </c>
      <c r="Q21" s="184">
        <f>IFERROR(Inv_SY_B!Q21/Inv_SY_B!$BY21-1,"")</f>
        <v>-7.6185963510534416E-3</v>
      </c>
      <c r="R21" s="184">
        <f>IFERROR(Inv_SY_B!R21/Inv_SY_B!$BY21-1,"")</f>
        <v>-6.7787367839957646E-3</v>
      </c>
      <c r="S21" s="184">
        <f>IFERROR(Inv_SY_B!S21/Inv_SY_B!$BY21-1,"")</f>
        <v>8.7616501716134554E-3</v>
      </c>
      <c r="T21" s="184">
        <f>IFERROR(Inv_SY_B!T21/Inv_SY_B!$BY21-1,"")</f>
        <v>2.2779433494739987E-2</v>
      </c>
      <c r="U21" s="184">
        <f>IFERROR(Inv_SY_B!U21/Inv_SY_B!$BY21-1,"")</f>
        <v>1.911826293774288E-2</v>
      </c>
      <c r="V21" s="184">
        <f>IFERROR(Inv_SY_B!V21/Inv_SY_B!$BY21-1,"")</f>
        <v>2.4942984100269072E-2</v>
      </c>
      <c r="W21" s="184">
        <f>IFERROR(Inv_SY_B!W21/Inv_SY_B!$BY21-1,"")</f>
        <v>-8.9200757291979516E-3</v>
      </c>
      <c r="X21" s="184">
        <f>IFERROR(Inv_SY_B!X21/Inv_SY_B!$BY21-1,"")</f>
        <v>-2.1881493028403476E-2</v>
      </c>
      <c r="Y21" s="184">
        <f>IFERROR(Inv_SY_B!Y21/Inv_SY_B!$BY21-1,"")</f>
        <v>1.7024120888506022E-2</v>
      </c>
      <c r="Z21" s="184">
        <f>IFERROR(Inv_SY_B!Z21/Inv_SY_B!$BY21-1,"")</f>
        <v>1.7695142370894201E-2</v>
      </c>
      <c r="AA21" s="184">
        <f>IFERROR(Inv_SY_B!AA21/Inv_SY_B!$BY21-1,"")</f>
        <v>6.6167460617450047E-3</v>
      </c>
      <c r="AB21" s="184">
        <f>IFERROR(Inv_SY_B!AB21/Inv_SY_B!$BY21-1,"")</f>
        <v>9.1744232096262479E-3</v>
      </c>
      <c r="AC21" s="184">
        <f>IFERROR(Inv_SY_B!AC21/Inv_SY_B!$BY21-1,"")</f>
        <v>1.2709722130263668E-2</v>
      </c>
      <c r="AD21" s="184">
        <f>IFERROR(Inv_SY_B!AD21/Inv_SY_B!$BY21-1,"")</f>
        <v>2.0323189448996359E-3</v>
      </c>
      <c r="AE21" s="184">
        <f>IFERROR(Inv_SY_B!AE21/Inv_SY_B!$BZ21-1,"")</f>
        <v>2.2566579194205127E-2</v>
      </c>
      <c r="AF21" s="184">
        <f>IFERROR(Inv_SY_B!AF21/Inv_SY_B!$BZ21-1,"")</f>
        <v>1.2944562616382438E-2</v>
      </c>
      <c r="AG21" s="184">
        <f>IFERROR(Inv_SY_B!AG21/Inv_SY_B!$BZ21-1,"")</f>
        <v>1.4924940920840513E-2</v>
      </c>
      <c r="AH21" s="184">
        <f>IFERROR(Inv_SY_B!AH21/Inv_SY_B!$BZ21-1,"")</f>
        <v>8.7896141091818869E-3</v>
      </c>
      <c r="AI21" s="184">
        <f>IFERROR(Inv_SY_B!AI21/Inv_SY_B!$BZ21-1,"")</f>
        <v>1.5456779317829739E-2</v>
      </c>
      <c r="AJ21" s="184">
        <f>IFERROR(Inv_SY_B!AJ21/Inv_SY_B!$BZ21-1,"")</f>
        <v>1.7677986740548768E-2</v>
      </c>
      <c r="AK21" s="184">
        <f>IFERROR(Inv_SY_B!AK21/Inv_SY_B!$BZ21-1,"")</f>
        <v>-8.2866501341916088E-3</v>
      </c>
      <c r="AL21" s="184">
        <f>IFERROR(Inv_SY_B!AL21/Inv_SY_B!$BZ21-1,"")</f>
        <v>-7.7833482944827947E-2</v>
      </c>
      <c r="AM21" s="184">
        <f>IFERROR(Inv_SY_B!AM21/Inv_SY_B!$BZ21-1,"")</f>
        <v>-1.537244158393225E-2</v>
      </c>
      <c r="AN21" s="184">
        <f>IFERROR(Inv_SY_B!AN21/Inv_SY_B!$BZ21-1,"")</f>
        <v>-7.755618787311569E-3</v>
      </c>
      <c r="AO21" s="184">
        <f>IFERROR(Inv_SY_B!AO21/Inv_SY_B!$BZ21-1,"")</f>
        <v>-1.8022400497225144E-3</v>
      </c>
      <c r="AP21" s="184">
        <f>IFERROR(Inv_SY_B!AP21/Inv_SY_B!$BZ21-1,"")</f>
        <v>-7.5367445690177615E-3</v>
      </c>
      <c r="AQ21" s="184">
        <f>IFERROR(Inv_SY_B!AQ21/Inv_SY_B!$BZ21-1,"")</f>
        <v>-9.3251307199888611E-3</v>
      </c>
      <c r="AR21" s="184">
        <f>IFERROR(Inv_SY_B!AR21/Inv_SY_B!$BZ21-1,"")</f>
        <v>-1.2569469226289098E-2</v>
      </c>
      <c r="AS21" s="184">
        <f>IFERROR(Inv_SY_B!AS21/Inv_SY_B!$BZ21-1,"")</f>
        <v>1.1241893133895342E-3</v>
      </c>
      <c r="AT21" s="184">
        <f>IFERROR(Inv_SY_B!AT21/Inv_SY_B!$BZ21-1,"")</f>
        <v>1.434990339822817E-2</v>
      </c>
      <c r="AU21" s="184">
        <f>IFERROR(Inv_SY_B!AU21/Inv_SY_B!$BZ21-1,"")</f>
        <v>1.5269547373116144E-2</v>
      </c>
      <c r="AV21" s="184">
        <f>IFERROR(Inv_SY_B!AV21/Inv_SY_B!$BZ21-1,"")</f>
        <v>1.7377675031561068E-2</v>
      </c>
      <c r="AW21" s="184">
        <f>IFERROR(Inv_SY_B!AW21/Inv_SY_B!$CA21-1,"")</f>
        <v>-0.33941074828553008</v>
      </c>
      <c r="AX21" s="184">
        <f>IFERROR(Inv_SY_B!AX21/Inv_SY_B!$CA21-1,"")</f>
        <v>-0.31831387005184031</v>
      </c>
      <c r="AY21" s="184">
        <f>IFERROR(Inv_SY_B!AY21/Inv_SY_B!$CA21-1,"")</f>
        <v>6.5327503748175308E-2</v>
      </c>
      <c r="AZ21" s="184">
        <f>IFERROR(Inv_SY_B!AZ21/Inv_SY_B!$CA21-1,"")</f>
        <v>-8.7188192913991491E-2</v>
      </c>
      <c r="BA21" s="184">
        <f>IFERROR(Inv_SY_B!BA21/Inv_SY_B!$CA21-1,"")</f>
        <v>6.9336691397257955E-2</v>
      </c>
      <c r="BB21" s="184">
        <f>IFERROR(Inv_SY_B!BB21/Inv_SY_B!$CA21-1,"")</f>
        <v>9.8647590374220329E-2</v>
      </c>
      <c r="BC21" s="184">
        <f>IFERROR(Inv_SY_B!BC21/Inv_SY_B!$CA21-1,"")</f>
        <v>8.7608531034173431E-2</v>
      </c>
      <c r="BD21" s="184">
        <f>IFERROR(Inv_SY_B!BD21/Inv_SY_B!$CA21-1,"")</f>
        <v>0.10848280895300699</v>
      </c>
      <c r="BE21" s="184">
        <f>IFERROR(Inv_SY_B!BE21/Inv_SY_B!$CA21-1,"")</f>
        <v>6.604370562663564E-2</v>
      </c>
      <c r="BF21" s="184">
        <f>IFERROR(Inv_SY_B!BF21/Inv_SY_B!$CA21-1,"")</f>
        <v>2.6419799439085123E-2</v>
      </c>
      <c r="BG21" s="184">
        <f>IFERROR(Inv_SY_B!BG21/Inv_SY_B!$CA21-1,"")</f>
        <v>8.3181862136142426E-2</v>
      </c>
      <c r="BH21" s="184">
        <f>IFERROR(Inv_SY_B!BH21/Inv_SY_B!$CA21-1,"")</f>
        <v>7.2306935698270625E-2</v>
      </c>
      <c r="BI21" s="184">
        <f>IFERROR(Inv_SY_B!BI21/Inv_SY_B!$CA21-1,"")</f>
        <v>7.5243513145743846E-2</v>
      </c>
      <c r="BJ21" s="184">
        <f>IFERROR(Inv_SY_B!BJ21/Inv_SY_B!$CA21-1,"")</f>
        <v>8.2621652486367214E-2</v>
      </c>
      <c r="BK21" s="184">
        <f>IFERROR(Inv_SY_B!BK21/Inv_SY_B!$CA21-1,"")</f>
        <v>8.9422883286796706E-2</v>
      </c>
      <c r="BL21" s="184">
        <f>IFERROR(Inv_SY_B!BL21/Inv_SY_B!$CA21-1,"")</f>
        <v>7.9772663558498103E-2</v>
      </c>
      <c r="BM21" s="184">
        <f>IFERROR(Inv_SY_B!BM21/Inv_SY_B!$CA21-1,"")</f>
        <v>9.497372894338918E-2</v>
      </c>
      <c r="BN21" s="184">
        <f>IFERROR(Inv_SY_B!BN21/Inv_SY_B!$CA21-1,"")</f>
        <v>9.5599238551908883E-2</v>
      </c>
      <c r="BO21" s="184">
        <f>IFERROR(Inv_SY_B!BO21/Inv_SY_B!$CA21-1,"")</f>
        <v>-1.5454955958398076E-2</v>
      </c>
      <c r="BP21" s="184">
        <f>IFERROR(Inv_SY_B!BP21/Inv_SY_B!$CA21-1,"")</f>
        <v>9.3352368071656366E-2</v>
      </c>
      <c r="BQ21" s="184">
        <f>IFERROR(Inv_SY_B!BQ21/Inv_SY_B!$CA21-1,"")</f>
        <v>3.6224776091410948E-2</v>
      </c>
      <c r="BR21" s="184">
        <f>IFERROR(Inv_SY_B!BR21/Inv_SY_B!$CA21-1,"")</f>
        <v>5.7034962399455491E-2</v>
      </c>
      <c r="BS21" s="184">
        <f>IFERROR(Inv_SY_B!BS21/Inv_SY_B!$CA21-1,"")</f>
        <v>-3.7946233551000574E-3</v>
      </c>
      <c r="BT21" s="184">
        <f>IFERROR(Inv_SY_B!BT21/Inv_SY_B!$CA21-1,"")</f>
        <v>1.9104669121393192E-2</v>
      </c>
      <c r="BU21" s="184">
        <f>IFERROR(Inv_SY_B!BU21/Inv_SY_B!$CA21-1,"")</f>
        <v>-0.52976277129285676</v>
      </c>
      <c r="BV21" s="184">
        <f>IFERROR(Inv_SY_B!BV21/Inv_SY_B!$CA21-1,"")</f>
        <v>-0.22564369619334146</v>
      </c>
      <c r="BW21" s="184">
        <f>IFERROR(Inv_SY_B!BW21/Inv_SY_B!$CA21-1,"")</f>
        <v>5.6900057934254678E-2</v>
      </c>
      <c r="BX21" s="184">
        <f>IFERROR(Inv_SY_B!BX21/Inv_SY_B!$CA21-1,"")</f>
        <v>6.1962916053212025E-2</v>
      </c>
    </row>
    <row r="22" spans="1:76">
      <c r="A22"/>
      <c r="B22" s="179">
        <f t="shared" si="1"/>
        <v>45846</v>
      </c>
      <c r="C22" s="184">
        <f>IFERROR(Inv_SY_B!C22/Inv_SY_B!$BY22-1,"")</f>
        <v>5.9077823609459124E-3</v>
      </c>
      <c r="D22" s="184">
        <f>IFERROR(Inv_SY_B!D22/Inv_SY_B!$BY22-1,"")</f>
        <v>1.9651543167733543E-3</v>
      </c>
      <c r="E22" s="184">
        <f>IFERROR(Inv_SY_B!E22/Inv_SY_B!$BY22-1,"")</f>
        <v>-1.1612200269412121E-2</v>
      </c>
      <c r="F22" s="184">
        <f>IFERROR(Inv_SY_B!F22/Inv_SY_B!$BY22-1,"")</f>
        <v>-2.3958127548658004E-2</v>
      </c>
      <c r="G22" s="184">
        <f>IFERROR(Inv_SY_B!G22/Inv_SY_B!$BY22-1,"")</f>
        <v>-1.36465363784668E-2</v>
      </c>
      <c r="H22" s="184">
        <f>IFERROR(Inv_SY_B!H22/Inv_SY_B!$BY22-1,"")</f>
        <v>-1.0594520500881166E-2</v>
      </c>
      <c r="I22" s="184">
        <f>IFERROR(Inv_SY_B!I22/Inv_SY_B!$BY22-1,"")</f>
        <v>5.1751393722692107E-3</v>
      </c>
      <c r="J22" s="184">
        <f>IFERROR(Inv_SY_B!J22/Inv_SY_B!$BY22-1,"")</f>
        <v>1.0161373576615951E-2</v>
      </c>
      <c r="K22" s="184">
        <f>IFERROR(Inv_SY_B!K22/Inv_SY_B!$BY22-1,"")</f>
        <v>-5.2788207593470471E-3</v>
      </c>
      <c r="L22" s="184">
        <f>IFERROR(Inv_SY_B!L22/Inv_SY_B!$BY22-1,"")</f>
        <v>7.255530725259085E-3</v>
      </c>
      <c r="M22" s="184">
        <f>IFERROR(Inv_SY_B!M22/Inv_SY_B!$BY22-1,"")</f>
        <v>2.0832536627579223E-2</v>
      </c>
      <c r="N22" s="184">
        <f>IFERROR(Inv_SY_B!N22/Inv_SY_B!$BY22-1,"")</f>
        <v>-4.7583846281535891E-3</v>
      </c>
      <c r="O22" s="184">
        <f>IFERROR(Inv_SY_B!O22/Inv_SY_B!$BY22-1,"")</f>
        <v>4.292223986650523E-2</v>
      </c>
      <c r="P22" s="184">
        <f>IFERROR(Inv_SY_B!P22/Inv_SY_B!$BY22-1,"")</f>
        <v>-3.8617891291068185E-2</v>
      </c>
      <c r="Q22" s="184">
        <f>IFERROR(Inv_SY_B!Q22/Inv_SY_B!$BY22-1,"")</f>
        <v>-4.1094672327904869E-3</v>
      </c>
      <c r="R22" s="184">
        <f>IFERROR(Inv_SY_B!R22/Inv_SY_B!$BY22-1,"")</f>
        <v>1.4528408238576596E-3</v>
      </c>
      <c r="S22" s="184">
        <f>IFERROR(Inv_SY_B!S22/Inv_SY_B!$BY22-1,"")</f>
        <v>5.0971097145793287E-3</v>
      </c>
      <c r="T22" s="184">
        <f>IFERROR(Inv_SY_B!T22/Inv_SY_B!$BY22-1,"")</f>
        <v>1.6739558174611036E-2</v>
      </c>
      <c r="U22" s="184">
        <f>IFERROR(Inv_SY_B!U22/Inv_SY_B!$BY22-1,"")</f>
        <v>2.033194673217853E-2</v>
      </c>
      <c r="V22" s="184">
        <f>IFERROR(Inv_SY_B!V22/Inv_SY_B!$BY22-1,"")</f>
        <v>2.6613979261790988E-2</v>
      </c>
      <c r="W22" s="184">
        <f>IFERROR(Inv_SY_B!W22/Inv_SY_B!$BY22-1,"")</f>
        <v>-2.3802370160602049E-2</v>
      </c>
      <c r="X22" s="184">
        <f>IFERROR(Inv_SY_B!X22/Inv_SY_B!$BY22-1,"")</f>
        <v>-3.2957329432037663E-2</v>
      </c>
      <c r="Y22" s="184">
        <f>IFERROR(Inv_SY_B!Y22/Inv_SY_B!$BY22-1,"")</f>
        <v>6.6098194889696593E-3</v>
      </c>
      <c r="Z22" s="184">
        <f>IFERROR(Inv_SY_B!Z22/Inv_SY_B!$BY22-1,"")</f>
        <v>7.3646381332814759E-3</v>
      </c>
      <c r="AA22" s="184">
        <f>IFERROR(Inv_SY_B!AA22/Inv_SY_B!$BY22-1,"")</f>
        <v>-4.1926215831984415E-3</v>
      </c>
      <c r="AB22" s="184">
        <f>IFERROR(Inv_SY_B!AB22/Inv_SY_B!$BY22-1,"")</f>
        <v>-2.79721140932776E-4</v>
      </c>
      <c r="AC22" s="184">
        <f>IFERROR(Inv_SY_B!AC22/Inv_SY_B!$BY22-1,"")</f>
        <v>3.2520925222327968E-3</v>
      </c>
      <c r="AD22" s="184">
        <f>IFERROR(Inv_SY_B!AD22/Inv_SY_B!$BY22-1,"")</f>
        <v>-7.8737507719018884E-3</v>
      </c>
      <c r="AE22" s="184">
        <f>IFERROR(Inv_SY_B!AE22/Inv_SY_B!$BZ22-1,"")</f>
        <v>1.2317785396913861E-2</v>
      </c>
      <c r="AF22" s="184">
        <f>IFERROR(Inv_SY_B!AF22/Inv_SY_B!$BZ22-1,"")</f>
        <v>5.0865334562737452E-3</v>
      </c>
      <c r="AG22" s="184">
        <f>IFERROR(Inv_SY_B!AG22/Inv_SY_B!$BZ22-1,"")</f>
        <v>1.206859202058963E-2</v>
      </c>
      <c r="AH22" s="184">
        <f>IFERROR(Inv_SY_B!AH22/Inv_SY_B!$BZ22-1,"")</f>
        <v>6.4347395067922974E-3</v>
      </c>
      <c r="AI22" s="184">
        <f>IFERROR(Inv_SY_B!AI22/Inv_SY_B!$BZ22-1,"")</f>
        <v>1.0212290131487389E-2</v>
      </c>
      <c r="AJ22" s="184">
        <f>IFERROR(Inv_SY_B!AJ22/Inv_SY_B!$BZ22-1,"")</f>
        <v>1.4236877420465532E-2</v>
      </c>
      <c r="AK22" s="184">
        <f>IFERROR(Inv_SY_B!AK22/Inv_SY_B!$BZ22-1,"")</f>
        <v>3.5869414691402923E-3</v>
      </c>
      <c r="AL22" s="184">
        <f>IFERROR(Inv_SY_B!AL22/Inv_SY_B!$BZ22-1,"")</f>
        <v>-3.9173396601269062E-2</v>
      </c>
      <c r="AM22" s="184">
        <f>IFERROR(Inv_SY_B!AM22/Inv_SY_B!$BZ22-1,"")</f>
        <v>-1.1899739272520304E-2</v>
      </c>
      <c r="AN22" s="184">
        <f>IFERROR(Inv_SY_B!AN22/Inv_SY_B!$BZ22-1,"")</f>
        <v>-4.5105227342479015E-3</v>
      </c>
      <c r="AO22" s="184">
        <f>IFERROR(Inv_SY_B!AO22/Inv_SY_B!$BZ22-1,"")</f>
        <v>8.2393840300754029E-4</v>
      </c>
      <c r="AP22" s="184">
        <f>IFERROR(Inv_SY_B!AP22/Inv_SY_B!$BZ22-1,"")</f>
        <v>-6.0120747580680867E-3</v>
      </c>
      <c r="AQ22" s="184">
        <f>IFERROR(Inv_SY_B!AQ22/Inv_SY_B!$BZ22-1,"")</f>
        <v>-7.2287753046493819E-3</v>
      </c>
      <c r="AR22" s="184">
        <f>IFERROR(Inv_SY_B!AR22/Inv_SY_B!$BZ22-1,"")</f>
        <v>-9.8283461759485213E-3</v>
      </c>
      <c r="AS22" s="184">
        <f>IFERROR(Inv_SY_B!AS22/Inv_SY_B!$BZ22-1,"")</f>
        <v>-8.6318554734310382E-4</v>
      </c>
      <c r="AT22" s="184">
        <f>IFERROR(Inv_SY_B!AT22/Inv_SY_B!$BZ22-1,"")</f>
        <v>1.530303678913425E-2</v>
      </c>
      <c r="AU22" s="184">
        <f>IFERROR(Inv_SY_B!AU22/Inv_SY_B!$BZ22-1,"")</f>
        <v>-1.6988050283225031E-2</v>
      </c>
      <c r="AV22" s="184">
        <f>IFERROR(Inv_SY_B!AV22/Inv_SY_B!$BZ22-1,"")</f>
        <v>1.6433356083465078E-2</v>
      </c>
      <c r="AW22" s="184">
        <f>IFERROR(Inv_SY_B!AW22/Inv_SY_B!$CA22-1,"")</f>
        <v>5.5696877140285483E-2</v>
      </c>
      <c r="AX22" s="184">
        <f>IFERROR(Inv_SY_B!AX22/Inv_SY_B!$CA22-1,"")</f>
        <v>3.6022728110386426E-2</v>
      </c>
      <c r="AY22" s="184">
        <f>IFERROR(Inv_SY_B!AY22/Inv_SY_B!$CA22-1,"")</f>
        <v>-0.26534403030769116</v>
      </c>
      <c r="AZ22" s="184">
        <f>IFERROR(Inv_SY_B!AZ22/Inv_SY_B!$CA22-1,"")</f>
        <v>1.351524881355548E-2</v>
      </c>
      <c r="BA22" s="184">
        <f>IFERROR(Inv_SY_B!BA22/Inv_SY_B!$CA22-1,"")</f>
        <v>2.1762921748325281E-2</v>
      </c>
      <c r="BB22" s="184">
        <f>IFERROR(Inv_SY_B!BB22/Inv_SY_B!$CA22-1,"")</f>
        <v>6.1171294072434046E-2</v>
      </c>
      <c r="BC22" s="184">
        <f>IFERROR(Inv_SY_B!BC22/Inv_SY_B!$CA22-1,"")</f>
        <v>3.14215662481101E-2</v>
      </c>
      <c r="BD22" s="184">
        <f>IFERROR(Inv_SY_B!BD22/Inv_SY_B!$CA22-1,"")</f>
        <v>6.7298452534416686E-2</v>
      </c>
      <c r="BE22" s="184">
        <f>IFERROR(Inv_SY_B!BE22/Inv_SY_B!$CA22-1,"")</f>
        <v>3.4606462785607084E-2</v>
      </c>
      <c r="BF22" s="184">
        <f>IFERROR(Inv_SY_B!BF22/Inv_SY_B!$CA22-1,"")</f>
        <v>3.6677385739150026E-3</v>
      </c>
      <c r="BG22" s="184">
        <f>IFERROR(Inv_SY_B!BG22/Inv_SY_B!$CA22-1,"")</f>
        <v>5.3528399309564545E-2</v>
      </c>
      <c r="BH22" s="184">
        <f>IFERROR(Inv_SY_B!BH22/Inv_SY_B!$CA22-1,"")</f>
        <v>4.2201889331683118E-2</v>
      </c>
      <c r="BI22" s="184">
        <f>IFERROR(Inv_SY_B!BI22/Inv_SY_B!$CA22-1,"")</f>
        <v>5.5661809058575429E-2</v>
      </c>
      <c r="BJ22" s="184">
        <f>IFERROR(Inv_SY_B!BJ22/Inv_SY_B!$CA22-1,"")</f>
        <v>6.3469879831853149E-2</v>
      </c>
      <c r="BK22" s="184">
        <f>IFERROR(Inv_SY_B!BK22/Inv_SY_B!$CA22-1,"")</f>
        <v>6.8151588062662638E-2</v>
      </c>
      <c r="BL22" s="184">
        <f>IFERROR(Inv_SY_B!BL22/Inv_SY_B!$CA22-1,"")</f>
        <v>5.5627015593484597E-2</v>
      </c>
      <c r="BM22" s="184">
        <f>IFERROR(Inv_SY_B!BM22/Inv_SY_B!$CA22-1,"")</f>
        <v>7.0302385235863074E-2</v>
      </c>
      <c r="BN22" s="184">
        <f>IFERROR(Inv_SY_B!BN22/Inv_SY_B!$CA22-1,"")</f>
        <v>5.5222296586208364E-2</v>
      </c>
      <c r="BO22" s="184">
        <f>IFERROR(Inv_SY_B!BO22/Inv_SY_B!$CA22-1,"")</f>
        <v>-5.1685206388633054E-2</v>
      </c>
      <c r="BP22" s="184">
        <f>IFERROR(Inv_SY_B!BP22/Inv_SY_B!$CA22-1,"")</f>
        <v>6.3624956918519215E-2</v>
      </c>
      <c r="BQ22" s="184">
        <f>IFERROR(Inv_SY_B!BQ22/Inv_SY_B!$CA22-1,"")</f>
        <v>1.9835629631597573E-2</v>
      </c>
      <c r="BR22" s="184">
        <f>IFERROR(Inv_SY_B!BR22/Inv_SY_B!$CA22-1,"")</f>
        <v>4.3537275527943287E-2</v>
      </c>
      <c r="BS22" s="184">
        <f>IFERROR(Inv_SY_B!BS22/Inv_SY_B!$CA22-1,"")</f>
        <v>-1.7221143442931464E-3</v>
      </c>
      <c r="BT22" s="184">
        <f>IFERROR(Inv_SY_B!BT22/Inv_SY_B!$CA22-1,"")</f>
        <v>1.2636052304161982E-2</v>
      </c>
      <c r="BU22" s="184">
        <f>IFERROR(Inv_SY_B!BU22/Inv_SY_B!$CA22-1,"")</f>
        <v>-0.5229930270981682</v>
      </c>
      <c r="BV22" s="184">
        <f>IFERROR(Inv_SY_B!BV22/Inv_SY_B!$CA22-1,"")</f>
        <v>-0.15892698017499718</v>
      </c>
      <c r="BW22" s="184">
        <f>IFERROR(Inv_SY_B!BW22/Inv_SY_B!$CA22-1,"")</f>
        <v>3.5981253536669477E-2</v>
      </c>
      <c r="BX22" s="184">
        <f>IFERROR(Inv_SY_B!BX22/Inv_SY_B!$CA22-1,"")</f>
        <v>3.5727637357957143E-2</v>
      </c>
    </row>
    <row r="23" spans="1:76">
      <c r="A23"/>
      <c r="B23" s="179">
        <f t="shared" si="1"/>
        <v>45847</v>
      </c>
      <c r="C23" s="184">
        <f>IFERROR(Inv_SY_B!C23/Inv_SY_B!$BY23-1,"")</f>
        <v>-1.3850543688517236E-3</v>
      </c>
      <c r="D23" s="184">
        <f>IFERROR(Inv_SY_B!D23/Inv_SY_B!$BY23-1,"")</f>
        <v>-3.7766718036822411E-3</v>
      </c>
      <c r="E23" s="184">
        <f>IFERROR(Inv_SY_B!E23/Inv_SY_B!$BY23-1,"")</f>
        <v>-1.6754170821723036E-2</v>
      </c>
      <c r="F23" s="184">
        <f>IFERROR(Inv_SY_B!F23/Inv_SY_B!$BY23-1,"")</f>
        <v>-2.7522032906502569E-2</v>
      </c>
      <c r="G23" s="184">
        <f>IFERROR(Inv_SY_B!G23/Inv_SY_B!$BY23-1,"")</f>
        <v>-1.6805511187163336E-2</v>
      </c>
      <c r="H23" s="184">
        <f>IFERROR(Inv_SY_B!H23/Inv_SY_B!$BY23-1,"")</f>
        <v>-1.6209765074023497E-2</v>
      </c>
      <c r="I23" s="184">
        <f>IFERROR(Inv_SY_B!I23/Inv_SY_B!$BY23-1,"")</f>
        <v>-1.0884907867436677E-2</v>
      </c>
      <c r="J23" s="184">
        <f>IFERROR(Inv_SY_B!J23/Inv_SY_B!$BY23-1,"")</f>
        <v>2.121680479784116E-3</v>
      </c>
      <c r="K23" s="184">
        <f>IFERROR(Inv_SY_B!K23/Inv_SY_B!$BY23-1,"")</f>
        <v>-1.0076151101024666E-2</v>
      </c>
      <c r="L23" s="184">
        <f>IFERROR(Inv_SY_B!L23/Inv_SY_B!$BY23-1,"")</f>
        <v>7.3764292036015977E-3</v>
      </c>
      <c r="M23" s="184">
        <f>IFERROR(Inv_SY_B!M23/Inv_SY_B!$BY23-1,"")</f>
        <v>2.2048363749289202E-2</v>
      </c>
      <c r="N23" s="184">
        <f>IFERROR(Inv_SY_B!N23/Inv_SY_B!$BY23-1,"")</f>
        <v>-3.9658800398142402E-3</v>
      </c>
      <c r="O23" s="184">
        <f>IFERROR(Inv_SY_B!O23/Inv_SY_B!$BY23-1,"")</f>
        <v>3.8566538732973443E-2</v>
      </c>
      <c r="P23" s="184">
        <f>IFERROR(Inv_SY_B!P23/Inv_SY_B!$BY23-1,"")</f>
        <v>-3.5216549502499972E-2</v>
      </c>
      <c r="Q23" s="184">
        <f>IFERROR(Inv_SY_B!Q23/Inv_SY_B!$BY23-1,"")</f>
        <v>-5.5040154038560329E-3</v>
      </c>
      <c r="R23" s="184">
        <f>IFERROR(Inv_SY_B!R23/Inv_SY_B!$BY23-1,"")</f>
        <v>-2.671800703281213E-3</v>
      </c>
      <c r="S23" s="184">
        <f>IFERROR(Inv_SY_B!S23/Inv_SY_B!$BY23-1,"")</f>
        <v>1.9474340252061406E-3</v>
      </c>
      <c r="T23" s="184">
        <f>IFERROR(Inv_SY_B!T23/Inv_SY_B!$BY23-1,"")</f>
        <v>1.6705334456168064E-2</v>
      </c>
      <c r="U23" s="184">
        <f>IFERROR(Inv_SY_B!U23/Inv_SY_B!$BY23-1,"")</f>
        <v>1.3520963446864487E-2</v>
      </c>
      <c r="V23" s="184">
        <f>IFERROR(Inv_SY_B!V23/Inv_SY_B!$BY23-1,"")</f>
        <v>1.9459565921855493E-2</v>
      </c>
      <c r="W23" s="184">
        <f>IFERROR(Inv_SY_B!W23/Inv_SY_B!$BY23-1,"")</f>
        <v>-1.3319353908100573E-2</v>
      </c>
      <c r="X23" s="184">
        <f>IFERROR(Inv_SY_B!X23/Inv_SY_B!$BY23-1,"")</f>
        <v>-2.1753093305406868E-2</v>
      </c>
      <c r="Y23" s="184">
        <f>IFERROR(Inv_SY_B!Y23/Inv_SY_B!$BY23-1,"")</f>
        <v>1.7909795283563179E-2</v>
      </c>
      <c r="Z23" s="184">
        <f>IFERROR(Inv_SY_B!Z23/Inv_SY_B!$BY23-1,"")</f>
        <v>2.0556150665484108E-2</v>
      </c>
      <c r="AA23" s="184">
        <f>IFERROR(Inv_SY_B!AA23/Inv_SY_B!$BY23-1,"")</f>
        <v>5.9161225100679005E-3</v>
      </c>
      <c r="AB23" s="184">
        <f>IFERROR(Inv_SY_B!AB23/Inv_SY_B!$BY23-1,"")</f>
        <v>4.5693638505535095E-3</v>
      </c>
      <c r="AC23" s="184">
        <f>IFERROR(Inv_SY_B!AC23/Inv_SY_B!$BY23-1,"")</f>
        <v>1.229896676909159E-2</v>
      </c>
      <c r="AD23" s="184">
        <f>IFERROR(Inv_SY_B!AD23/Inv_SY_B!$BY23-1,"")</f>
        <v>2.8482488988672561E-3</v>
      </c>
      <c r="AE23" s="184">
        <f>IFERROR(Inv_SY_B!AE23/Inv_SY_B!$BZ23-1,"")</f>
        <v>7.3298249550113326E-3</v>
      </c>
      <c r="AF23" s="184">
        <f>IFERROR(Inv_SY_B!AF23/Inv_SY_B!$BZ23-1,"")</f>
        <v>-7.9899928272653131E-4</v>
      </c>
      <c r="AG23" s="184">
        <f>IFERROR(Inv_SY_B!AG23/Inv_SY_B!$BZ23-1,"")</f>
        <v>4.9948419919854103E-3</v>
      </c>
      <c r="AH23" s="184">
        <f>IFERROR(Inv_SY_B!AH23/Inv_SY_B!$BZ23-1,"")</f>
        <v>-1.830082066015648E-3</v>
      </c>
      <c r="AI23" s="184">
        <f>IFERROR(Inv_SY_B!AI23/Inv_SY_B!$BZ23-1,"")</f>
        <v>5.1930937573494429E-3</v>
      </c>
      <c r="AJ23" s="184">
        <f>IFERROR(Inv_SY_B!AJ23/Inv_SY_B!$BZ23-1,"")</f>
        <v>9.613179935430427E-3</v>
      </c>
      <c r="AK23" s="184">
        <f>IFERROR(Inv_SY_B!AK23/Inv_SY_B!$BZ23-1,"")</f>
        <v>-2.200785036603925E-3</v>
      </c>
      <c r="AL23" s="184">
        <f>IFERROR(Inv_SY_B!AL23/Inv_SY_B!$BZ23-1,"")</f>
        <v>-2.481128549033651E-2</v>
      </c>
      <c r="AM23" s="184">
        <f>IFERROR(Inv_SY_B!AM23/Inv_SY_B!$BZ23-1,"")</f>
        <v>-1.0825771613193313E-2</v>
      </c>
      <c r="AN23" s="184">
        <f>IFERROR(Inv_SY_B!AN23/Inv_SY_B!$BZ23-1,"")</f>
        <v>-3.2030213643926553E-3</v>
      </c>
      <c r="AO23" s="184">
        <f>IFERROR(Inv_SY_B!AO23/Inv_SY_B!$BZ23-1,"")</f>
        <v>1.3776221337400418E-3</v>
      </c>
      <c r="AP23" s="184">
        <f>IFERROR(Inv_SY_B!AP23/Inv_SY_B!$BZ23-1,"")</f>
        <v>-6.7696292789690693E-3</v>
      </c>
      <c r="AQ23" s="184">
        <f>IFERROR(Inv_SY_B!AQ23/Inv_SY_B!$BZ23-1,"")</f>
        <v>-7.136052732039877E-3</v>
      </c>
      <c r="AR23" s="184">
        <f>IFERROR(Inv_SY_B!AR23/Inv_SY_B!$BZ23-1,"")</f>
        <v>-8.9556029017419103E-3</v>
      </c>
      <c r="AS23" s="184">
        <f>IFERROR(Inv_SY_B!AS23/Inv_SY_B!$BZ23-1,"")</f>
        <v>-5.2702034824925192E-3</v>
      </c>
      <c r="AT23" s="184">
        <f>IFERROR(Inv_SY_B!AT23/Inv_SY_B!$BZ23-1,"")</f>
        <v>1.2076324298506691E-2</v>
      </c>
      <c r="AU23" s="184">
        <f>IFERROR(Inv_SY_B!AU23/Inv_SY_B!$BZ23-1,"")</f>
        <v>1.5523434564137961E-2</v>
      </c>
      <c r="AV23" s="184">
        <f>IFERROR(Inv_SY_B!AV23/Inv_SY_B!$BZ23-1,"")</f>
        <v>1.569311161235154E-2</v>
      </c>
      <c r="AW23" s="184">
        <f>IFERROR(Inv_SY_B!AW23/Inv_SY_B!$CA23-1,"")</f>
        <v>4.7100750425210336E-2</v>
      </c>
      <c r="AX23" s="184">
        <f>IFERROR(Inv_SY_B!AX23/Inv_SY_B!$CA23-1,"")</f>
        <v>4.0544047677562034E-3</v>
      </c>
      <c r="AY23" s="184">
        <f>IFERROR(Inv_SY_B!AY23/Inv_SY_B!$CA23-1,"")</f>
        <v>-1.1084357401593969E-3</v>
      </c>
      <c r="AZ23" s="184">
        <f>IFERROR(Inv_SY_B!AZ23/Inv_SY_B!$CA23-1,"")</f>
        <v>7.545698620957686E-2</v>
      </c>
      <c r="BA23" s="184">
        <f>IFERROR(Inv_SY_B!BA23/Inv_SY_B!$CA23-1,"")</f>
        <v>7.9173497120212932E-3</v>
      </c>
      <c r="BB23" s="184">
        <f>IFERROR(Inv_SY_B!BB23/Inv_SY_B!$CA23-1,"")</f>
        <v>4.5815378395631212E-2</v>
      </c>
      <c r="BC23" s="184">
        <f>IFERROR(Inv_SY_B!BC23/Inv_SY_B!$CA23-1,"")</f>
        <v>3.6698127810572689E-2</v>
      </c>
      <c r="BD23" s="184">
        <f>IFERROR(Inv_SY_B!BD23/Inv_SY_B!$CA23-1,"")</f>
        <v>5.3923752212875709E-2</v>
      </c>
      <c r="BE23" s="184">
        <f>IFERROR(Inv_SY_B!BE23/Inv_SY_B!$CA23-1,"")</f>
        <v>2.6781639919001288E-2</v>
      </c>
      <c r="BF23" s="184">
        <f>IFERROR(Inv_SY_B!BF23/Inv_SY_B!$CA23-1,"")</f>
        <v>-5.240658732553416E-3</v>
      </c>
      <c r="BG23" s="184">
        <f>IFERROR(Inv_SY_B!BG23/Inv_SY_B!$CA23-1,"")</f>
        <v>4.7552955164174238E-2</v>
      </c>
      <c r="BH23" s="184">
        <f>IFERROR(Inv_SY_B!BH23/Inv_SY_B!$CA23-1,"")</f>
        <v>3.5823051920369497E-2</v>
      </c>
      <c r="BI23" s="184">
        <f>IFERROR(Inv_SY_B!BI23/Inv_SY_B!$CA23-1,"")</f>
        <v>4.0681119051531267E-2</v>
      </c>
      <c r="BJ23" s="184">
        <f>IFERROR(Inv_SY_B!BJ23/Inv_SY_B!$CA23-1,"")</f>
        <v>4.7773332978896965E-2</v>
      </c>
      <c r="BK23" s="184">
        <f>IFERROR(Inv_SY_B!BK23/Inv_SY_B!$CA23-1,"")</f>
        <v>5.3766067142589247E-2</v>
      </c>
      <c r="BL23" s="184">
        <f>IFERROR(Inv_SY_B!BL23/Inv_SY_B!$CA23-1,"")</f>
        <v>4.2841561508129677E-2</v>
      </c>
      <c r="BM23" s="184">
        <f>IFERROR(Inv_SY_B!BM23/Inv_SY_B!$CA23-1,"")</f>
        <v>5.3998812927671169E-2</v>
      </c>
      <c r="BN23" s="184">
        <f>IFERROR(Inv_SY_B!BN23/Inv_SY_B!$CA23-1,"")</f>
        <v>4.4510585714299777E-2</v>
      </c>
      <c r="BO23" s="184">
        <f>IFERROR(Inv_SY_B!BO23/Inv_SY_B!$CA23-1,"")</f>
        <v>-6.5860474145811643E-2</v>
      </c>
      <c r="BP23" s="184">
        <f>IFERROR(Inv_SY_B!BP23/Inv_SY_B!$CA23-1,"")</f>
        <v>4.5823473610713483E-2</v>
      </c>
      <c r="BQ23" s="184">
        <f>IFERROR(Inv_SY_B!BQ23/Inv_SY_B!$CA23-1,"")</f>
        <v>4.1684906570400582E-3</v>
      </c>
      <c r="BR23" s="184">
        <f>IFERROR(Inv_SY_B!BR23/Inv_SY_B!$CA23-1,"")</f>
        <v>2.8113859108837902E-2</v>
      </c>
      <c r="BS23" s="184">
        <f>IFERROR(Inv_SY_B!BS23/Inv_SY_B!$CA23-1,"")</f>
        <v>-2.5396409880707349E-2</v>
      </c>
      <c r="BT23" s="184">
        <f>IFERROR(Inv_SY_B!BT23/Inv_SY_B!$CA23-1,"")</f>
        <v>-3.84478392749521E-3</v>
      </c>
      <c r="BU23" s="184">
        <f>IFERROR(Inv_SY_B!BU23/Inv_SY_B!$CA23-1,"")</f>
        <v>-0.53147149963457996</v>
      </c>
      <c r="BV23" s="184">
        <f>IFERROR(Inv_SY_B!BV23/Inv_SY_B!$CA23-1,"")</f>
        <v>-0.15654728100880178</v>
      </c>
      <c r="BW23" s="184">
        <f>IFERROR(Inv_SY_B!BW23/Inv_SY_B!$CA23-1,"")</f>
        <v>2.3153930769596487E-2</v>
      </c>
      <c r="BX23" s="184">
        <f>IFERROR(Inv_SY_B!BX23/Inv_SY_B!$CA23-1,"")</f>
        <v>2.3513913063612835E-2</v>
      </c>
    </row>
    <row r="24" spans="1:76">
      <c r="A24"/>
      <c r="B24" s="179">
        <f t="shared" si="1"/>
        <v>45848</v>
      </c>
      <c r="C24" s="184">
        <f>IFERROR(Inv_SY_B!C24/Inv_SY_B!$BY24-1,"")</f>
        <v>4.4295150255477811E-3</v>
      </c>
      <c r="D24" s="184">
        <f>IFERROR(Inv_SY_B!D24/Inv_SY_B!$BY24-1,"")</f>
        <v>1.7341376407409292E-3</v>
      </c>
      <c r="E24" s="184">
        <f>IFERROR(Inv_SY_B!E24/Inv_SY_B!$BY24-1,"")</f>
        <v>-8.3763949750346178E-3</v>
      </c>
      <c r="F24" s="184">
        <f>IFERROR(Inv_SY_B!F24/Inv_SY_B!$BY24-1,"")</f>
        <v>-2.2315074159047099E-2</v>
      </c>
      <c r="G24" s="184">
        <f>IFERROR(Inv_SY_B!G24/Inv_SY_B!$BY24-1,"")</f>
        <v>-9.6524322029593046E-3</v>
      </c>
      <c r="H24" s="184">
        <f>IFERROR(Inv_SY_B!H24/Inv_SY_B!$BY24-1,"")</f>
        <v>-7.7462363244420462E-3</v>
      </c>
      <c r="I24" s="184">
        <f>IFERROR(Inv_SY_B!I24/Inv_SY_B!$BY24-1,"")</f>
        <v>8.1845413636780773E-3</v>
      </c>
      <c r="J24" s="184">
        <f>IFERROR(Inv_SY_B!J24/Inv_SY_B!$BY24-1,"")</f>
        <v>1.1354606468408246E-2</v>
      </c>
      <c r="K24" s="184">
        <f>IFERROR(Inv_SY_B!K24/Inv_SY_B!$BY24-1,"")</f>
        <v>-2.8048006911954748E-2</v>
      </c>
      <c r="L24" s="184">
        <f>IFERROR(Inv_SY_B!L24/Inv_SY_B!$BY24-1,"")</f>
        <v>1.1289886211902189E-2</v>
      </c>
      <c r="M24" s="184">
        <f>IFERROR(Inv_SY_B!M24/Inv_SY_B!$BY24-1,"")</f>
        <v>2.3852096260082112E-2</v>
      </c>
      <c r="N24" s="184">
        <f>IFERROR(Inv_SY_B!N24/Inv_SY_B!$BY24-1,"")</f>
        <v>-7.9558124430223476E-4</v>
      </c>
      <c r="O24" s="184">
        <f>IFERROR(Inv_SY_B!O24/Inv_SY_B!$BY24-1,"")</f>
        <v>4.1455016272463396E-2</v>
      </c>
      <c r="P24" s="184">
        <f>IFERROR(Inv_SY_B!P24/Inv_SY_B!$BY24-1,"")</f>
        <v>-3.2714283381874876E-2</v>
      </c>
      <c r="Q24" s="184">
        <f>IFERROR(Inv_SY_B!Q24/Inv_SY_B!$BY24-1,"")</f>
        <v>-2.9807442447072896E-3</v>
      </c>
      <c r="R24" s="184">
        <f>IFERROR(Inv_SY_B!R24/Inv_SY_B!$BY24-1,"")</f>
        <v>-5.3082122968017842E-4</v>
      </c>
      <c r="S24" s="184">
        <f>IFERROR(Inv_SY_B!S24/Inv_SY_B!$BY24-1,"")</f>
        <v>-2.6652568466056792E-4</v>
      </c>
      <c r="T24" s="184">
        <f>IFERROR(Inv_SY_B!T24/Inv_SY_B!$BY24-1,"")</f>
        <v>1.3461033127537991E-2</v>
      </c>
      <c r="U24" s="184">
        <f>IFERROR(Inv_SY_B!U24/Inv_SY_B!$BY24-1,"")</f>
        <v>9.3709457450035227E-3</v>
      </c>
      <c r="V24" s="184">
        <f>IFERROR(Inv_SY_B!V24/Inv_SY_B!$BY24-1,"")</f>
        <v>1.5810278767951491E-2</v>
      </c>
      <c r="W24" s="184">
        <f>IFERROR(Inv_SY_B!W24/Inv_SY_B!$BY24-1,"")</f>
        <v>-2.9999257783666078E-2</v>
      </c>
      <c r="X24" s="184">
        <f>IFERROR(Inv_SY_B!X24/Inv_SY_B!$BY24-1,"")</f>
        <v>-2.9880420545458364E-2</v>
      </c>
      <c r="Y24" s="184">
        <f>IFERROR(Inv_SY_B!Y24/Inv_SY_B!$BY24-1,"")</f>
        <v>1.0653900235174651E-2</v>
      </c>
      <c r="Z24" s="184">
        <f>IFERROR(Inv_SY_B!Z24/Inv_SY_B!$BY24-1,"")</f>
        <v>1.3080651509515429E-2</v>
      </c>
      <c r="AA24" s="184">
        <f>IFERROR(Inv_SY_B!AA24/Inv_SY_B!$BY24-1,"")</f>
        <v>8.117676179039135E-3</v>
      </c>
      <c r="AB24" s="184">
        <f>IFERROR(Inv_SY_B!AB24/Inv_SY_B!$BY24-1,"")</f>
        <v>-9.8772279212422376E-4</v>
      </c>
      <c r="AC24" s="184">
        <f>IFERROR(Inv_SY_B!AC24/Inv_SY_B!$BY24-1,"")</f>
        <v>5.4073477400793379E-3</v>
      </c>
      <c r="AD24" s="184">
        <f>IFERROR(Inv_SY_B!AD24/Inv_SY_B!$BY24-1,"")</f>
        <v>-3.9081310672122171E-3</v>
      </c>
      <c r="AE24" s="184">
        <f>IFERROR(Inv_SY_B!AE24/Inv_SY_B!$BZ24-1,"")</f>
        <v>4.9949796609429775E-3</v>
      </c>
      <c r="AF24" s="184">
        <f>IFERROR(Inv_SY_B!AF24/Inv_SY_B!$BZ24-1,"")</f>
        <v>-1.5599815855360522E-4</v>
      </c>
      <c r="AG24" s="184">
        <f>IFERROR(Inv_SY_B!AG24/Inv_SY_B!$BZ24-1,"")</f>
        <v>8.0578323962177123E-3</v>
      </c>
      <c r="AH24" s="184">
        <f>IFERROR(Inv_SY_B!AH24/Inv_SY_B!$BZ24-1,"")</f>
        <v>1.0167466724710916E-3</v>
      </c>
      <c r="AI24" s="184">
        <f>IFERROR(Inv_SY_B!AI24/Inv_SY_B!$BZ24-1,"")</f>
        <v>5.9035377375542542E-3</v>
      </c>
      <c r="AJ24" s="184">
        <f>IFERROR(Inv_SY_B!AJ24/Inv_SY_B!$BZ24-1,"")</f>
        <v>1.1157546134446639E-2</v>
      </c>
      <c r="AK24" s="184">
        <f>IFERROR(Inv_SY_B!AK24/Inv_SY_B!$BZ24-1,"")</f>
        <v>-2.5035810589962848E-3</v>
      </c>
      <c r="AL24" s="184">
        <f>IFERROR(Inv_SY_B!AL24/Inv_SY_B!$BZ24-1,"")</f>
        <v>-7.1814717712598175E-2</v>
      </c>
      <c r="AM24" s="184">
        <f>IFERROR(Inv_SY_B!AM24/Inv_SY_B!$BZ24-1,"")</f>
        <v>-2.9681856118862759E-3</v>
      </c>
      <c r="AN24" s="184">
        <f>IFERROR(Inv_SY_B!AN24/Inv_SY_B!$BZ24-1,"")</f>
        <v>5.4178585853335015E-3</v>
      </c>
      <c r="AO24" s="184">
        <f>IFERROR(Inv_SY_B!AO24/Inv_SY_B!$BZ24-1,"")</f>
        <v>8.9224740707387618E-3</v>
      </c>
      <c r="AP24" s="184">
        <f>IFERROR(Inv_SY_B!AP24/Inv_SY_B!$BZ24-1,"")</f>
        <v>1.2964414753446896E-4</v>
      </c>
      <c r="AQ24" s="184">
        <f>IFERROR(Inv_SY_B!AQ24/Inv_SY_B!$BZ24-1,"")</f>
        <v>4.9816382930134573E-4</v>
      </c>
      <c r="AR24" s="184">
        <f>IFERROR(Inv_SY_B!AR24/Inv_SY_B!$BZ24-1,"")</f>
        <v>-1.1094877562338734E-3</v>
      </c>
      <c r="AS24" s="184">
        <f>IFERROR(Inv_SY_B!AS24/Inv_SY_B!$BZ24-1,"")</f>
        <v>-4.6609241628067233E-3</v>
      </c>
      <c r="AT24" s="184">
        <f>IFERROR(Inv_SY_B!AT24/Inv_SY_B!$BZ24-1,"")</f>
        <v>1.023737080998588E-2</v>
      </c>
      <c r="AU24" s="184">
        <f>IFERROR(Inv_SY_B!AU24/Inv_SY_B!$BZ24-1,"")</f>
        <v>1.1751601332261385E-2</v>
      </c>
      <c r="AV24" s="184">
        <f>IFERROR(Inv_SY_B!AV24/Inv_SY_B!$BZ24-1,"")</f>
        <v>1.5125139084287254E-2</v>
      </c>
      <c r="AW24" s="184">
        <f>IFERROR(Inv_SY_B!AW24/Inv_SY_B!$CA24-1,"")</f>
        <v>2.9495407050610822E-2</v>
      </c>
      <c r="AX24" s="184">
        <f>IFERROR(Inv_SY_B!AX24/Inv_SY_B!$CA24-1,"")</f>
        <v>4.0713936694162234E-2</v>
      </c>
      <c r="AY24" s="184">
        <f>IFERROR(Inv_SY_B!AY24/Inv_SY_B!$CA24-1,"")</f>
        <v>-1.0233290253657268E-2</v>
      </c>
      <c r="AZ24" s="184">
        <f>IFERROR(Inv_SY_B!AZ24/Inv_SY_B!$CA24-1,"")</f>
        <v>5.9535026524830004E-2</v>
      </c>
      <c r="BA24" s="184">
        <f>IFERROR(Inv_SY_B!BA24/Inv_SY_B!$CA24-1,"")</f>
        <v>-3.9065052033313563E-3</v>
      </c>
      <c r="BB24" s="184">
        <f>IFERROR(Inv_SY_B!BB24/Inv_SY_B!$CA24-1,"")</f>
        <v>3.516711071740275E-2</v>
      </c>
      <c r="BC24" s="184">
        <f>IFERROR(Inv_SY_B!BC24/Inv_SY_B!$CA24-1,"")</f>
        <v>2.3705692490765484E-2</v>
      </c>
      <c r="BD24" s="184">
        <f>IFERROR(Inv_SY_B!BD24/Inv_SY_B!$CA24-1,"")</f>
        <v>2.6108280807046524E-2</v>
      </c>
      <c r="BE24" s="184">
        <f>IFERROR(Inv_SY_B!BE24/Inv_SY_B!$CA24-1,"")</f>
        <v>1.823253091407806E-2</v>
      </c>
      <c r="BF24" s="184">
        <f>IFERROR(Inv_SY_B!BF24/Inv_SY_B!$CA24-1,"")</f>
        <v>-6.7985165878764464E-3</v>
      </c>
      <c r="BG24" s="184">
        <f>IFERROR(Inv_SY_B!BG24/Inv_SY_B!$CA24-1,"")</f>
        <v>3.9239316456171069E-2</v>
      </c>
      <c r="BH24" s="184">
        <f>IFERROR(Inv_SY_B!BH24/Inv_SY_B!$CA24-1,"")</f>
        <v>1.0157086946624982E-2</v>
      </c>
      <c r="BI24" s="184">
        <f>IFERROR(Inv_SY_B!BI24/Inv_SY_B!$CA24-1,"")</f>
        <v>4.2946012435339131E-2</v>
      </c>
      <c r="BJ24" s="184">
        <f>IFERROR(Inv_SY_B!BJ24/Inv_SY_B!$CA24-1,"")</f>
        <v>5.0998538431947793E-2</v>
      </c>
      <c r="BK24" s="184">
        <f>IFERROR(Inv_SY_B!BK24/Inv_SY_B!$CA24-1,"")</f>
        <v>5.4736788388093816E-2</v>
      </c>
      <c r="BL24" s="184">
        <f>IFERROR(Inv_SY_B!BL24/Inv_SY_B!$CA24-1,"")</f>
        <v>4.1255944168259173E-2</v>
      </c>
      <c r="BM24" s="184">
        <f>IFERROR(Inv_SY_B!BM24/Inv_SY_B!$CA24-1,"")</f>
        <v>4.8165818155996964E-2</v>
      </c>
      <c r="BN24" s="184">
        <f>IFERROR(Inv_SY_B!BN24/Inv_SY_B!$CA24-1,"")</f>
        <v>3.603659402142001E-2</v>
      </c>
      <c r="BO24" s="184">
        <f>IFERROR(Inv_SY_B!BO24/Inv_SY_B!$CA24-1,"")</f>
        <v>-5.5180018904179229E-2</v>
      </c>
      <c r="BP24" s="184">
        <f>IFERROR(Inv_SY_B!BP24/Inv_SY_B!$CA24-1,"")</f>
        <v>4.2225838928202863E-2</v>
      </c>
      <c r="BQ24" s="184">
        <f>IFERROR(Inv_SY_B!BQ24/Inv_SY_B!$CA24-1,"")</f>
        <v>6.7661679814985387E-3</v>
      </c>
      <c r="BR24" s="184">
        <f>IFERROR(Inv_SY_B!BR24/Inv_SY_B!$CA24-1,"")</f>
        <v>3.053595155722566E-2</v>
      </c>
      <c r="BS24" s="184">
        <f>IFERROR(Inv_SY_B!BS24/Inv_SY_B!$CA24-1,"")</f>
        <v>-1.3444234904906538E-2</v>
      </c>
      <c r="BT24" s="184">
        <f>IFERROR(Inv_SY_B!BT24/Inv_SY_B!$CA24-1,"")</f>
        <v>1.7233913303871251E-3</v>
      </c>
      <c r="BU24" s="184">
        <f>IFERROR(Inv_SY_B!BU24/Inv_SY_B!$CA24-1,"")</f>
        <v>-0.51976638125528984</v>
      </c>
      <c r="BV24" s="184">
        <f>IFERROR(Inv_SY_B!BV24/Inv_SY_B!$CA24-1,"")</f>
        <v>-8.1616546791039801E-2</v>
      </c>
      <c r="BW24" s="184">
        <f>IFERROR(Inv_SY_B!BW24/Inv_SY_B!$CA24-1,"")</f>
        <v>2.7118318877856096E-2</v>
      </c>
      <c r="BX24" s="184">
        <f>IFERROR(Inv_SY_B!BX24/Inv_SY_B!$CA24-1,"")</f>
        <v>2.6081741022359939E-2</v>
      </c>
    </row>
    <row r="25" spans="1:76">
      <c r="A25"/>
      <c r="B25" s="179">
        <f t="shared" si="1"/>
        <v>45849</v>
      </c>
      <c r="C25" s="184">
        <f>IFERROR(Inv_SY_B!C25/Inv_SY_B!$BY25-1,"")</f>
        <v>1.0008601950493246E-2</v>
      </c>
      <c r="D25" s="184">
        <f>IFERROR(Inv_SY_B!D25/Inv_SY_B!$BY25-1,"")</f>
        <v>1.3012991070522339E-3</v>
      </c>
      <c r="E25" s="184">
        <f>IFERROR(Inv_SY_B!E25/Inv_SY_B!$BY25-1,"")</f>
        <v>1.1005054818976845E-2</v>
      </c>
      <c r="F25" s="184">
        <f>IFERROR(Inv_SY_B!F25/Inv_SY_B!$BY25-1,"")</f>
        <v>9.7526345469045594E-4</v>
      </c>
      <c r="G25" s="184">
        <f>IFERROR(Inv_SY_B!G25/Inv_SY_B!$BY25-1,"")</f>
        <v>-3.7240071835786259E-2</v>
      </c>
      <c r="H25" s="184">
        <f>IFERROR(Inv_SY_B!H25/Inv_SY_B!$BY25-1,"")</f>
        <v>-4.4105076363043727E-2</v>
      </c>
      <c r="I25" s="184">
        <f>IFERROR(Inv_SY_B!I25/Inv_SY_B!$BY25-1,"")</f>
        <v>-1.4802535897149305E-3</v>
      </c>
      <c r="J25" s="184">
        <f>IFERROR(Inv_SY_B!J25/Inv_SY_B!$BY25-1,"")</f>
        <v>-3.8808730194910823E-2</v>
      </c>
      <c r="K25" s="184">
        <f>IFERROR(Inv_SY_B!K25/Inv_SY_B!$BY25-1,"")</f>
        <v>7.3690611797316841E-4</v>
      </c>
      <c r="L25" s="184">
        <f>IFERROR(Inv_SY_B!L25/Inv_SY_B!$BY25-1,"")</f>
        <v>2.1953552672330012E-2</v>
      </c>
      <c r="M25" s="184">
        <f>IFERROR(Inv_SY_B!M25/Inv_SY_B!$BY25-1,"")</f>
        <v>3.6807812566778342E-2</v>
      </c>
      <c r="N25" s="184">
        <f>IFERROR(Inv_SY_B!N25/Inv_SY_B!$BY25-1,"")</f>
        <v>1.1102910378484321E-2</v>
      </c>
      <c r="O25" s="184">
        <f>IFERROR(Inv_SY_B!O25/Inv_SY_B!$BY25-1,"")</f>
        <v>6.637490909412147E-2</v>
      </c>
      <c r="P25" s="184">
        <f>IFERROR(Inv_SY_B!P25/Inv_SY_B!$BY25-1,"")</f>
        <v>-1.3085498552171781E-2</v>
      </c>
      <c r="Q25" s="184">
        <f>IFERROR(Inv_SY_B!Q25/Inv_SY_B!$BY25-1,"")</f>
        <v>1.3370408361601083E-2</v>
      </c>
      <c r="R25" s="184">
        <f>IFERROR(Inv_SY_B!R25/Inv_SY_B!$BY25-1,"")</f>
        <v>2.703691946413489E-2</v>
      </c>
      <c r="S25" s="184">
        <f>IFERROR(Inv_SY_B!S25/Inv_SY_B!$BY25-1,"")</f>
        <v>9.8715838477170248E-3</v>
      </c>
      <c r="T25" s="184">
        <f>IFERROR(Inv_SY_B!T25/Inv_SY_B!$BY25-1,"")</f>
        <v>-2.3206848652742584E-2</v>
      </c>
      <c r="U25" s="184">
        <f>IFERROR(Inv_SY_B!U25/Inv_SY_B!$BY25-1,"")</f>
        <v>1.7365063817865067E-2</v>
      </c>
      <c r="V25" s="184">
        <f>IFERROR(Inv_SY_B!V25/Inv_SY_B!$BY25-1,"")</f>
        <v>1.1035238328992447E-2</v>
      </c>
      <c r="W25" s="184">
        <f>IFERROR(Inv_SY_B!W25/Inv_SY_B!$BY25-1,"")</f>
        <v>-3.8433131585151381E-2</v>
      </c>
      <c r="X25" s="184">
        <f>IFERROR(Inv_SY_B!X25/Inv_SY_B!$BY25-1,"")</f>
        <v>-1.8483685456470944E-2</v>
      </c>
      <c r="Y25" s="184">
        <f>IFERROR(Inv_SY_B!Y25/Inv_SY_B!$BY25-1,"")</f>
        <v>-3.9169032468173715E-3</v>
      </c>
      <c r="Z25" s="184">
        <f>IFERROR(Inv_SY_B!Z25/Inv_SY_B!$BY25-1,"")</f>
        <v>-4.7386260181412343E-3</v>
      </c>
      <c r="AA25" s="184">
        <f>IFERROR(Inv_SY_B!AA25/Inv_SY_B!$BY25-1,"")</f>
        <v>5.7806578283443599E-3</v>
      </c>
      <c r="AB25" s="184">
        <f>IFERROR(Inv_SY_B!AB25/Inv_SY_B!$BY25-1,"")</f>
        <v>1.7064510748538986E-3</v>
      </c>
      <c r="AC25" s="184">
        <f>IFERROR(Inv_SY_B!AC25/Inv_SY_B!$BY25-1,"")</f>
        <v>-5.8155650463542763E-3</v>
      </c>
      <c r="AD25" s="184">
        <f>IFERROR(Inv_SY_B!AD25/Inv_SY_B!$BY25-1,"")</f>
        <v>-1.7118242343103662E-2</v>
      </c>
      <c r="AE25" s="184">
        <f>IFERROR(Inv_SY_B!AE25/Inv_SY_B!$BZ25-1,"")</f>
        <v>8.1104958819817607E-3</v>
      </c>
      <c r="AF25" s="184">
        <f>IFERROR(Inv_SY_B!AF25/Inv_SY_B!$BZ25-1,"")</f>
        <v>-7.2181441871677077E-3</v>
      </c>
      <c r="AG25" s="184">
        <f>IFERROR(Inv_SY_B!AG25/Inv_SY_B!$BZ25-1,"")</f>
        <v>2.0375397108411963E-3</v>
      </c>
      <c r="AH25" s="184">
        <f>IFERROR(Inv_SY_B!AH25/Inv_SY_B!$BZ25-1,"")</f>
        <v>-1.122637523422565E-2</v>
      </c>
      <c r="AI25" s="184">
        <f>IFERROR(Inv_SY_B!AI25/Inv_SY_B!$BZ25-1,"")</f>
        <v>8.3723873102090618E-3</v>
      </c>
      <c r="AJ25" s="184">
        <f>IFERROR(Inv_SY_B!AJ25/Inv_SY_B!$BZ25-1,"")</f>
        <v>9.9867483902931209E-3</v>
      </c>
      <c r="AK25" s="184">
        <f>IFERROR(Inv_SY_B!AK25/Inv_SY_B!$BZ25-1,"")</f>
        <v>-9.219888193078396E-3</v>
      </c>
      <c r="AL25" s="184">
        <f>IFERROR(Inv_SY_B!AL25/Inv_SY_B!$BZ25-1,"")</f>
        <v>-2.7575166188582467E-2</v>
      </c>
      <c r="AM25" s="184">
        <f>IFERROR(Inv_SY_B!AM25/Inv_SY_B!$BZ25-1,"")</f>
        <v>4.3848523302696396E-3</v>
      </c>
      <c r="AN25" s="184">
        <f>IFERROR(Inv_SY_B!AN25/Inv_SY_B!$BZ25-1,"")</f>
        <v>7.9187660578354802E-3</v>
      </c>
      <c r="AO25" s="184">
        <f>IFERROR(Inv_SY_B!AO25/Inv_SY_B!$BZ25-1,"")</f>
        <v>1.4425002571764489E-2</v>
      </c>
      <c r="AP25" s="184">
        <f>IFERROR(Inv_SY_B!AP25/Inv_SY_B!$BZ25-1,"")</f>
        <v>-3.1735033327058737E-2</v>
      </c>
      <c r="AQ25" s="184">
        <f>IFERROR(Inv_SY_B!AQ25/Inv_SY_B!$BZ25-1,"")</f>
        <v>-6.859107905747841E-4</v>
      </c>
      <c r="AR25" s="184">
        <f>IFERROR(Inv_SY_B!AR25/Inv_SY_B!$BZ25-1,"")</f>
        <v>-1.6066525636100337E-3</v>
      </c>
      <c r="AS25" s="184">
        <f>IFERROR(Inv_SY_B!AS25/Inv_SY_B!$BZ25-1,"")</f>
        <v>4.279433542932809E-3</v>
      </c>
      <c r="AT25" s="184">
        <f>IFERROR(Inv_SY_B!AT25/Inv_SY_B!$BZ25-1,"")</f>
        <v>-8.354226944575105E-3</v>
      </c>
      <c r="AU25" s="184">
        <f>IFERROR(Inv_SY_B!AU25/Inv_SY_B!$BZ25-1,"")</f>
        <v>3.1693704102312648E-2</v>
      </c>
      <c r="AV25" s="184">
        <f>IFERROR(Inv_SY_B!AV25/Inv_SY_B!$BZ25-1,"")</f>
        <v>6.4124675304313428E-3</v>
      </c>
      <c r="AW25" s="184">
        <f>IFERROR(Inv_SY_B!AW25/Inv_SY_B!$CA25-1,"")</f>
        <v>-9.5418271737841676E-2</v>
      </c>
      <c r="AX25" s="184">
        <f>IFERROR(Inv_SY_B!AX25/Inv_SY_B!$CA25-1,"")</f>
        <v>-7.0642923081649101E-2</v>
      </c>
      <c r="AY25" s="184">
        <f>IFERROR(Inv_SY_B!AY25/Inv_SY_B!$CA25-1,"")</f>
        <v>2.0381637302453237E-2</v>
      </c>
      <c r="AZ25" s="184">
        <f>IFERROR(Inv_SY_B!AZ25/Inv_SY_B!$CA25-1,"")</f>
        <v>8.439613111384614E-2</v>
      </c>
      <c r="BA25" s="184">
        <f>IFERROR(Inv_SY_B!BA25/Inv_SY_B!$CA25-1,"")</f>
        <v>-4.8601194621266108E-3</v>
      </c>
      <c r="BB25" s="184">
        <f>IFERROR(Inv_SY_B!BB25/Inv_SY_B!$CA25-1,"")</f>
        <v>1.6182409942448128E-2</v>
      </c>
      <c r="BC25" s="184">
        <f>IFERROR(Inv_SY_B!BC25/Inv_SY_B!$CA25-1,"")</f>
        <v>1.7271367502633472E-2</v>
      </c>
      <c r="BD25" s="184">
        <f>IFERROR(Inv_SY_B!BD25/Inv_SY_B!$CA25-1,"")</f>
        <v>2.1746846603837078E-2</v>
      </c>
      <c r="BE25" s="184">
        <f>IFERROR(Inv_SY_B!BE25/Inv_SY_B!$CA25-1,"")</f>
        <v>3.1214030842941609E-2</v>
      </c>
      <c r="BF25" s="184">
        <f>IFERROR(Inv_SY_B!BF25/Inv_SY_B!$CA25-1,"")</f>
        <v>1.1862805848324554E-2</v>
      </c>
      <c r="BG25" s="184">
        <f>IFERROR(Inv_SY_B!BG25/Inv_SY_B!$CA25-1,"")</f>
        <v>3.63509531819175E-2</v>
      </c>
      <c r="BH25" s="184">
        <f>IFERROR(Inv_SY_B!BH25/Inv_SY_B!$CA25-1,"")</f>
        <v>3.0699842258780752E-2</v>
      </c>
      <c r="BI25" s="184">
        <f>IFERROR(Inv_SY_B!BI25/Inv_SY_B!$CA25-1,"")</f>
        <v>3.1730884053287722E-2</v>
      </c>
      <c r="BJ25" s="184">
        <f>IFERROR(Inv_SY_B!BJ25/Inv_SY_B!$CA25-1,"")</f>
        <v>4.6064679980459378E-2</v>
      </c>
      <c r="BK25" s="184">
        <f>IFERROR(Inv_SY_B!BK25/Inv_SY_B!$CA25-1,"")</f>
        <v>2.5100053254017096E-2</v>
      </c>
      <c r="BL25" s="184">
        <f>IFERROR(Inv_SY_B!BL25/Inv_SY_B!$CA25-1,"")</f>
        <v>2.8396872469169887E-2</v>
      </c>
      <c r="BM25" s="184">
        <f>IFERROR(Inv_SY_B!BM25/Inv_SY_B!$CA25-1,"")</f>
        <v>1.9081548779861235E-2</v>
      </c>
      <c r="BN25" s="184">
        <f>IFERROR(Inv_SY_B!BN25/Inv_SY_B!$CA25-1,"")</f>
        <v>7.2925995333141813E-3</v>
      </c>
      <c r="BO25" s="184">
        <f>IFERROR(Inv_SY_B!BO25/Inv_SY_B!$CA25-1,"")</f>
        <v>-8.0119261945514664E-2</v>
      </c>
      <c r="BP25" s="184">
        <f>IFERROR(Inv_SY_B!BP25/Inv_SY_B!$CA25-1,"")</f>
        <v>1.6252376099605614E-2</v>
      </c>
      <c r="BQ25" s="184">
        <f>IFERROR(Inv_SY_B!BQ25/Inv_SY_B!$CA25-1,"")</f>
        <v>3.0972511700722016E-2</v>
      </c>
      <c r="BR25" s="184">
        <f>IFERROR(Inv_SY_B!BR25/Inv_SY_B!$CA25-1,"")</f>
        <v>5.4261764926344602E-2</v>
      </c>
      <c r="BS25" s="184">
        <f>IFERROR(Inv_SY_B!BS25/Inv_SY_B!$CA25-1,"")</f>
        <v>2.1695537632539619E-2</v>
      </c>
      <c r="BT25" s="184">
        <f>IFERROR(Inv_SY_B!BT25/Inv_SY_B!$CA25-1,"")</f>
        <v>3.0546614784430437E-2</v>
      </c>
      <c r="BU25" s="184">
        <f>IFERROR(Inv_SY_B!BU25/Inv_SY_B!$CA25-1,"")</f>
        <v>-0.48817059824726283</v>
      </c>
      <c r="BV25" s="184">
        <f>IFERROR(Inv_SY_B!BV25/Inv_SY_B!$CA25-1,"")</f>
        <v>0.1036777762419725</v>
      </c>
      <c r="BW25" s="184">
        <f>IFERROR(Inv_SY_B!BW25/Inv_SY_B!$CA25-1,"")</f>
        <v>4.5640426861850658E-2</v>
      </c>
      <c r="BX25" s="184">
        <f>IFERROR(Inv_SY_B!BX25/Inv_SY_B!$CA25-1,"")</f>
        <v>8.39150355963314E-3</v>
      </c>
    </row>
    <row r="26" spans="1:76">
      <c r="A26"/>
      <c r="B26" s="179">
        <f t="shared" si="1"/>
        <v>45850</v>
      </c>
      <c r="C26" s="184">
        <f>IFERROR(Inv_SY_B!C26/Inv_SY_B!$BY26-1,"")</f>
        <v>-6.756493208196046E-3</v>
      </c>
      <c r="D26" s="184">
        <f>IFERROR(Inv_SY_B!D26/Inv_SY_B!$BY26-1,"")</f>
        <v>-6.4023055083720637E-3</v>
      </c>
      <c r="E26" s="184">
        <f>IFERROR(Inv_SY_B!E26/Inv_SY_B!$BY26-1,"")</f>
        <v>-9.3132135416114092E-3</v>
      </c>
      <c r="F26" s="184">
        <f>IFERROR(Inv_SY_B!F26/Inv_SY_B!$BY26-1,"")</f>
        <v>-1.1976175659162425E-2</v>
      </c>
      <c r="G26" s="184">
        <f>IFERROR(Inv_SY_B!G26/Inv_SY_B!$BY26-1,"")</f>
        <v>-1.3325344340307188E-2</v>
      </c>
      <c r="H26" s="184">
        <f>IFERROR(Inv_SY_B!H26/Inv_SY_B!$BY26-1,"")</f>
        <v>-2.0716737186862622E-2</v>
      </c>
      <c r="I26" s="184">
        <f>IFERROR(Inv_SY_B!I26/Inv_SY_B!$BY26-1,"")</f>
        <v>1.3073018149687421E-3</v>
      </c>
      <c r="J26" s="184">
        <f>IFERROR(Inv_SY_B!J26/Inv_SY_B!$BY26-1,"")</f>
        <v>-8.2783446785592574E-3</v>
      </c>
      <c r="K26" s="184">
        <f>IFERROR(Inv_SY_B!K26/Inv_SY_B!$BY26-1,"")</f>
        <v>-2.8412773737349628E-2</v>
      </c>
      <c r="L26" s="184">
        <f>IFERROR(Inv_SY_B!L26/Inv_SY_B!$BY26-1,"")</f>
        <v>1.1564595353934504E-2</v>
      </c>
      <c r="M26" s="184">
        <f>IFERROR(Inv_SY_B!M26/Inv_SY_B!$BY26-1,"")</f>
        <v>2.5275545506558528E-2</v>
      </c>
      <c r="N26" s="184">
        <f>IFERROR(Inv_SY_B!N26/Inv_SY_B!$BY26-1,"")</f>
        <v>-2.6880909319536572E-3</v>
      </c>
      <c r="O26" s="184">
        <f>IFERROR(Inv_SY_B!O26/Inv_SY_B!$BY26-1,"")</f>
        <v>3.7939343855563967E-2</v>
      </c>
      <c r="P26" s="184">
        <f>IFERROR(Inv_SY_B!P26/Inv_SY_B!$BY26-1,"")</f>
        <v>-2.7008710387325108E-2</v>
      </c>
      <c r="Q26" s="184">
        <f>IFERROR(Inv_SY_B!Q26/Inv_SY_B!$BY26-1,"")</f>
        <v>-2.026064247902748E-3</v>
      </c>
      <c r="R26" s="184">
        <f>IFERROR(Inv_SY_B!R26/Inv_SY_B!$BY26-1,"")</f>
        <v>2.3598832866056352E-3</v>
      </c>
      <c r="S26" s="184">
        <f>IFERROR(Inv_SY_B!S26/Inv_SY_B!$BY26-1,"")</f>
        <v>-1.2240069294040978E-2</v>
      </c>
      <c r="T26" s="184">
        <f>IFERROR(Inv_SY_B!T26/Inv_SY_B!$BY26-1,"")</f>
        <v>-7.6316887430748492E-3</v>
      </c>
      <c r="U26" s="184">
        <f>IFERROR(Inv_SY_B!U26/Inv_SY_B!$BY26-1,"")</f>
        <v>-3.7809407568876185E-3</v>
      </c>
      <c r="V26" s="184">
        <f>IFERROR(Inv_SY_B!V26/Inv_SY_B!$BY26-1,"")</f>
        <v>-6.6181312575519513E-4</v>
      </c>
      <c r="W26" s="184">
        <f>IFERROR(Inv_SY_B!W26/Inv_SY_B!$BY26-1,"")</f>
        <v>-2.8151987425595992E-2</v>
      </c>
      <c r="X26" s="184">
        <f>IFERROR(Inv_SY_B!X26/Inv_SY_B!$BY26-1,"")</f>
        <v>9.7202879370865691E-3</v>
      </c>
      <c r="Y26" s="184">
        <f>IFERROR(Inv_SY_B!Y26/Inv_SY_B!$BY26-1,"")</f>
        <v>2.6219750486758509E-2</v>
      </c>
      <c r="Z26" s="184">
        <f>IFERROR(Inv_SY_B!Z26/Inv_SY_B!$BY26-1,"")</f>
        <v>2.9705968676442263E-2</v>
      </c>
      <c r="AA26" s="184">
        <f>IFERROR(Inv_SY_B!AA26/Inv_SY_B!$BY26-1,"")</f>
        <v>1.6844764917906652E-2</v>
      </c>
      <c r="AB26" s="184">
        <f>IFERROR(Inv_SY_B!AB26/Inv_SY_B!$BY26-1,"")</f>
        <v>-3.8424166300230489E-3</v>
      </c>
      <c r="AC26" s="184">
        <f>IFERROR(Inv_SY_B!AC26/Inv_SY_B!$BY26-1,"")</f>
        <v>1.9998366542026025E-2</v>
      </c>
      <c r="AD26" s="184">
        <f>IFERROR(Inv_SY_B!AD26/Inv_SY_B!$BY26-1,"")</f>
        <v>1.2277361025127886E-2</v>
      </c>
      <c r="AE26" s="184">
        <f>IFERROR(Inv_SY_B!AE26/Inv_SY_B!$BZ26-1,"")</f>
        <v>1.0290851106782961E-2</v>
      </c>
      <c r="AF26" s="184">
        <f>IFERROR(Inv_SY_B!AF26/Inv_SY_B!$BZ26-1,"")</f>
        <v>-4.6100102748005689E-3</v>
      </c>
      <c r="AG26" s="184">
        <f>IFERROR(Inv_SY_B!AG26/Inv_SY_B!$BZ26-1,"")</f>
        <v>8.8504385092544879E-3</v>
      </c>
      <c r="AH26" s="184">
        <f>IFERROR(Inv_SY_B!AH26/Inv_SY_B!$BZ26-1,"")</f>
        <v>-2.5964560025071304E-4</v>
      </c>
      <c r="AI26" s="184">
        <f>IFERROR(Inv_SY_B!AI26/Inv_SY_B!$BZ26-1,"")</f>
        <v>5.9272934501910512E-3</v>
      </c>
      <c r="AJ26" s="184">
        <f>IFERROR(Inv_SY_B!AJ26/Inv_SY_B!$BZ26-1,"")</f>
        <v>7.4121311533101863E-3</v>
      </c>
      <c r="AK26" s="184">
        <f>IFERROR(Inv_SY_B!AK26/Inv_SY_B!$BZ26-1,"")</f>
        <v>-6.0193231457016383E-3</v>
      </c>
      <c r="AL26" s="184">
        <f>IFERROR(Inv_SY_B!AL26/Inv_SY_B!$BZ26-1,"")</f>
        <v>-1.8249531528987673E-3</v>
      </c>
      <c r="AM26" s="184">
        <f>IFERROR(Inv_SY_B!AM26/Inv_SY_B!$BZ26-1,"")</f>
        <v>1.7916806092068693E-3</v>
      </c>
      <c r="AN26" s="184">
        <f>IFERROR(Inv_SY_B!AN26/Inv_SY_B!$BZ26-1,"")</f>
        <v>8.3676898745115302E-3</v>
      </c>
      <c r="AO26" s="184">
        <f>IFERROR(Inv_SY_B!AO26/Inv_SY_B!$BZ26-1,"")</f>
        <v>1.7251375214448084E-2</v>
      </c>
      <c r="AP26" s="184">
        <f>IFERROR(Inv_SY_B!AP26/Inv_SY_B!$BZ26-1,"")</f>
        <v>-3.3239883260581804E-2</v>
      </c>
      <c r="AQ26" s="184">
        <f>IFERROR(Inv_SY_B!AQ26/Inv_SY_B!$BZ26-1,"")</f>
        <v>5.3437077291040858E-3</v>
      </c>
      <c r="AR26" s="184">
        <f>IFERROR(Inv_SY_B!AR26/Inv_SY_B!$BZ26-1,"")</f>
        <v>2.5604189232653063E-3</v>
      </c>
      <c r="AS26" s="184">
        <f>IFERROR(Inv_SY_B!AS26/Inv_SY_B!$BZ26-1,"")</f>
        <v>-1.6344429845554509E-2</v>
      </c>
      <c r="AT26" s="184">
        <f>IFERROR(Inv_SY_B!AT26/Inv_SY_B!$BZ26-1,"")</f>
        <v>-1.4966926656601376E-2</v>
      </c>
      <c r="AU26" s="184">
        <f>IFERROR(Inv_SY_B!AU26/Inv_SY_B!$BZ26-1,"")</f>
        <v>9.4176609987628446E-3</v>
      </c>
      <c r="AV26" s="184">
        <f>IFERROR(Inv_SY_B!AV26/Inv_SY_B!$BZ26-1,"")</f>
        <v>5.1924367552746986E-5</v>
      </c>
      <c r="AW26" s="184">
        <f>IFERROR(Inv_SY_B!AW26/Inv_SY_B!$CA26-1,"")</f>
        <v>-6.1860848725066364E-2</v>
      </c>
      <c r="AX26" s="184">
        <f>IFERROR(Inv_SY_B!AX26/Inv_SY_B!$CA26-1,"")</f>
        <v>-4.0565951096275477E-2</v>
      </c>
      <c r="AY26" s="184">
        <f>IFERROR(Inv_SY_B!AY26/Inv_SY_B!$CA26-1,"")</f>
        <v>-3.9598245069743077E-2</v>
      </c>
      <c r="AZ26" s="184">
        <f>IFERROR(Inv_SY_B!AZ26/Inv_SY_B!$CA26-1,"")</f>
        <v>3.0713585493379325E-2</v>
      </c>
      <c r="BA26" s="184">
        <f>IFERROR(Inv_SY_B!BA26/Inv_SY_B!$CA26-1,"")</f>
        <v>-4.9788841658418348E-2</v>
      </c>
      <c r="BB26" s="184">
        <f>IFERROR(Inv_SY_B!BB26/Inv_SY_B!$CA26-1,"")</f>
        <v>-1.3867069834832324E-2</v>
      </c>
      <c r="BC26" s="184">
        <f>IFERROR(Inv_SY_B!BC26/Inv_SY_B!$CA26-1,"")</f>
        <v>9.1154939102855437E-3</v>
      </c>
      <c r="BD26" s="184">
        <f>IFERROR(Inv_SY_B!BD26/Inv_SY_B!$CA26-1,"")</f>
        <v>8.0059329745649777E-3</v>
      </c>
      <c r="BE26" s="184">
        <f>IFERROR(Inv_SY_B!BE26/Inv_SY_B!$CA26-1,"")</f>
        <v>2.41755604827667E-2</v>
      </c>
      <c r="BF26" s="184">
        <f>IFERROR(Inv_SY_B!BF26/Inv_SY_B!$CA26-1,"")</f>
        <v>1.3337980713279407E-3</v>
      </c>
      <c r="BG26" s="184">
        <f>IFERROR(Inv_SY_B!BG26/Inv_SY_B!$CA26-1,"")</f>
        <v>5.1901966792015086E-2</v>
      </c>
      <c r="BH26" s="184">
        <f>IFERROR(Inv_SY_B!BH26/Inv_SY_B!$CA26-1,"")</f>
        <v>4.3009075768411176E-2</v>
      </c>
      <c r="BI26" s="184">
        <f>IFERROR(Inv_SY_B!BI26/Inv_SY_B!$CA26-1,"")</f>
        <v>4.6898643881747359E-2</v>
      </c>
      <c r="BJ26" s="184">
        <f>IFERROR(Inv_SY_B!BJ26/Inv_SY_B!$CA26-1,"")</f>
        <v>6.1240011919719173E-2</v>
      </c>
      <c r="BK26" s="184">
        <f>IFERROR(Inv_SY_B!BK26/Inv_SY_B!$CA26-1,"")</f>
        <v>5.435817767808615E-2</v>
      </c>
      <c r="BL26" s="184">
        <f>IFERROR(Inv_SY_B!BL26/Inv_SY_B!$CA26-1,"")</f>
        <v>4.1190580795768206E-2</v>
      </c>
      <c r="BM26" s="184">
        <f>IFERROR(Inv_SY_B!BM26/Inv_SY_B!$CA26-1,"")</f>
        <v>5.1037637132247848E-2</v>
      </c>
      <c r="BN26" s="184">
        <f>IFERROR(Inv_SY_B!BN26/Inv_SY_B!$CA26-1,"")</f>
        <v>4.0139969312706247E-2</v>
      </c>
      <c r="BO26" s="184">
        <f>IFERROR(Inv_SY_B!BO26/Inv_SY_B!$CA26-1,"")</f>
        <v>-8.0214672947476084E-2</v>
      </c>
      <c r="BP26" s="184">
        <f>IFERROR(Inv_SY_B!BP26/Inv_SY_B!$CA26-1,"")</f>
        <v>4.4098835497443867E-2</v>
      </c>
      <c r="BQ26" s="184">
        <f>IFERROR(Inv_SY_B!BQ26/Inv_SY_B!$CA26-1,"")</f>
        <v>3.7089491773975469E-2</v>
      </c>
      <c r="BR26" s="184">
        <f>IFERROR(Inv_SY_B!BR26/Inv_SY_B!$CA26-1,"")</f>
        <v>5.5656762992720932E-2</v>
      </c>
      <c r="BS26" s="184">
        <f>IFERROR(Inv_SY_B!BS26/Inv_SY_B!$CA26-1,"")</f>
        <v>4.2751212775513636E-3</v>
      </c>
      <c r="BT26" s="184">
        <f>IFERROR(Inv_SY_B!BT26/Inv_SY_B!$CA26-1,"")</f>
        <v>-3.7435509429556424E-3</v>
      </c>
      <c r="BU26" s="184">
        <f>IFERROR(Inv_SY_B!BU26/Inv_SY_B!$CA26-1,"")</f>
        <v>-0.492479675658543</v>
      </c>
      <c r="BV26" s="184">
        <f>IFERROR(Inv_SY_B!BV26/Inv_SY_B!$CA26-1,"")</f>
        <v>7.1194858238901482E-2</v>
      </c>
      <c r="BW26" s="184">
        <f>IFERROR(Inv_SY_B!BW26/Inv_SY_B!$CA26-1,"")</f>
        <v>6.0686799698090876E-2</v>
      </c>
      <c r="BX26" s="184">
        <f>IFERROR(Inv_SY_B!BX26/Inv_SY_B!$CA26-1,"")</f>
        <v>4.5996552241603705E-2</v>
      </c>
    </row>
    <row r="27" spans="1:76">
      <c r="A27"/>
      <c r="B27" s="179">
        <f t="shared" si="1"/>
        <v>45851</v>
      </c>
      <c r="C27" s="184">
        <f>IFERROR(Inv_SY_B!C27/Inv_SY_B!$BY27-1,"")</f>
        <v>1.5697592854537534E-2</v>
      </c>
      <c r="D27" s="184">
        <f>IFERROR(Inv_SY_B!D27/Inv_SY_B!$BY27-1,"")</f>
        <v>1.4015223209557837E-2</v>
      </c>
      <c r="E27" s="184">
        <f>IFERROR(Inv_SY_B!E27/Inv_SY_B!$BY27-1,"")</f>
        <v>-1.7666178338395788E-3</v>
      </c>
      <c r="F27" s="184">
        <f>IFERROR(Inv_SY_B!F27/Inv_SY_B!$BY27-1,"")</f>
        <v>-1.3948082920643423E-2</v>
      </c>
      <c r="G27" s="184">
        <f>IFERROR(Inv_SY_B!G27/Inv_SY_B!$BY27-1,"")</f>
        <v>-1.6603859363681028E-2</v>
      </c>
      <c r="H27" s="184">
        <f>IFERROR(Inv_SY_B!H27/Inv_SY_B!$BY27-1,"")</f>
        <v>-1.2405912628862592E-2</v>
      </c>
      <c r="I27" s="184">
        <f>IFERROR(Inv_SY_B!I27/Inv_SY_B!$BY27-1,"")</f>
        <v>9.8109044082472785E-3</v>
      </c>
      <c r="J27" s="184">
        <f>IFERROR(Inv_SY_B!J27/Inv_SY_B!$BY27-1,"")</f>
        <v>1.8667468857036296E-2</v>
      </c>
      <c r="K27" s="184">
        <f>IFERROR(Inv_SY_B!K27/Inv_SY_B!$BY27-1,"")</f>
        <v>-1.7701139530797994E-2</v>
      </c>
      <c r="L27" s="184">
        <f>IFERROR(Inv_SY_B!L27/Inv_SY_B!$BY27-1,"")</f>
        <v>1.0610772965768289E-2</v>
      </c>
      <c r="M27" s="184">
        <f>IFERROR(Inv_SY_B!M27/Inv_SY_B!$BY27-1,"")</f>
        <v>2.1902380673079813E-2</v>
      </c>
      <c r="N27" s="184">
        <f>IFERROR(Inv_SY_B!N27/Inv_SY_B!$BY27-1,"")</f>
        <v>5.3970177012185871E-4</v>
      </c>
      <c r="O27" s="184">
        <f>IFERROR(Inv_SY_B!O27/Inv_SY_B!$BY27-1,"")</f>
        <v>4.2323657027956374E-2</v>
      </c>
      <c r="P27" s="184">
        <f>IFERROR(Inv_SY_B!P27/Inv_SY_B!$BY27-1,"")</f>
        <v>-3.7562011241520921E-2</v>
      </c>
      <c r="Q27" s="184">
        <f>IFERROR(Inv_SY_B!Q27/Inv_SY_B!$BY27-1,"")</f>
        <v>5.0138242750146222E-3</v>
      </c>
      <c r="R27" s="184">
        <f>IFERROR(Inv_SY_B!R27/Inv_SY_B!$BY27-1,"")</f>
        <v>1.9112566143204779E-2</v>
      </c>
      <c r="S27" s="184">
        <f>IFERROR(Inv_SY_B!S27/Inv_SY_B!$BY27-1,"")</f>
        <v>-2.0168173938873712E-3</v>
      </c>
      <c r="T27" s="184">
        <f>IFERROR(Inv_SY_B!T27/Inv_SY_B!$BY27-1,"")</f>
        <v>2.6203051098261376E-3</v>
      </c>
      <c r="U27" s="184">
        <f>IFERROR(Inv_SY_B!U27/Inv_SY_B!$BY27-1,"")</f>
        <v>1.3461551819523132E-2</v>
      </c>
      <c r="V27" s="184">
        <f>IFERROR(Inv_SY_B!V27/Inv_SY_B!$BY27-1,"")</f>
        <v>1.9396445235741355E-2</v>
      </c>
      <c r="W27" s="184">
        <f>IFERROR(Inv_SY_B!W27/Inv_SY_B!$BY27-1,"")</f>
        <v>-5.112541651041469E-2</v>
      </c>
      <c r="X27" s="184">
        <f>IFERROR(Inv_SY_B!X27/Inv_SY_B!$BY27-1,"")</f>
        <v>-3.2459119879655107E-2</v>
      </c>
      <c r="Y27" s="184">
        <f>IFERROR(Inv_SY_B!Y27/Inv_SY_B!$BY27-1,"")</f>
        <v>6.7049558904501705E-3</v>
      </c>
      <c r="Z27" s="184">
        <f>IFERROR(Inv_SY_B!Z27/Inv_SY_B!$BY27-1,"")</f>
        <v>7.2103128478862022E-3</v>
      </c>
      <c r="AA27" s="184">
        <f>IFERROR(Inv_SY_B!AA27/Inv_SY_B!$BY27-1,"")</f>
        <v>1.0401676732176846E-3</v>
      </c>
      <c r="AB27" s="184">
        <f>IFERROR(Inv_SY_B!AB27/Inv_SY_B!$BY27-1,"")</f>
        <v>-1.1577137943113214E-2</v>
      </c>
      <c r="AC27" s="184">
        <f>IFERROR(Inv_SY_B!AC27/Inv_SY_B!$BY27-1,"")</f>
        <v>-2.4260293346233253E-3</v>
      </c>
      <c r="AD27" s="184">
        <f>IFERROR(Inv_SY_B!AD27/Inv_SY_B!$BY27-1,"")</f>
        <v>-8.5356861801363371E-3</v>
      </c>
      <c r="AE27" s="184">
        <f>IFERROR(Inv_SY_B!AE27/Inv_SY_B!$BZ27-1,"")</f>
        <v>2.0083623199343981E-2</v>
      </c>
      <c r="AF27" s="184">
        <f>IFERROR(Inv_SY_B!AF27/Inv_SY_B!$BZ27-1,"")</f>
        <v>3.1081229882190531E-3</v>
      </c>
      <c r="AG27" s="184">
        <f>IFERROR(Inv_SY_B!AG27/Inv_SY_B!$BZ27-1,"")</f>
        <v>1.0345333825272807E-2</v>
      </c>
      <c r="AH27" s="184">
        <f>IFERROR(Inv_SY_B!AH27/Inv_SY_B!$BZ27-1,"")</f>
        <v>1.3028682550262349E-3</v>
      </c>
      <c r="AI27" s="184">
        <f>IFERROR(Inv_SY_B!AI27/Inv_SY_B!$BZ27-1,"")</f>
        <v>1.0554374395039812E-2</v>
      </c>
      <c r="AJ27" s="184">
        <f>IFERROR(Inv_SY_B!AJ27/Inv_SY_B!$BZ27-1,"")</f>
        <v>1.0979042947486084E-2</v>
      </c>
      <c r="AK27" s="184">
        <f>IFERROR(Inv_SY_B!AK27/Inv_SY_B!$BZ27-1,"")</f>
        <v>-5.0192956801061728E-3</v>
      </c>
      <c r="AL27" s="184">
        <f>IFERROR(Inv_SY_B!AL27/Inv_SY_B!$BZ27-1,"")</f>
        <v>-6.2004027854913213E-2</v>
      </c>
      <c r="AM27" s="184">
        <f>IFERROR(Inv_SY_B!AM27/Inv_SY_B!$BZ27-1,"")</f>
        <v>4.6696150877598708E-3</v>
      </c>
      <c r="AN27" s="184">
        <f>IFERROR(Inv_SY_B!AN27/Inv_SY_B!$BZ27-1,"")</f>
        <v>1.0519595506569779E-2</v>
      </c>
      <c r="AO27" s="184">
        <f>IFERROR(Inv_SY_B!AO27/Inv_SY_B!$BZ27-1,"")</f>
        <v>1.9961291844281526E-2</v>
      </c>
      <c r="AP27" s="184">
        <f>IFERROR(Inv_SY_B!AP27/Inv_SY_B!$BZ27-1,"")</f>
        <v>-4.0474167629454105E-2</v>
      </c>
      <c r="AQ27" s="184">
        <f>IFERROR(Inv_SY_B!AQ27/Inv_SY_B!$BZ27-1,"")</f>
        <v>8.1214187560745277E-3</v>
      </c>
      <c r="AR27" s="184">
        <f>IFERROR(Inv_SY_B!AR27/Inv_SY_B!$BZ27-1,"")</f>
        <v>2.9257141912393259E-3</v>
      </c>
      <c r="AS27" s="184">
        <f>IFERROR(Inv_SY_B!AS27/Inv_SY_B!$BZ27-1,"")</f>
        <v>-3.0999299842704442E-3</v>
      </c>
      <c r="AT27" s="184">
        <f>IFERROR(Inv_SY_B!AT27/Inv_SY_B!$BZ27-1,"")</f>
        <v>5.7164632321176079E-3</v>
      </c>
      <c r="AU27" s="184">
        <f>IFERROR(Inv_SY_B!AU27/Inv_SY_B!$BZ27-1,"")</f>
        <v>4.9255319996324154E-3</v>
      </c>
      <c r="AV27" s="184">
        <f>IFERROR(Inv_SY_B!AV27/Inv_SY_B!$BZ27-1,"")</f>
        <v>-2.6155750793216415E-3</v>
      </c>
      <c r="AW27" s="184">
        <f>IFERROR(Inv_SY_B!AW27/Inv_SY_B!$CA27-1,"")</f>
        <v>-2.1182300676465093E-2</v>
      </c>
      <c r="AX27" s="184">
        <f>IFERROR(Inv_SY_B!AX27/Inv_SY_B!$CA27-1,"")</f>
        <v>-1.7974901284346645E-3</v>
      </c>
      <c r="AY27" s="184">
        <f>IFERROR(Inv_SY_B!AY27/Inv_SY_B!$CA27-1,"")</f>
        <v>-1.1178993951241334E-2</v>
      </c>
      <c r="AZ27" s="184">
        <f>IFERROR(Inv_SY_B!AZ27/Inv_SY_B!$CA27-1,"")</f>
        <v>5.5117873214550972E-2</v>
      </c>
      <c r="BA27" s="184">
        <f>IFERROR(Inv_SY_B!BA27/Inv_SY_B!$CA27-1,"")</f>
        <v>-1.9994690893566203E-2</v>
      </c>
      <c r="BB27" s="184">
        <f>IFERROR(Inv_SY_B!BB27/Inv_SY_B!$CA27-1,"")</f>
        <v>1.3924673578054048E-2</v>
      </c>
      <c r="BC27" s="184">
        <f>IFERROR(Inv_SY_B!BC27/Inv_SY_B!$CA27-1,"")</f>
        <v>2.0636309555551957E-2</v>
      </c>
      <c r="BD27" s="184">
        <f>IFERROR(Inv_SY_B!BD27/Inv_SY_B!$CA27-1,"")</f>
        <v>1.3705916376686389E-2</v>
      </c>
      <c r="BE27" s="184">
        <f>IFERROR(Inv_SY_B!BE27/Inv_SY_B!$CA27-1,"")</f>
        <v>2.5305984433374729E-2</v>
      </c>
      <c r="BF27" s="184">
        <f>IFERROR(Inv_SY_B!BF27/Inv_SY_B!$CA27-1,"")</f>
        <v>2.8206929960385985E-3</v>
      </c>
      <c r="BG27" s="184">
        <f>IFERROR(Inv_SY_B!BG27/Inv_SY_B!$CA27-1,"")</f>
        <v>4.7338434040255395E-2</v>
      </c>
      <c r="BH27" s="184">
        <f>IFERROR(Inv_SY_B!BH27/Inv_SY_B!$CA27-1,"")</f>
        <v>3.775327448528043E-2</v>
      </c>
      <c r="BI27" s="184">
        <f>IFERROR(Inv_SY_B!BI27/Inv_SY_B!$CA27-1,"")</f>
        <v>4.9555731720462015E-2</v>
      </c>
      <c r="BJ27" s="184">
        <f>IFERROR(Inv_SY_B!BJ27/Inv_SY_B!$CA27-1,"")</f>
        <v>5.6552894473541171E-2</v>
      </c>
      <c r="BK27" s="184">
        <f>IFERROR(Inv_SY_B!BK27/Inv_SY_B!$CA27-1,"")</f>
        <v>5.7916991394988848E-2</v>
      </c>
      <c r="BL27" s="184">
        <f>IFERROR(Inv_SY_B!BL27/Inv_SY_B!$CA27-1,"")</f>
        <v>4.76398844035677E-2</v>
      </c>
      <c r="BM27" s="184">
        <f>IFERROR(Inv_SY_B!BM27/Inv_SY_B!$CA27-1,"")</f>
        <v>3.4835681048665412E-2</v>
      </c>
      <c r="BN27" s="184">
        <f>IFERROR(Inv_SY_B!BN27/Inv_SY_B!$CA27-1,"")</f>
        <v>1.4207287540337177E-2</v>
      </c>
      <c r="BO27" s="184">
        <f>IFERROR(Inv_SY_B!BO27/Inv_SY_B!$CA27-1,"")</f>
        <v>-5.3493740068590645E-2</v>
      </c>
      <c r="BP27" s="184">
        <f>IFERROR(Inv_SY_B!BP27/Inv_SY_B!$CA27-1,"")</f>
        <v>3.0903403496197024E-2</v>
      </c>
      <c r="BQ27" s="184">
        <f>IFERROR(Inv_SY_B!BQ27/Inv_SY_B!$CA27-1,"")</f>
        <v>1.5044377323073288E-2</v>
      </c>
      <c r="BR27" s="184">
        <f>IFERROR(Inv_SY_B!BR27/Inv_SY_B!$CA27-1,"")</f>
        <v>4.0625350821025474E-2</v>
      </c>
      <c r="BS27" s="184">
        <f>IFERROR(Inv_SY_B!BS27/Inv_SY_B!$CA27-1,"")</f>
        <v>-5.7345921494224017E-3</v>
      </c>
      <c r="BT27" s="184">
        <f>IFERROR(Inv_SY_B!BT27/Inv_SY_B!$CA27-1,"")</f>
        <v>-9.8879176611680331E-3</v>
      </c>
      <c r="BU27" s="184">
        <f>IFERROR(Inv_SY_B!BU27/Inv_SY_B!$CA27-1,"")</f>
        <v>-0.50460537115812154</v>
      </c>
      <c r="BV27" s="184">
        <f>IFERROR(Inv_SY_B!BV27/Inv_SY_B!$CA27-1,"")</f>
        <v>9.8148613120190298E-3</v>
      </c>
      <c r="BW27" s="184">
        <f>IFERROR(Inv_SY_B!BW27/Inv_SY_B!$CA27-1,"")</f>
        <v>2.9677746956256357E-2</v>
      </c>
      <c r="BX27" s="184">
        <f>IFERROR(Inv_SY_B!BX27/Inv_SY_B!$CA27-1,"")</f>
        <v>2.4497727517090562E-2</v>
      </c>
    </row>
    <row r="28" spans="1:76">
      <c r="A28"/>
      <c r="B28" s="179">
        <f t="shared" si="1"/>
        <v>45852</v>
      </c>
      <c r="C28" s="184">
        <f>IFERROR(Inv_SY_B!C28/Inv_SY_B!$BY28-1,"")</f>
        <v>9.737794164392799E-4</v>
      </c>
      <c r="D28" s="184">
        <f>IFERROR(Inv_SY_B!D28/Inv_SY_B!$BY28-1,"")</f>
        <v>7.1589060371775037E-3</v>
      </c>
      <c r="E28" s="184">
        <f>IFERROR(Inv_SY_B!E28/Inv_SY_B!$BY28-1,"")</f>
        <v>-2.9456971213068783E-3</v>
      </c>
      <c r="F28" s="184">
        <f>IFERROR(Inv_SY_B!F28/Inv_SY_B!$BY28-1,"")</f>
        <v>-2.2527640979416064E-2</v>
      </c>
      <c r="G28" s="184">
        <f>IFERROR(Inv_SY_B!G28/Inv_SY_B!$BY28-1,"")</f>
        <v>-3.0251862289853104E-2</v>
      </c>
      <c r="H28" s="184">
        <f>IFERROR(Inv_SY_B!H28/Inv_SY_B!$BY28-1,"")</f>
        <v>-2.7598648939713866E-2</v>
      </c>
      <c r="I28" s="184">
        <f>IFERROR(Inv_SY_B!I28/Inv_SY_B!$BY28-1,"")</f>
        <v>-3.0953428403868166E-5</v>
      </c>
      <c r="J28" s="184">
        <f>IFERROR(Inv_SY_B!J28/Inv_SY_B!$BY28-1,"")</f>
        <v>-1.3747669218536873E-2</v>
      </c>
      <c r="K28" s="184">
        <f>IFERROR(Inv_SY_B!K28/Inv_SY_B!$BY28-1,"")</f>
        <v>-2.0162039748702343E-2</v>
      </c>
      <c r="L28" s="184">
        <f>IFERROR(Inv_SY_B!L28/Inv_SY_B!$BY28-1,"")</f>
        <v>4.8038585046832338E-3</v>
      </c>
      <c r="M28" s="184">
        <f>IFERROR(Inv_SY_B!M28/Inv_SY_B!$BY28-1,"")</f>
        <v>2.0360066429039314E-2</v>
      </c>
      <c r="N28" s="184">
        <f>IFERROR(Inv_SY_B!N28/Inv_SY_B!$BY28-1,"")</f>
        <v>-8.6080693779952977E-3</v>
      </c>
      <c r="O28" s="184">
        <f>IFERROR(Inv_SY_B!O28/Inv_SY_B!$BY28-1,"")</f>
        <v>4.4495780439057775E-2</v>
      </c>
      <c r="P28" s="184">
        <f>IFERROR(Inv_SY_B!P28/Inv_SY_B!$BY28-1,"")</f>
        <v>-2.6673490914555842E-2</v>
      </c>
      <c r="Q28" s="184">
        <f>IFERROR(Inv_SY_B!Q28/Inv_SY_B!$BY28-1,"")</f>
        <v>3.4248840128869862E-3</v>
      </c>
      <c r="R28" s="184">
        <f>IFERROR(Inv_SY_B!R28/Inv_SY_B!$BY28-1,"")</f>
        <v>2.0481547878674178E-2</v>
      </c>
      <c r="S28" s="184">
        <f>IFERROR(Inv_SY_B!S28/Inv_SY_B!$BY28-1,"")</f>
        <v>2.7794787751238559E-3</v>
      </c>
      <c r="T28" s="184">
        <f>IFERROR(Inv_SY_B!T28/Inv_SY_B!$BY28-1,"")</f>
        <v>-1.2345114047060846E-2</v>
      </c>
      <c r="U28" s="184">
        <f>IFERROR(Inv_SY_B!U28/Inv_SY_B!$BY28-1,"")</f>
        <v>1.2798503824528851E-2</v>
      </c>
      <c r="V28" s="184">
        <f>IFERROR(Inv_SY_B!V28/Inv_SY_B!$BY28-1,"")</f>
        <v>8.2198761055269909E-3</v>
      </c>
      <c r="W28" s="184">
        <f>IFERROR(Inv_SY_B!W28/Inv_SY_B!$BY28-1,"")</f>
        <v>-2.4210565575933818E-2</v>
      </c>
      <c r="X28" s="184">
        <f>IFERROR(Inv_SY_B!X28/Inv_SY_B!$BY28-1,"")</f>
        <v>2.0183393578421693E-2</v>
      </c>
      <c r="Y28" s="184">
        <f>IFERROR(Inv_SY_B!Y28/Inv_SY_B!$BY28-1,"")</f>
        <v>1.2772324921331846E-2</v>
      </c>
      <c r="Z28" s="184">
        <f>IFERROR(Inv_SY_B!Z28/Inv_SY_B!$BY28-1,"")</f>
        <v>8.6159969384078661E-3</v>
      </c>
      <c r="AA28" s="184">
        <f>IFERROR(Inv_SY_B!AA28/Inv_SY_B!$BY28-1,"")</f>
        <v>1.6564532630579221E-2</v>
      </c>
      <c r="AB28" s="184">
        <f>IFERROR(Inv_SY_B!AB28/Inv_SY_B!$BY28-1,"")</f>
        <v>5.8900547776861156E-3</v>
      </c>
      <c r="AC28" s="184">
        <f>IFERROR(Inv_SY_B!AC28/Inv_SY_B!$BY28-1,"")</f>
        <v>4.4938700086136762E-3</v>
      </c>
      <c r="AD28" s="184">
        <f>IFERROR(Inv_SY_B!AD28/Inv_SY_B!$BY28-1,"")</f>
        <v>-4.9151026367010298E-3</v>
      </c>
      <c r="AE28" s="184">
        <f>IFERROR(Inv_SY_B!AE28/Inv_SY_B!$BZ28-1,"")</f>
        <v>7.4352252947542663E-3</v>
      </c>
      <c r="AF28" s="184">
        <f>IFERROR(Inv_SY_B!AF28/Inv_SY_B!$BZ28-1,"")</f>
        <v>-1.273892086470263E-2</v>
      </c>
      <c r="AG28" s="184">
        <f>IFERROR(Inv_SY_B!AG28/Inv_SY_B!$BZ28-1,"")</f>
        <v>-2.5959172849808754E-3</v>
      </c>
      <c r="AH28" s="184">
        <f>IFERROR(Inv_SY_B!AH28/Inv_SY_B!$BZ28-1,"")</f>
        <v>-1.3136055497925181E-2</v>
      </c>
      <c r="AI28" s="184">
        <f>IFERROR(Inv_SY_B!AI28/Inv_SY_B!$BZ28-1,"")</f>
        <v>7.0164910925007984E-3</v>
      </c>
      <c r="AJ28" s="184">
        <f>IFERROR(Inv_SY_B!AJ28/Inv_SY_B!$BZ28-1,"")</f>
        <v>8.0685979943508901E-3</v>
      </c>
      <c r="AK28" s="184">
        <f>IFERROR(Inv_SY_B!AK28/Inv_SY_B!$BZ28-1,"")</f>
        <v>-1.8445072246985328E-3</v>
      </c>
      <c r="AL28" s="184">
        <f>IFERROR(Inv_SY_B!AL28/Inv_SY_B!$BZ28-1,"")</f>
        <v>7.5444367409225332E-3</v>
      </c>
      <c r="AM28" s="184">
        <f>IFERROR(Inv_SY_B!AM28/Inv_SY_B!$BZ28-1,"")</f>
        <v>3.6894576851571603E-3</v>
      </c>
      <c r="AN28" s="184">
        <f>IFERROR(Inv_SY_B!AN28/Inv_SY_B!$BZ28-1,"")</f>
        <v>1.322208373367495E-2</v>
      </c>
      <c r="AO28" s="184">
        <f>IFERROR(Inv_SY_B!AO28/Inv_SY_B!$BZ28-1,"")</f>
        <v>1.5039933352229307E-2</v>
      </c>
      <c r="AP28" s="184">
        <f>IFERROR(Inv_SY_B!AP28/Inv_SY_B!$BZ28-1,"")</f>
        <v>-3.8387110315043715E-2</v>
      </c>
      <c r="AQ28" s="184">
        <f>IFERROR(Inv_SY_B!AQ28/Inv_SY_B!$BZ28-1,"")</f>
        <v>3.7041015677667932E-3</v>
      </c>
      <c r="AR28" s="184">
        <f>IFERROR(Inv_SY_B!AR28/Inv_SY_B!$BZ28-1,"")</f>
        <v>6.6365987355549994E-3</v>
      </c>
      <c r="AS28" s="184">
        <f>IFERROR(Inv_SY_B!AS28/Inv_SY_B!$BZ28-1,"")</f>
        <v>-1.2829162805324867E-2</v>
      </c>
      <c r="AT28" s="184">
        <f>IFERROR(Inv_SY_B!AT28/Inv_SY_B!$BZ28-1,"")</f>
        <v>-1.5699854827580961E-2</v>
      </c>
      <c r="AU28" s="184">
        <f>IFERROR(Inv_SY_B!AU28/Inv_SY_B!$BZ28-1,"")</f>
        <v>2.1876902783570573E-2</v>
      </c>
      <c r="AV28" s="184">
        <f>IFERROR(Inv_SY_B!AV28/Inv_SY_B!$BZ28-1,"")</f>
        <v>2.9976998397758248E-3</v>
      </c>
      <c r="AW28" s="184">
        <f>IFERROR(Inv_SY_B!AW28/Inv_SY_B!$CA28-1,"")</f>
        <v>-6.3453408242907017E-2</v>
      </c>
      <c r="AX28" s="184">
        <f>IFERROR(Inv_SY_B!AX28/Inv_SY_B!$CA28-1,"")</f>
        <v>-3.0450845547454364E-2</v>
      </c>
      <c r="AY28" s="184">
        <f>IFERROR(Inv_SY_B!AY28/Inv_SY_B!$CA28-1,"")</f>
        <v>2.9245258191120893E-2</v>
      </c>
      <c r="AZ28" s="184">
        <f>IFERROR(Inv_SY_B!AZ28/Inv_SY_B!$CA28-1,"")</f>
        <v>8.0135127244618021E-2</v>
      </c>
      <c r="BA28" s="184">
        <f>IFERROR(Inv_SY_B!BA28/Inv_SY_B!$CA28-1,"")</f>
        <v>7.3806696743443645E-3</v>
      </c>
      <c r="BB28" s="184">
        <f>IFERROR(Inv_SY_B!BB28/Inv_SY_B!$CA28-1,"")</f>
        <v>2.0095007399891562E-2</v>
      </c>
      <c r="BC28" s="184">
        <f>IFERROR(Inv_SY_B!BC28/Inv_SY_B!$CA28-1,"")</f>
        <v>6.8978983384211379E-3</v>
      </c>
      <c r="BD28" s="184">
        <f>IFERROR(Inv_SY_B!BD28/Inv_SY_B!$CA28-1,"")</f>
        <v>8.8837246333572928E-3</v>
      </c>
      <c r="BE28" s="184">
        <f>IFERROR(Inv_SY_B!BE28/Inv_SY_B!$CA28-1,"")</f>
        <v>2.8741552311311702E-2</v>
      </c>
      <c r="BF28" s="184">
        <f>IFERROR(Inv_SY_B!BF28/Inv_SY_B!$CA28-1,"")</f>
        <v>1.5102756779963755E-2</v>
      </c>
      <c r="BG28" s="184">
        <f>IFERROR(Inv_SY_B!BG28/Inv_SY_B!$CA28-1,"")</f>
        <v>4.3459218705847347E-2</v>
      </c>
      <c r="BH28" s="184">
        <f>IFERROR(Inv_SY_B!BH28/Inv_SY_B!$CA28-1,"")</f>
        <v>3.5285454825984885E-2</v>
      </c>
      <c r="BI28" s="184">
        <f>IFERROR(Inv_SY_B!BI28/Inv_SY_B!$CA28-1,"")</f>
        <v>3.6852668001734035E-2</v>
      </c>
      <c r="BJ28" s="184">
        <f>IFERROR(Inv_SY_B!BJ28/Inv_SY_B!$CA28-1,"")</f>
        <v>4.7987385685734907E-2</v>
      </c>
      <c r="BK28" s="184">
        <f>IFERROR(Inv_SY_B!BK28/Inv_SY_B!$CA28-1,"")</f>
        <v>3.6381074376005795E-2</v>
      </c>
      <c r="BL28" s="184">
        <f>IFERROR(Inv_SY_B!BL28/Inv_SY_B!$CA28-1,"")</f>
        <v>3.5811565842127857E-2</v>
      </c>
      <c r="BM28" s="184">
        <f>IFERROR(Inv_SY_B!BM28/Inv_SY_B!$CA28-1,"")</f>
        <v>2.0564582840764567E-2</v>
      </c>
      <c r="BN28" s="184">
        <f>IFERROR(Inv_SY_B!BN28/Inv_SY_B!$CA28-1,"")</f>
        <v>1.1182008683314759E-2</v>
      </c>
      <c r="BO28" s="184">
        <f>IFERROR(Inv_SY_B!BO28/Inv_SY_B!$CA28-1,"")</f>
        <v>-1.5376153727895026E-2</v>
      </c>
      <c r="BP28" s="184">
        <f>IFERROR(Inv_SY_B!BP28/Inv_SY_B!$CA28-1,"")</f>
        <v>1.5136638651659373E-2</v>
      </c>
      <c r="BQ28" s="184">
        <f>IFERROR(Inv_SY_B!BQ28/Inv_SY_B!$CA28-1,"")</f>
        <v>5.0161089711264761E-3</v>
      </c>
      <c r="BR28" s="184">
        <f>IFERROR(Inv_SY_B!BR28/Inv_SY_B!$CA28-1,"")</f>
        <v>5.1072926159067666E-2</v>
      </c>
      <c r="BS28" s="184">
        <f>IFERROR(Inv_SY_B!BS28/Inv_SY_B!$CA28-1,"")</f>
        <v>-2.1977829837424689E-2</v>
      </c>
      <c r="BT28" s="184">
        <f>IFERROR(Inv_SY_B!BT28/Inv_SY_B!$CA28-1,"")</f>
        <v>-3.1513638602032046E-2</v>
      </c>
      <c r="BU28" s="184">
        <f>IFERROR(Inv_SY_B!BU28/Inv_SY_B!$CA28-1,"")</f>
        <v>-0.43921390109272151</v>
      </c>
      <c r="BV28" s="184">
        <f>IFERROR(Inv_SY_B!BV28/Inv_SY_B!$CA28-1,"")</f>
        <v>3.2947905229805619E-2</v>
      </c>
      <c r="BW28" s="184">
        <f>IFERROR(Inv_SY_B!BW28/Inv_SY_B!$CA28-1,"")</f>
        <v>2.4156422538201383E-2</v>
      </c>
      <c r="BX28" s="184">
        <f>IFERROR(Inv_SY_B!BX28/Inv_SY_B!$CA28-1,"")</f>
        <v>9.6498219660279272E-3</v>
      </c>
    </row>
    <row r="29" spans="1:76">
      <c r="A29"/>
      <c r="B29" s="179">
        <f t="shared" si="1"/>
        <v>45853</v>
      </c>
      <c r="C29" s="184">
        <f>IFERROR(Inv_SY_B!C29/Inv_SY_B!$BY29-1,"")</f>
        <v>-2.1463194650836681E-2</v>
      </c>
      <c r="D29" s="184">
        <f>IFERROR(Inv_SY_B!D29/Inv_SY_B!$BY29-1,"")</f>
        <v>3.8540623869105506E-3</v>
      </c>
      <c r="E29" s="184">
        <f>IFERROR(Inv_SY_B!E29/Inv_SY_B!$BY29-1,"")</f>
        <v>1.6619663128502937E-2</v>
      </c>
      <c r="F29" s="184">
        <f>IFERROR(Inv_SY_B!F29/Inv_SY_B!$BY29-1,"")</f>
        <v>-1.886401105168023E-3</v>
      </c>
      <c r="G29" s="184">
        <f>IFERROR(Inv_SY_B!G29/Inv_SY_B!$BY29-1,"")</f>
        <v>-5.135962979512243E-4</v>
      </c>
      <c r="H29" s="184">
        <f>IFERROR(Inv_SY_B!H29/Inv_SY_B!$BY29-1,"")</f>
        <v>-1.5990361827833532E-2</v>
      </c>
      <c r="I29" s="184">
        <f>IFERROR(Inv_SY_B!I29/Inv_SY_B!$BY29-1,"")</f>
        <v>3.5217775836022813E-3</v>
      </c>
      <c r="J29" s="184">
        <f>IFERROR(Inv_SY_B!J29/Inv_SY_B!$BY29-1,"")</f>
        <v>-3.2719380032942613E-2</v>
      </c>
      <c r="K29" s="184">
        <f>IFERROR(Inv_SY_B!K29/Inv_SY_B!$BY29-1,"")</f>
        <v>-2.588630326256669E-2</v>
      </c>
      <c r="L29" s="184">
        <f>IFERROR(Inv_SY_B!L29/Inv_SY_B!$BY29-1,"")</f>
        <v>1.7131459912591351E-2</v>
      </c>
      <c r="M29" s="184">
        <f>IFERROR(Inv_SY_B!M29/Inv_SY_B!$BY29-1,"")</f>
        <v>2.7847457223620697E-2</v>
      </c>
      <c r="N29" s="184">
        <f>IFERROR(Inv_SY_B!N29/Inv_SY_B!$BY29-1,"")</f>
        <v>-1.450244514718757E-2</v>
      </c>
      <c r="O29" s="184">
        <f>IFERROR(Inv_SY_B!O29/Inv_SY_B!$BY29-1,"")</f>
        <v>3.3826065935133487E-2</v>
      </c>
      <c r="P29" s="184">
        <f>IFERROR(Inv_SY_B!P29/Inv_SY_B!$BY29-1,"")</f>
        <v>-1.818252766151196E-2</v>
      </c>
      <c r="Q29" s="184">
        <f>IFERROR(Inv_SY_B!Q29/Inv_SY_B!$BY29-1,"")</f>
        <v>1.0415251915576462E-3</v>
      </c>
      <c r="R29" s="184">
        <f>IFERROR(Inv_SY_B!R29/Inv_SY_B!$BY29-1,"")</f>
        <v>1.4429440310796959E-3</v>
      </c>
      <c r="S29" s="184">
        <f>IFERROR(Inv_SY_B!S29/Inv_SY_B!$BY29-1,"")</f>
        <v>-6.8831314174480074E-3</v>
      </c>
      <c r="T29" s="184">
        <f>IFERROR(Inv_SY_B!T29/Inv_SY_B!$BY29-1,"")</f>
        <v>-3.2425632086285794E-2</v>
      </c>
      <c r="U29" s="184">
        <f>IFERROR(Inv_SY_B!U29/Inv_SY_B!$BY29-1,"")</f>
        <v>1.4721136143720503E-3</v>
      </c>
      <c r="V29" s="184">
        <f>IFERROR(Inv_SY_B!V29/Inv_SY_B!$BY29-1,"")</f>
        <v>-4.9756339972655272E-3</v>
      </c>
      <c r="W29" s="184">
        <f>IFERROR(Inv_SY_B!W29/Inv_SY_B!$BY29-1,"")</f>
        <v>-2.6217652046055973E-2</v>
      </c>
      <c r="X29" s="184">
        <f>IFERROR(Inv_SY_B!X29/Inv_SY_B!$BY29-1,"")</f>
        <v>3.2727035634180224E-2</v>
      </c>
      <c r="Y29" s="184">
        <f>IFERROR(Inv_SY_B!Y29/Inv_SY_B!$BY29-1,"")</f>
        <v>1.8789527649815341E-2</v>
      </c>
      <c r="Z29" s="184">
        <f>IFERROR(Inv_SY_B!Z29/Inv_SY_B!$BY29-1,"")</f>
        <v>1.8941538841234618E-2</v>
      </c>
      <c r="AA29" s="184">
        <f>IFERROR(Inv_SY_B!AA29/Inv_SY_B!$BY29-1,"")</f>
        <v>1.0812220029472464E-2</v>
      </c>
      <c r="AB29" s="184">
        <f>IFERROR(Inv_SY_B!AB29/Inv_SY_B!$BY29-1,"")</f>
        <v>1.4634319243778116E-3</v>
      </c>
      <c r="AC29" s="184">
        <f>IFERROR(Inv_SY_B!AC29/Inv_SY_B!$BY29-1,"")</f>
        <v>7.1321605203855665E-3</v>
      </c>
      <c r="AD29" s="184">
        <f>IFERROR(Inv_SY_B!AD29/Inv_SY_B!$BY29-1,"")</f>
        <v>5.0232759262167637E-3</v>
      </c>
      <c r="AE29" s="184">
        <f>IFERROR(Inv_SY_B!AE29/Inv_SY_B!$BZ29-1,"")</f>
        <v>2.2255856794692219E-2</v>
      </c>
      <c r="AF29" s="184">
        <f>IFERROR(Inv_SY_B!AF29/Inv_SY_B!$BZ29-1,"")</f>
        <v>-1.023787721123659E-3</v>
      </c>
      <c r="AG29" s="184">
        <f>IFERROR(Inv_SY_B!AG29/Inv_SY_B!$BZ29-1,"")</f>
        <v>8.9189244146326008E-3</v>
      </c>
      <c r="AH29" s="184">
        <f>IFERROR(Inv_SY_B!AH29/Inv_SY_B!$BZ29-1,"")</f>
        <v>-7.7579763652924072E-3</v>
      </c>
      <c r="AI29" s="184">
        <f>IFERROR(Inv_SY_B!AI29/Inv_SY_B!$BZ29-1,"")</f>
        <v>1.6371375725505066E-2</v>
      </c>
      <c r="AJ29" s="184">
        <f>IFERROR(Inv_SY_B!AJ29/Inv_SY_B!$BZ29-1,"")</f>
        <v>3.133061571743978E-3</v>
      </c>
      <c r="AK29" s="184">
        <f>IFERROR(Inv_SY_B!AK29/Inv_SY_B!$BZ29-1,"")</f>
        <v>6.6514456031692148E-3</v>
      </c>
      <c r="AL29" s="184">
        <f>IFERROR(Inv_SY_B!AL29/Inv_SY_B!$BZ29-1,"")</f>
        <v>1.4535996684366337E-2</v>
      </c>
      <c r="AM29" s="184">
        <f>IFERROR(Inv_SY_B!AM29/Inv_SY_B!$BZ29-1,"")</f>
        <v>2.1874990959278584E-3</v>
      </c>
      <c r="AN29" s="184">
        <f>IFERROR(Inv_SY_B!AN29/Inv_SY_B!$BZ29-1,"")</f>
        <v>8.4195759405021331E-3</v>
      </c>
      <c r="AO29" s="184">
        <f>IFERROR(Inv_SY_B!AO29/Inv_SY_B!$BZ29-1,"")</f>
        <v>1.1495493696407788E-2</v>
      </c>
      <c r="AP29" s="184">
        <f>IFERROR(Inv_SY_B!AP29/Inv_SY_B!$BZ29-1,"")</f>
        <v>-1.4957399004381422E-2</v>
      </c>
      <c r="AQ29" s="184">
        <f>IFERROR(Inv_SY_B!AQ29/Inv_SY_B!$BZ29-1,"")</f>
        <v>-5.6894714739728069E-3</v>
      </c>
      <c r="AR29" s="184">
        <f>IFERROR(Inv_SY_B!AR29/Inv_SY_B!$BZ29-1,"")</f>
        <v>-2.8305404613723217E-3</v>
      </c>
      <c r="AS29" s="184">
        <f>IFERROR(Inv_SY_B!AS29/Inv_SY_B!$BZ29-1,"")</f>
        <v>-1.436658504315047E-2</v>
      </c>
      <c r="AT29" s="184">
        <f>IFERROR(Inv_SY_B!AT29/Inv_SY_B!$BZ29-1,"")</f>
        <v>-4.9619663644475454E-2</v>
      </c>
      <c r="AU29" s="184">
        <f>IFERROR(Inv_SY_B!AU29/Inv_SY_B!$BZ29-1,"")</f>
        <v>7.6174079992132882E-3</v>
      </c>
      <c r="AV29" s="184">
        <f>IFERROR(Inv_SY_B!AV29/Inv_SY_B!$BZ29-1,"")</f>
        <v>-5.3412138123948294E-3</v>
      </c>
      <c r="AW29" s="184">
        <f>IFERROR(Inv_SY_B!AW29/Inv_SY_B!$CA29-1,"")</f>
        <v>-0.13381547192676457</v>
      </c>
      <c r="AX29" s="184">
        <f>IFERROR(Inv_SY_B!AX29/Inv_SY_B!$CA29-1,"")</f>
        <v>-0.11238070251378485</v>
      </c>
      <c r="AY29" s="184">
        <f>IFERROR(Inv_SY_B!AY29/Inv_SY_B!$CA29-1,"")</f>
        <v>1.066731991838954E-2</v>
      </c>
      <c r="AZ29" s="184">
        <f>IFERROR(Inv_SY_B!AZ29/Inv_SY_B!$CA29-1,"")</f>
        <v>5.8763987071059898E-2</v>
      </c>
      <c r="BA29" s="184">
        <f>IFERROR(Inv_SY_B!BA29/Inv_SY_B!$CA29-1,"")</f>
        <v>-3.25178535310231E-2</v>
      </c>
      <c r="BB29" s="184">
        <f>IFERROR(Inv_SY_B!BB29/Inv_SY_B!$CA29-1,"")</f>
        <v>-1.4530387826200863E-2</v>
      </c>
      <c r="BC29" s="184">
        <f>IFERROR(Inv_SY_B!BC29/Inv_SY_B!$CA29-1,"")</f>
        <v>-2.4994161934854264E-2</v>
      </c>
      <c r="BD29" s="184">
        <f>IFERROR(Inv_SY_B!BD29/Inv_SY_B!$CA29-1,"")</f>
        <v>-1.5752678853589885E-2</v>
      </c>
      <c r="BE29" s="184">
        <f>IFERROR(Inv_SY_B!BE29/Inv_SY_B!$CA29-1,"")</f>
        <v>1.5386264902181201E-2</v>
      </c>
      <c r="BF29" s="184">
        <f>IFERROR(Inv_SY_B!BF29/Inv_SY_B!$CA29-1,"")</f>
        <v>2.878382445069616E-2</v>
      </c>
      <c r="BG29" s="184">
        <f>IFERROR(Inv_SY_B!BG29/Inv_SY_B!$CA29-1,"")</f>
        <v>4.6366989113554746E-2</v>
      </c>
      <c r="BH29" s="184">
        <f>IFERROR(Inv_SY_B!BH29/Inv_SY_B!$CA29-1,"")</f>
        <v>3.8615018258175926E-2</v>
      </c>
      <c r="BI29" s="184">
        <f>IFERROR(Inv_SY_B!BI29/Inv_SY_B!$CA29-1,"")</f>
        <v>2.1980507555319884E-2</v>
      </c>
      <c r="BJ29" s="184">
        <f>IFERROR(Inv_SY_B!BJ29/Inv_SY_B!$CA29-1,"")</f>
        <v>4.2515440097990798E-2</v>
      </c>
      <c r="BK29" s="184">
        <f>IFERROR(Inv_SY_B!BK29/Inv_SY_B!$CA29-1,"")</f>
        <v>1.5898974317597681E-2</v>
      </c>
      <c r="BL29" s="184">
        <f>IFERROR(Inv_SY_B!BL29/Inv_SY_B!$CA29-1,"")</f>
        <v>1.4278181471327311E-2</v>
      </c>
      <c r="BM29" s="184">
        <f>IFERROR(Inv_SY_B!BM29/Inv_SY_B!$CA29-1,"")</f>
        <v>4.9774350964707281E-2</v>
      </c>
      <c r="BN29" s="184">
        <f>IFERROR(Inv_SY_B!BN29/Inv_SY_B!$CA29-1,"")</f>
        <v>3.2824356372927577E-2</v>
      </c>
      <c r="BO29" s="184">
        <f>IFERROR(Inv_SY_B!BO29/Inv_SY_B!$CA29-1,"")</f>
        <v>1.027603748224859E-4</v>
      </c>
      <c r="BP29" s="184">
        <f>IFERROR(Inv_SY_B!BP29/Inv_SY_B!$CA29-1,"")</f>
        <v>3.3928409936726744E-2</v>
      </c>
      <c r="BQ29" s="184">
        <f>IFERROR(Inv_SY_B!BQ29/Inv_SY_B!$CA29-1,"")</f>
        <v>-3.8680657523023632E-3</v>
      </c>
      <c r="BR29" s="184">
        <f>IFERROR(Inv_SY_B!BR29/Inv_SY_B!$CA29-1,"")</f>
        <v>8.2786109142868103E-2</v>
      </c>
      <c r="BS29" s="184">
        <f>IFERROR(Inv_SY_B!BS29/Inv_SY_B!$CA29-1,"")</f>
        <v>1.7135669624439354E-2</v>
      </c>
      <c r="BT29" s="184">
        <f>IFERROR(Inv_SY_B!BT29/Inv_SY_B!$CA29-1,"")</f>
        <v>-1.3893576762870841E-2</v>
      </c>
      <c r="BU29" s="184">
        <f>IFERROR(Inv_SY_B!BU29/Inv_SY_B!$CA29-1,"")</f>
        <v>-0.32830752529955265</v>
      </c>
      <c r="BV29" s="184">
        <f>IFERROR(Inv_SY_B!BV29/Inv_SY_B!$CA29-1,"")</f>
        <v>0.11347977388154495</v>
      </c>
      <c r="BW29" s="184">
        <f>IFERROR(Inv_SY_B!BW29/Inv_SY_B!$CA29-1,"")</f>
        <v>3.9284319720622962E-2</v>
      </c>
      <c r="BX29" s="184">
        <f>IFERROR(Inv_SY_B!BX29/Inv_SY_B!$CA29-1,"")</f>
        <v>1.7488167225994999E-2</v>
      </c>
    </row>
    <row r="30" spans="1:76">
      <c r="A30"/>
      <c r="B30" s="179">
        <f t="shared" si="1"/>
        <v>45854</v>
      </c>
      <c r="C30" s="184">
        <f>IFERROR(Inv_SY_B!C30/Inv_SY_B!$BY30-1,"")</f>
        <v>-1.2393230475646888E-3</v>
      </c>
      <c r="D30" s="184">
        <f>IFERROR(Inv_SY_B!D30/Inv_SY_B!$BY30-1,"")</f>
        <v>9.0937389856264872E-3</v>
      </c>
      <c r="E30" s="184">
        <f>IFERROR(Inv_SY_B!E30/Inv_SY_B!$BY30-1,"")</f>
        <v>1.4748266917822495E-2</v>
      </c>
      <c r="F30" s="184">
        <f>IFERROR(Inv_SY_B!F30/Inv_SY_B!$BY30-1,"")</f>
        <v>4.3365392787810819E-3</v>
      </c>
      <c r="G30" s="184">
        <f>IFERROR(Inv_SY_B!G30/Inv_SY_B!$BY30-1,"")</f>
        <v>1.0266202740480956E-3</v>
      </c>
      <c r="H30" s="184">
        <f>IFERROR(Inv_SY_B!H30/Inv_SY_B!$BY30-1,"")</f>
        <v>-8.2038053287913915E-3</v>
      </c>
      <c r="I30" s="184">
        <f>IFERROR(Inv_SY_B!I30/Inv_SY_B!$BY30-1,"")</f>
        <v>1.5095019616793826E-2</v>
      </c>
      <c r="J30" s="184">
        <f>IFERROR(Inv_SY_B!J30/Inv_SY_B!$BY30-1,"")</f>
        <v>-1.1739529222611678E-2</v>
      </c>
      <c r="K30" s="184">
        <f>IFERROR(Inv_SY_B!K30/Inv_SY_B!$BY30-1,"")</f>
        <v>-6.9289701054657815E-3</v>
      </c>
      <c r="L30" s="184">
        <f>IFERROR(Inv_SY_B!L30/Inv_SY_B!$BY30-1,"")</f>
        <v>2.2502424209017491E-2</v>
      </c>
      <c r="M30" s="184">
        <f>IFERROR(Inv_SY_B!M30/Inv_SY_B!$BY30-1,"")</f>
        <v>4.5724788166106034E-2</v>
      </c>
      <c r="N30" s="184">
        <f>IFERROR(Inv_SY_B!N30/Inv_SY_B!$BY30-1,"")</f>
        <v>1.2098123841771447E-2</v>
      </c>
      <c r="O30" s="184">
        <f>IFERROR(Inv_SY_B!O30/Inv_SY_B!$BY30-1,"")</f>
        <v>3.9064585448305156E-2</v>
      </c>
      <c r="P30" s="184">
        <f>IFERROR(Inv_SY_B!P30/Inv_SY_B!$BY30-1,"")</f>
        <v>-1.4699128118334737E-2</v>
      </c>
      <c r="Q30" s="184">
        <f>IFERROR(Inv_SY_B!Q30/Inv_SY_B!$BY30-1,"")</f>
        <v>7.0003141662982049E-3</v>
      </c>
      <c r="R30" s="184">
        <f>IFERROR(Inv_SY_B!R30/Inv_SY_B!$BY30-1,"")</f>
        <v>1.5971720858079852E-2</v>
      </c>
      <c r="S30" s="184">
        <f>IFERROR(Inv_SY_B!S30/Inv_SY_B!$BY30-1,"")</f>
        <v>2.1155745108303314E-4</v>
      </c>
      <c r="T30" s="184">
        <f>IFERROR(Inv_SY_B!T30/Inv_SY_B!$BY30-1,"")</f>
        <v>-2.1403611639810194E-2</v>
      </c>
      <c r="U30" s="184">
        <f>IFERROR(Inv_SY_B!U30/Inv_SY_B!$BY30-1,"")</f>
        <v>7.9348017294571527E-3</v>
      </c>
      <c r="V30" s="184">
        <f>IFERROR(Inv_SY_B!V30/Inv_SY_B!$BY30-1,"")</f>
        <v>-2.4192207087436746E-4</v>
      </c>
      <c r="W30" s="184">
        <f>IFERROR(Inv_SY_B!W30/Inv_SY_B!$BY30-1,"")</f>
        <v>-4.1951947282617974E-2</v>
      </c>
      <c r="X30" s="184">
        <f>IFERROR(Inv_SY_B!X30/Inv_SY_B!$BY30-1,"")</f>
        <v>-5.6108717954582721E-3</v>
      </c>
      <c r="Y30" s="184">
        <f>IFERROR(Inv_SY_B!Y30/Inv_SY_B!$BY30-1,"")</f>
        <v>-6.3980942403306651E-3</v>
      </c>
      <c r="Z30" s="184">
        <f>IFERROR(Inv_SY_B!Z30/Inv_SY_B!$BY30-1,"")</f>
        <v>-1.1497228957448202E-2</v>
      </c>
      <c r="AA30" s="184">
        <f>IFERROR(Inv_SY_B!AA30/Inv_SY_B!$BY30-1,"")</f>
        <v>-1.0707421931651417E-2</v>
      </c>
      <c r="AB30" s="184">
        <f>IFERROR(Inv_SY_B!AB30/Inv_SY_B!$BY30-1,"")</f>
        <v>-2.2672542803748752E-2</v>
      </c>
      <c r="AC30" s="184">
        <f>IFERROR(Inv_SY_B!AC30/Inv_SY_B!$BY30-1,"")</f>
        <v>-1.2627318013865296E-2</v>
      </c>
      <c r="AD30" s="184">
        <f>IFERROR(Inv_SY_B!AD30/Inv_SY_B!$BY30-1,"")</f>
        <v>-1.8886786384620158E-2</v>
      </c>
      <c r="AE30" s="184">
        <f>IFERROR(Inv_SY_B!AE30/Inv_SY_B!$BZ30-1,"")</f>
        <v>1.4909541141179261E-2</v>
      </c>
      <c r="AF30" s="184">
        <f>IFERROR(Inv_SY_B!AF30/Inv_SY_B!$BZ30-1,"")</f>
        <v>-2.5191386996344933E-3</v>
      </c>
      <c r="AG30" s="184">
        <f>IFERROR(Inv_SY_B!AG30/Inv_SY_B!$BZ30-1,"")</f>
        <v>9.2666306957487343E-3</v>
      </c>
      <c r="AH30" s="184">
        <f>IFERROR(Inv_SY_B!AH30/Inv_SY_B!$BZ30-1,"")</f>
        <v>7.1407677009185377E-3</v>
      </c>
      <c r="AI30" s="184">
        <f>IFERROR(Inv_SY_B!AI30/Inv_SY_B!$BZ30-1,"")</f>
        <v>1.3158552924203315E-2</v>
      </c>
      <c r="AJ30" s="184">
        <f>IFERROR(Inv_SY_B!AJ30/Inv_SY_B!$BZ30-1,"")</f>
        <v>-3.3578035012181706E-3</v>
      </c>
      <c r="AK30" s="184">
        <f>IFERROR(Inv_SY_B!AK30/Inv_SY_B!$BZ30-1,"")</f>
        <v>-1.9055540708912133E-5</v>
      </c>
      <c r="AL30" s="184">
        <f>IFERROR(Inv_SY_B!AL30/Inv_SY_B!$BZ30-1,"")</f>
        <v>7.7607088137929825E-3</v>
      </c>
      <c r="AM30" s="184">
        <f>IFERROR(Inv_SY_B!AM30/Inv_SY_B!$BZ30-1,"")</f>
        <v>4.8477954078676166E-3</v>
      </c>
      <c r="AN30" s="184">
        <f>IFERROR(Inv_SY_B!AN30/Inv_SY_B!$BZ30-1,"")</f>
        <v>1.7074574813515486E-2</v>
      </c>
      <c r="AO30" s="184">
        <f>IFERROR(Inv_SY_B!AO30/Inv_SY_B!$BZ30-1,"")</f>
        <v>2.0436542691592452E-2</v>
      </c>
      <c r="AP30" s="184">
        <f>IFERROR(Inv_SY_B!AP30/Inv_SY_B!$BZ30-1,"")</f>
        <v>1.3205140085917666E-2</v>
      </c>
      <c r="AQ30" s="184">
        <f>IFERROR(Inv_SY_B!AQ30/Inv_SY_B!$BZ30-1,"")</f>
        <v>1.3078715228021842E-2</v>
      </c>
      <c r="AR30" s="184">
        <f>IFERROR(Inv_SY_B!AR30/Inv_SY_B!$BZ30-1,"")</f>
        <v>1.3209981052574093E-2</v>
      </c>
      <c r="AS30" s="184">
        <f>IFERROR(Inv_SY_B!AS30/Inv_SY_B!$BZ30-1,"")</f>
        <v>-1.7263897868230904E-2</v>
      </c>
      <c r="AT30" s="184">
        <f>IFERROR(Inv_SY_B!AT30/Inv_SY_B!$BZ30-1,"")</f>
        <v>-4.3926671665644346E-2</v>
      </c>
      <c r="AU30" s="184">
        <f>IFERROR(Inv_SY_B!AU30/Inv_SY_B!$BZ30-1,"")</f>
        <v>-3.1752960135139841E-2</v>
      </c>
      <c r="AV30" s="184">
        <f>IFERROR(Inv_SY_B!AV30/Inv_SY_B!$BZ30-1,"")</f>
        <v>-3.5249423144750325E-2</v>
      </c>
      <c r="AW30" s="184">
        <f>IFERROR(Inv_SY_B!AW30/Inv_SY_B!$CA30-1,"")</f>
        <v>-0.16832762099905185</v>
      </c>
      <c r="AX30" s="184">
        <f>IFERROR(Inv_SY_B!AX30/Inv_SY_B!$CA30-1,"")</f>
        <v>-0.13815007947557989</v>
      </c>
      <c r="AY30" s="184">
        <f>IFERROR(Inv_SY_B!AY30/Inv_SY_B!$CA30-1,"")</f>
        <v>-1.129313147641775E-2</v>
      </c>
      <c r="AZ30" s="184">
        <f>IFERROR(Inv_SY_B!AZ30/Inv_SY_B!$CA30-1,"")</f>
        <v>5.4334658025395388E-2</v>
      </c>
      <c r="BA30" s="184">
        <f>IFERROR(Inv_SY_B!BA30/Inv_SY_B!$CA30-1,"")</f>
        <v>-2.3595252131851208E-2</v>
      </c>
      <c r="BB30" s="184">
        <f>IFERROR(Inv_SY_B!BB30/Inv_SY_B!$CA30-1,"")</f>
        <v>1.1148833267819347E-2</v>
      </c>
      <c r="BC30" s="184">
        <f>IFERROR(Inv_SY_B!BC30/Inv_SY_B!$CA30-1,"")</f>
        <v>5.1360309004315763E-3</v>
      </c>
      <c r="BD30" s="184">
        <f>IFERROR(Inv_SY_B!BD30/Inv_SY_B!$CA30-1,"")</f>
        <v>4.4004543024673826E-3</v>
      </c>
      <c r="BE30" s="184">
        <f>IFERROR(Inv_SY_B!BE30/Inv_SY_B!$CA30-1,"")</f>
        <v>3.321274284996889E-2</v>
      </c>
      <c r="BF30" s="184">
        <f>IFERROR(Inv_SY_B!BF30/Inv_SY_B!$CA30-1,"")</f>
        <v>2.1129904352684914E-2</v>
      </c>
      <c r="BG30" s="184">
        <f>IFERROR(Inv_SY_B!BG30/Inv_SY_B!$CA30-1,"")</f>
        <v>4.4872247512659058E-2</v>
      </c>
      <c r="BH30" s="184">
        <f>IFERROR(Inv_SY_B!BH30/Inv_SY_B!$CA30-1,"")</f>
        <v>3.7895309875036531E-2</v>
      </c>
      <c r="BI30" s="184">
        <f>IFERROR(Inv_SY_B!BI30/Inv_SY_B!$CA30-1,"")</f>
        <v>2.8314602681633216E-2</v>
      </c>
      <c r="BJ30" s="184">
        <f>IFERROR(Inv_SY_B!BJ30/Inv_SY_B!$CA30-1,"")</f>
        <v>4.2608635769806558E-2</v>
      </c>
      <c r="BK30" s="184">
        <f>IFERROR(Inv_SY_B!BK30/Inv_SY_B!$CA30-1,"")</f>
        <v>1.5062146390045994E-2</v>
      </c>
      <c r="BL30" s="184">
        <f>IFERROR(Inv_SY_B!BL30/Inv_SY_B!$CA30-1,"")</f>
        <v>2.3070103255817154E-2</v>
      </c>
      <c r="BM30" s="184">
        <f>IFERROR(Inv_SY_B!BM30/Inv_SY_B!$CA30-1,"")</f>
        <v>8.3031976339551505E-3</v>
      </c>
      <c r="BN30" s="184">
        <f>IFERROR(Inv_SY_B!BN30/Inv_SY_B!$CA30-1,"")</f>
        <v>4.4895821607338071E-4</v>
      </c>
      <c r="BO30" s="184">
        <f>IFERROR(Inv_SY_B!BO30/Inv_SY_B!$CA30-1,"")</f>
        <v>-2.1245117461189844E-2</v>
      </c>
      <c r="BP30" s="184">
        <f>IFERROR(Inv_SY_B!BP30/Inv_SY_B!$CA30-1,"")</f>
        <v>1.7085603392206217E-3</v>
      </c>
      <c r="BQ30" s="184">
        <f>IFERROR(Inv_SY_B!BQ30/Inv_SY_B!$CA30-1,"")</f>
        <v>-1.2704591498874485E-2</v>
      </c>
      <c r="BR30" s="184">
        <f>IFERROR(Inv_SY_B!BR30/Inv_SY_B!$CA30-1,"")</f>
        <v>7.8405055991094041E-2</v>
      </c>
      <c r="BS30" s="184">
        <f>IFERROR(Inv_SY_B!BS30/Inv_SY_B!$CA30-1,"")</f>
        <v>-6.5561819783535036E-3</v>
      </c>
      <c r="BT30" s="184">
        <f>IFERROR(Inv_SY_B!BT30/Inv_SY_B!$CA30-1,"")</f>
        <v>-1.4644942269478212E-2</v>
      </c>
      <c r="BU30" s="184">
        <f>IFERROR(Inv_SY_B!BU30/Inv_SY_B!$CA30-1,"")</f>
        <v>-0.11702722256549791</v>
      </c>
      <c r="BV30" s="184">
        <f>IFERROR(Inv_SY_B!BV30/Inv_SY_B!$CA30-1,"")</f>
        <v>0.11902196558163269</v>
      </c>
      <c r="BW30" s="184">
        <f>IFERROR(Inv_SY_B!BW30/Inv_SY_B!$CA30-1,"")</f>
        <v>3.9482021620640406E-3</v>
      </c>
      <c r="BX30" s="184">
        <f>IFERROR(Inv_SY_B!BX30/Inv_SY_B!$CA30-1,"")</f>
        <v>-1.9477469251513835E-2</v>
      </c>
    </row>
    <row r="31" spans="1:76">
      <c r="A31"/>
      <c r="B31" s="179">
        <f t="shared" si="1"/>
        <v>45855</v>
      </c>
      <c r="C31" s="184">
        <f>IFERROR(Inv_SY_B!C31/Inv_SY_B!$BY31-1,"")</f>
        <v>-3.4195368004785398E-2</v>
      </c>
      <c r="D31" s="184">
        <f>IFERROR(Inv_SY_B!D31/Inv_SY_B!$BY31-1,"")</f>
        <v>-3.3230172188612572E-2</v>
      </c>
      <c r="E31" s="184">
        <f>IFERROR(Inv_SY_B!E31/Inv_SY_B!$BY31-1,"")</f>
        <v>-2.7062453693008082E-2</v>
      </c>
      <c r="F31" s="184">
        <f>IFERROR(Inv_SY_B!F31/Inv_SY_B!$BY31-1,"")</f>
        <v>-1.904365800726826E-2</v>
      </c>
      <c r="G31" s="184">
        <f>IFERROR(Inv_SY_B!G31/Inv_SY_B!$BY31-1,"")</f>
        <v>-1.699618649059309E-2</v>
      </c>
      <c r="H31" s="184">
        <f>IFERROR(Inv_SY_B!H31/Inv_SY_B!$BY31-1,"")</f>
        <v>-3.2766245119741022E-2</v>
      </c>
      <c r="I31" s="184">
        <f>IFERROR(Inv_SY_B!I31/Inv_SY_B!$BY31-1,"")</f>
        <v>-1.7037537765648092E-2</v>
      </c>
      <c r="J31" s="184">
        <f>IFERROR(Inv_SY_B!J31/Inv_SY_B!$BY31-1,"")</f>
        <v>-4.0038789968793842E-2</v>
      </c>
      <c r="K31" s="184">
        <f>IFERROR(Inv_SY_B!K31/Inv_SY_B!$BY31-1,"")</f>
        <v>-3.8730384615529023E-2</v>
      </c>
      <c r="L31" s="184">
        <f>IFERROR(Inv_SY_B!L31/Inv_SY_B!$BY31-1,"")</f>
        <v>3.7597899795192014E-3</v>
      </c>
      <c r="M31" s="184">
        <f>IFERROR(Inv_SY_B!M31/Inv_SY_B!$BY31-1,"")</f>
        <v>3.9335970073974158E-2</v>
      </c>
      <c r="N31" s="184">
        <f>IFERROR(Inv_SY_B!N31/Inv_SY_B!$BY31-1,"")</f>
        <v>-1.5084186225451934E-2</v>
      </c>
      <c r="O31" s="184">
        <f>IFERROR(Inv_SY_B!O31/Inv_SY_B!$BY31-1,"")</f>
        <v>1.0477920856229117E-2</v>
      </c>
      <c r="P31" s="184">
        <f>IFERROR(Inv_SY_B!P31/Inv_SY_B!$BY31-1,"")</f>
        <v>-5.5460645653739871E-3</v>
      </c>
      <c r="Q31" s="184">
        <f>IFERROR(Inv_SY_B!Q31/Inv_SY_B!$BY31-1,"")</f>
        <v>-6.7598345591388664E-3</v>
      </c>
      <c r="R31" s="184">
        <f>IFERROR(Inv_SY_B!R31/Inv_SY_B!$BY31-1,"")</f>
        <v>-1.6040525470714107E-2</v>
      </c>
      <c r="S31" s="184">
        <f>IFERROR(Inv_SY_B!S31/Inv_SY_B!$BY31-1,"")</f>
        <v>-2.7646148653785119E-2</v>
      </c>
      <c r="T31" s="184">
        <f>IFERROR(Inv_SY_B!T31/Inv_SY_B!$BY31-1,"")</f>
        <v>-1.5947780616798801E-2</v>
      </c>
      <c r="U31" s="184">
        <f>IFERROR(Inv_SY_B!U31/Inv_SY_B!$BY31-1,"")</f>
        <v>-2.1181547636104581E-2</v>
      </c>
      <c r="V31" s="184">
        <f>IFERROR(Inv_SY_B!V31/Inv_SY_B!$BY31-1,"")</f>
        <v>-2.3367855694565787E-2</v>
      </c>
      <c r="W31" s="184">
        <f>IFERROR(Inv_SY_B!W31/Inv_SY_B!$BY31-1,"")</f>
        <v>1.8713861104509011E-2</v>
      </c>
      <c r="X31" s="184">
        <f>IFERROR(Inv_SY_B!X31/Inv_SY_B!$BY31-1,"")</f>
        <v>5.355753094768767E-2</v>
      </c>
      <c r="Y31" s="184">
        <f>IFERROR(Inv_SY_B!Y31/Inv_SY_B!$BY31-1,"")</f>
        <v>5.279212480853035E-2</v>
      </c>
      <c r="Z31" s="184">
        <f>IFERROR(Inv_SY_B!Z31/Inv_SY_B!$BY31-1,"")</f>
        <v>4.3571020470082766E-2</v>
      </c>
      <c r="AA31" s="184">
        <f>IFERROR(Inv_SY_B!AA31/Inv_SY_B!$BY31-1,"")</f>
        <v>5.2735830655737059E-2</v>
      </c>
      <c r="AB31" s="184">
        <f>IFERROR(Inv_SY_B!AB31/Inv_SY_B!$BY31-1,"")</f>
        <v>3.0923010097987147E-2</v>
      </c>
      <c r="AC31" s="184">
        <f>IFERROR(Inv_SY_B!AC31/Inv_SY_B!$BY31-1,"")</f>
        <v>4.6412686196107611E-2</v>
      </c>
      <c r="AD31" s="184">
        <f>IFERROR(Inv_SY_B!AD31/Inv_SY_B!$BY31-1,"")</f>
        <v>3.8394994085551915E-2</v>
      </c>
      <c r="AE31" s="184">
        <f>IFERROR(Inv_SY_B!AE31/Inv_SY_B!$BZ31-1,"")</f>
        <v>-1.1549115958973011E-2</v>
      </c>
      <c r="AF31" s="184">
        <f>IFERROR(Inv_SY_B!AF31/Inv_SY_B!$BZ31-1,"")</f>
        <v>-1.6045838417842573E-2</v>
      </c>
      <c r="AG31" s="184">
        <f>IFERROR(Inv_SY_B!AG31/Inv_SY_B!$BZ31-1,"")</f>
        <v>9.0356134318372305E-3</v>
      </c>
      <c r="AH31" s="184">
        <f>IFERROR(Inv_SY_B!AH31/Inv_SY_B!$BZ31-1,"")</f>
        <v>7.0628628493323298E-3</v>
      </c>
      <c r="AI31" s="184">
        <f>IFERROR(Inv_SY_B!AI31/Inv_SY_B!$BZ31-1,"")</f>
        <v>-8.4500833066039061E-3</v>
      </c>
      <c r="AJ31" s="184">
        <f>IFERROR(Inv_SY_B!AJ31/Inv_SY_B!$BZ31-1,"")</f>
        <v>-1.8304982083678034E-2</v>
      </c>
      <c r="AK31" s="184">
        <f>IFERROR(Inv_SY_B!AK31/Inv_SY_B!$BZ31-1,"")</f>
        <v>-1.9913968154460227E-2</v>
      </c>
      <c r="AL31" s="184">
        <f>IFERROR(Inv_SY_B!AL31/Inv_SY_B!$BZ31-1,"")</f>
        <v>-1.4141124171842545E-3</v>
      </c>
      <c r="AM31" s="184">
        <f>IFERROR(Inv_SY_B!AM31/Inv_SY_B!$BZ31-1,"")</f>
        <v>7.8894654453685042E-3</v>
      </c>
      <c r="AN31" s="184">
        <f>IFERROR(Inv_SY_B!AN31/Inv_SY_B!$BZ31-1,"")</f>
        <v>2.2462013109936896E-2</v>
      </c>
      <c r="AO31" s="184">
        <f>IFERROR(Inv_SY_B!AO31/Inv_SY_B!$BZ31-1,"")</f>
        <v>2.6941972658789171E-2</v>
      </c>
      <c r="AP31" s="184">
        <f>IFERROR(Inv_SY_B!AP31/Inv_SY_B!$BZ31-1,"")</f>
        <v>2.2157713970769599E-2</v>
      </c>
      <c r="AQ31" s="184">
        <f>IFERROR(Inv_SY_B!AQ31/Inv_SY_B!$BZ31-1,"")</f>
        <v>2.4192895133499093E-2</v>
      </c>
      <c r="AR31" s="184">
        <f>IFERROR(Inv_SY_B!AR31/Inv_SY_B!$BZ31-1,"")</f>
        <v>2.0063032586478124E-2</v>
      </c>
      <c r="AS31" s="184">
        <f>IFERROR(Inv_SY_B!AS31/Inv_SY_B!$BZ31-1,"")</f>
        <v>-2.6282826979189267E-2</v>
      </c>
      <c r="AT31" s="184">
        <f>IFERROR(Inv_SY_B!AT31/Inv_SY_B!$BZ31-1,"")</f>
        <v>-2.1606580517253282E-2</v>
      </c>
      <c r="AU31" s="184">
        <f>IFERROR(Inv_SY_B!AU31/Inv_SY_B!$BZ31-1,"")</f>
        <v>-1.0183763090833908E-2</v>
      </c>
      <c r="AV31" s="184">
        <f>IFERROR(Inv_SY_B!AV31/Inv_SY_B!$BZ31-1,"")</f>
        <v>-6.0542982599921524E-3</v>
      </c>
      <c r="AW31" s="184">
        <f>IFERROR(Inv_SY_B!AW31/Inv_SY_B!$CA31-1,"")</f>
        <v>-0.14625710623286947</v>
      </c>
      <c r="AX31" s="184">
        <f>IFERROR(Inv_SY_B!AX31/Inv_SY_B!$CA31-1,"")</f>
        <v>-0.120642531426287</v>
      </c>
      <c r="AY31" s="184">
        <f>IFERROR(Inv_SY_B!AY31/Inv_SY_B!$CA31-1,"")</f>
        <v>-4.0232753818373546E-2</v>
      </c>
      <c r="AZ31" s="184">
        <f>IFERROR(Inv_SY_B!AZ31/Inv_SY_B!$CA31-1,"")</f>
        <v>2.1138596180137137E-2</v>
      </c>
      <c r="BA31" s="184">
        <f>IFERROR(Inv_SY_B!BA31/Inv_SY_B!$CA31-1,"")</f>
        <v>-4.2891838797713744E-2</v>
      </c>
      <c r="BB31" s="184">
        <f>IFERROR(Inv_SY_B!BB31/Inv_SY_B!$CA31-1,"")</f>
        <v>-1.1327147928950065E-2</v>
      </c>
      <c r="BC31" s="184">
        <f>IFERROR(Inv_SY_B!BC31/Inv_SY_B!$CA31-1,"")</f>
        <v>-1.2389592926233206E-2</v>
      </c>
      <c r="BD31" s="184">
        <f>IFERROR(Inv_SY_B!BD31/Inv_SY_B!$CA31-1,"")</f>
        <v>-4.3339826821162664E-3</v>
      </c>
      <c r="BE31" s="184">
        <f>IFERROR(Inv_SY_B!BE31/Inv_SY_B!$CA31-1,"")</f>
        <v>3.0964833899175259E-2</v>
      </c>
      <c r="BF31" s="184">
        <f>IFERROR(Inv_SY_B!BF31/Inv_SY_B!$CA31-1,"")</f>
        <v>2.0483164096840589E-2</v>
      </c>
      <c r="BG31" s="184">
        <f>IFERROR(Inv_SY_B!BG31/Inv_SY_B!$CA31-1,"")</f>
        <v>5.0029607440506663E-2</v>
      </c>
      <c r="BH31" s="184">
        <f>IFERROR(Inv_SY_B!BH31/Inv_SY_B!$CA31-1,"")</f>
        <v>4.3044594867511332E-2</v>
      </c>
      <c r="BI31" s="184">
        <f>IFERROR(Inv_SY_B!BI31/Inv_SY_B!$CA31-1,"")</f>
        <v>3.030292099101195E-2</v>
      </c>
      <c r="BJ31" s="184">
        <f>IFERROR(Inv_SY_B!BJ31/Inv_SY_B!$CA31-1,"")</f>
        <v>4.9775426663345224E-2</v>
      </c>
      <c r="BK31" s="184">
        <f>IFERROR(Inv_SY_B!BK31/Inv_SY_B!$CA31-1,"")</f>
        <v>2.1274506685510453E-2</v>
      </c>
      <c r="BL31" s="184">
        <f>IFERROR(Inv_SY_B!BL31/Inv_SY_B!$CA31-1,"")</f>
        <v>1.8719472506983914E-2</v>
      </c>
      <c r="BM31" s="184">
        <f>IFERROR(Inv_SY_B!BM31/Inv_SY_B!$CA31-1,"")</f>
        <v>3.3017274505669825E-2</v>
      </c>
      <c r="BN31" s="184">
        <f>IFERROR(Inv_SY_B!BN31/Inv_SY_B!$CA31-1,"")</f>
        <v>2.4933941423647132E-2</v>
      </c>
      <c r="BO31" s="184">
        <f>IFERROR(Inv_SY_B!BO31/Inv_SY_B!$CA31-1,"")</f>
        <v>-5.9363203300812906E-3</v>
      </c>
      <c r="BP31" s="184">
        <f>IFERROR(Inv_SY_B!BP31/Inv_SY_B!$CA31-1,"")</f>
        <v>2.0918597834264308E-2</v>
      </c>
      <c r="BQ31" s="184">
        <f>IFERROR(Inv_SY_B!BQ31/Inv_SY_B!$CA31-1,"")</f>
        <v>-1.5506093779744434E-2</v>
      </c>
      <c r="BR31" s="184">
        <f>IFERROR(Inv_SY_B!BR31/Inv_SY_B!$CA31-1,"")</f>
        <v>6.2153731725839156E-2</v>
      </c>
      <c r="BS31" s="184">
        <f>IFERROR(Inv_SY_B!BS31/Inv_SY_B!$CA31-1,"")</f>
        <v>-3.5089072416747746E-2</v>
      </c>
      <c r="BT31" s="184">
        <f>IFERROR(Inv_SY_B!BT31/Inv_SY_B!$CA31-1,"")</f>
        <v>2.8215932412121392E-2</v>
      </c>
      <c r="BU31" s="184">
        <f>IFERROR(Inv_SY_B!BU31/Inv_SY_B!$CA31-1,"")</f>
        <v>-8.3912406453355293E-2</v>
      </c>
      <c r="BV31" s="184">
        <f>IFERROR(Inv_SY_B!BV31/Inv_SY_B!$CA31-1,"")</f>
        <v>4.1451207461148387E-2</v>
      </c>
      <c r="BW31" s="184">
        <f>IFERROR(Inv_SY_B!BW31/Inv_SY_B!$CA31-1,"")</f>
        <v>1.5307357784170694E-2</v>
      </c>
      <c r="BX31" s="184">
        <f>IFERROR(Inv_SY_B!BX31/Inv_SY_B!$CA31-1,"")</f>
        <v>6.787680314588318E-3</v>
      </c>
    </row>
    <row r="32" spans="1:76">
      <c r="A32"/>
      <c r="B32" s="179">
        <f>B31+1</f>
        <v>45856</v>
      </c>
      <c r="C32" s="184">
        <f>IFERROR(Inv_SY_B!C32/Inv_SY_B!$BY32-1,"")</f>
        <v>7.1455853860586949E-3</v>
      </c>
      <c r="D32" s="184">
        <f>IFERROR(Inv_SY_B!D32/Inv_SY_B!$BY32-1,"")</f>
        <v>2.8326669737741561E-3</v>
      </c>
      <c r="E32" s="184">
        <f>IFERROR(Inv_SY_B!E32/Inv_SY_B!$BY32-1,"")</f>
        <v>-6.9852096862319524E-3</v>
      </c>
      <c r="F32" s="184">
        <f>IFERROR(Inv_SY_B!F32/Inv_SY_B!$BY32-1,"")</f>
        <v>-1.6137670868885734E-2</v>
      </c>
      <c r="G32" s="184">
        <f>IFERROR(Inv_SY_B!G32/Inv_SY_B!$BY32-1,"")</f>
        <v>-1.539643368886956E-2</v>
      </c>
      <c r="H32" s="184">
        <f>IFERROR(Inv_SY_B!H32/Inv_SY_B!$BY32-1,"")</f>
        <v>-1.4665320685123717E-2</v>
      </c>
      <c r="I32" s="184">
        <f>IFERROR(Inv_SY_B!I32/Inv_SY_B!$BY32-1,"")</f>
        <v>3.2982476440661657E-3</v>
      </c>
      <c r="J32" s="184">
        <f>IFERROR(Inv_SY_B!J32/Inv_SY_B!$BY32-1,"")</f>
        <v>1.3580340953010417E-2</v>
      </c>
      <c r="K32" s="184">
        <f>IFERROR(Inv_SY_B!K32/Inv_SY_B!$BY32-1,"")</f>
        <v>-2.4052240222957155E-2</v>
      </c>
      <c r="L32" s="184">
        <f>IFERROR(Inv_SY_B!L32/Inv_SY_B!$BY32-1,"")</f>
        <v>5.8436411314439773E-3</v>
      </c>
      <c r="M32" s="184">
        <f>IFERROR(Inv_SY_B!M32/Inv_SY_B!$BY32-1,"")</f>
        <v>3.5527057325318134E-2</v>
      </c>
      <c r="N32" s="184">
        <f>IFERROR(Inv_SY_B!N32/Inv_SY_B!$BY32-1,"")</f>
        <v>-9.2454108317420181E-3</v>
      </c>
      <c r="O32" s="184">
        <f>IFERROR(Inv_SY_B!O32/Inv_SY_B!$BY32-1,"")</f>
        <v>1.8369443447917355E-2</v>
      </c>
      <c r="P32" s="184">
        <f>IFERROR(Inv_SY_B!P32/Inv_SY_B!$BY32-1,"")</f>
        <v>-2.4695489899887679E-2</v>
      </c>
      <c r="Q32" s="184">
        <f>IFERROR(Inv_SY_B!Q32/Inv_SY_B!$BY32-1,"")</f>
        <v>7.5050661438955668E-3</v>
      </c>
      <c r="R32" s="184">
        <f>IFERROR(Inv_SY_B!R32/Inv_SY_B!$BY32-1,"")</f>
        <v>8.7539379733017064E-3</v>
      </c>
      <c r="S32" s="184">
        <f>IFERROR(Inv_SY_B!S32/Inv_SY_B!$BY32-1,"")</f>
        <v>-7.4852761319510464E-3</v>
      </c>
      <c r="T32" s="184">
        <f>IFERROR(Inv_SY_B!T32/Inv_SY_B!$BY32-1,"")</f>
        <v>6.4505531760057355E-3</v>
      </c>
      <c r="U32" s="184">
        <f>IFERROR(Inv_SY_B!U32/Inv_SY_B!$BY32-1,"")</f>
        <v>7.521616823775279E-3</v>
      </c>
      <c r="V32" s="184">
        <f>IFERROR(Inv_SY_B!V32/Inv_SY_B!$BY32-1,"")</f>
        <v>1.2648520546806319E-2</v>
      </c>
      <c r="W32" s="184">
        <f>IFERROR(Inv_SY_B!W32/Inv_SY_B!$BY32-1,"")</f>
        <v>-1.6606623361322015E-2</v>
      </c>
      <c r="X32" s="184">
        <f>IFERROR(Inv_SY_B!X32/Inv_SY_B!$BY32-1,"")</f>
        <v>-8.2484614807752932E-3</v>
      </c>
      <c r="Y32" s="184">
        <f>IFERROR(Inv_SY_B!Y32/Inv_SY_B!$BY32-1,"")</f>
        <v>1.1516995711393641E-2</v>
      </c>
      <c r="Z32" s="184">
        <f>IFERROR(Inv_SY_B!Z32/Inv_SY_B!$BY32-1,"")</f>
        <v>9.175335820644781E-3</v>
      </c>
      <c r="AA32" s="184">
        <f>IFERROR(Inv_SY_B!AA32/Inv_SY_B!$BY32-1,"")</f>
        <v>5.367461974358223E-3</v>
      </c>
      <c r="AB32" s="184">
        <f>IFERROR(Inv_SY_B!AB32/Inv_SY_B!$BY32-1,"")</f>
        <v>-1.4006617835625179E-2</v>
      </c>
      <c r="AC32" s="184">
        <f>IFERROR(Inv_SY_B!AC32/Inv_SY_B!$BY32-1,"")</f>
        <v>5.4210774887919477E-3</v>
      </c>
      <c r="AD32" s="184">
        <f>IFERROR(Inv_SY_B!AD32/Inv_SY_B!$BY32-1,"")</f>
        <v>-3.4327938271908609E-3</v>
      </c>
      <c r="AE32" s="184">
        <f>IFERROR(Inv_SY_B!AE32/Inv_SY_B!$BZ32-1,"")</f>
        <v>4.1430320283657451E-3</v>
      </c>
      <c r="AF32" s="184">
        <f>IFERROR(Inv_SY_B!AF32/Inv_SY_B!$BZ32-1,"")</f>
        <v>-1.893603037576097E-2</v>
      </c>
      <c r="AG32" s="184">
        <f>IFERROR(Inv_SY_B!AG32/Inv_SY_B!$BZ32-1,"")</f>
        <v>-1.0539031717905822E-2</v>
      </c>
      <c r="AH32" s="184">
        <f>IFERROR(Inv_SY_B!AH32/Inv_SY_B!$BZ32-1,"")</f>
        <v>-2.2388787358109563E-2</v>
      </c>
      <c r="AI32" s="184">
        <f>IFERROR(Inv_SY_B!AI32/Inv_SY_B!$BZ32-1,"")</f>
        <v>9.308018298845866E-4</v>
      </c>
      <c r="AJ32" s="184">
        <f>IFERROR(Inv_SY_B!AJ32/Inv_SY_B!$BZ32-1,"")</f>
        <v>-1.3288183288722166E-2</v>
      </c>
      <c r="AK32" s="184">
        <f>IFERROR(Inv_SY_B!AK32/Inv_SY_B!$BZ32-1,"")</f>
        <v>-2.0950519220341857E-3</v>
      </c>
      <c r="AL32" s="184">
        <f>IFERROR(Inv_SY_B!AL32/Inv_SY_B!$BZ32-1,"")</f>
        <v>4.6495886492365912E-3</v>
      </c>
      <c r="AM32" s="184">
        <f>IFERROR(Inv_SY_B!AM32/Inv_SY_B!$BZ32-1,"")</f>
        <v>5.573823023761415E-3</v>
      </c>
      <c r="AN32" s="184">
        <f>IFERROR(Inv_SY_B!AN32/Inv_SY_B!$BZ32-1,"")</f>
        <v>1.2190525163615185E-2</v>
      </c>
      <c r="AO32" s="184">
        <f>IFERROR(Inv_SY_B!AO32/Inv_SY_B!$BZ32-1,"")</f>
        <v>1.0294149472442227E-2</v>
      </c>
      <c r="AP32" s="184">
        <f>IFERROR(Inv_SY_B!AP32/Inv_SY_B!$BZ32-1,"")</f>
        <v>-6.1136228120551861E-3</v>
      </c>
      <c r="AQ32" s="184">
        <f>IFERROR(Inv_SY_B!AQ32/Inv_SY_B!$BZ32-1,"")</f>
        <v>1.2180988761760769E-3</v>
      </c>
      <c r="AR32" s="184">
        <f>IFERROR(Inv_SY_B!AR32/Inv_SY_B!$BZ32-1,"")</f>
        <v>6.3847274099027018E-4</v>
      </c>
      <c r="AS32" s="184">
        <f>IFERROR(Inv_SY_B!AS32/Inv_SY_B!$BZ32-1,"")</f>
        <v>-2.5802870737752226E-3</v>
      </c>
      <c r="AT32" s="184">
        <f>IFERROR(Inv_SY_B!AT32/Inv_SY_B!$BZ32-1,"")</f>
        <v>1.3406072126790347E-2</v>
      </c>
      <c r="AU32" s="184">
        <f>IFERROR(Inv_SY_B!AU32/Inv_SY_B!$BZ32-1,"")</f>
        <v>1.5676354153981498E-2</v>
      </c>
      <c r="AV32" s="184">
        <f>IFERROR(Inv_SY_B!AV32/Inv_SY_B!$BZ32-1,"")</f>
        <v>7.220076483116733E-3</v>
      </c>
      <c r="AW32" s="184">
        <f>IFERROR(Inv_SY_B!AW32/Inv_SY_B!$CA32-1,"")</f>
        <v>1.0690486823509371E-2</v>
      </c>
      <c r="AX32" s="184">
        <f>IFERROR(Inv_SY_B!AX32/Inv_SY_B!$CA32-1,"")</f>
        <v>3.0839661379649996E-2</v>
      </c>
      <c r="AY32" s="184">
        <f>IFERROR(Inv_SY_B!AY32/Inv_SY_B!$CA32-1,"")</f>
        <v>-1.4467904616576321E-2</v>
      </c>
      <c r="AZ32" s="184">
        <f>IFERROR(Inv_SY_B!AZ32/Inv_SY_B!$CA32-1,"")</f>
        <v>5.2243426283995253E-2</v>
      </c>
      <c r="BA32" s="184">
        <f>IFERROR(Inv_SY_B!BA32/Inv_SY_B!$CA32-1,"")</f>
        <v>-1.1912319020731199E-2</v>
      </c>
      <c r="BB32" s="184">
        <f>IFERROR(Inv_SY_B!BB32/Inv_SY_B!$CA32-1,"")</f>
        <v>6.9560843580105391E-3</v>
      </c>
      <c r="BC32" s="184">
        <f>IFERROR(Inv_SY_B!BC32/Inv_SY_B!$CA32-1,"")</f>
        <v>3.1519362209295743E-3</v>
      </c>
      <c r="BD32" s="184">
        <f>IFERROR(Inv_SY_B!BD32/Inv_SY_B!$CA32-1,"")</f>
        <v>1.7174847375075908E-2</v>
      </c>
      <c r="BE32" s="184">
        <f>IFERROR(Inv_SY_B!BE32/Inv_SY_B!$CA32-1,"")</f>
        <v>4.6789384208967277E-4</v>
      </c>
      <c r="BF32" s="184">
        <f>IFERROR(Inv_SY_B!BF32/Inv_SY_B!$CA32-1,"")</f>
        <v>-2.5010606712989381E-2</v>
      </c>
      <c r="BG32" s="184">
        <f>IFERROR(Inv_SY_B!BG32/Inv_SY_B!$CA32-1,"")</f>
        <v>2.3064027928104469E-2</v>
      </c>
      <c r="BH32" s="184">
        <f>IFERROR(Inv_SY_B!BH32/Inv_SY_B!$CA32-1,"")</f>
        <v>1.0533059956981505E-2</v>
      </c>
      <c r="BI32" s="184">
        <f>IFERROR(Inv_SY_B!BI32/Inv_SY_B!$CA32-1,"")</f>
        <v>2.1678125331794584E-2</v>
      </c>
      <c r="BJ32" s="184">
        <f>IFERROR(Inv_SY_B!BJ32/Inv_SY_B!$CA32-1,"")</f>
        <v>2.9379950895514373E-2</v>
      </c>
      <c r="BK32" s="184">
        <f>IFERROR(Inv_SY_B!BK32/Inv_SY_B!$CA32-1,"")</f>
        <v>3.2855674819638914E-2</v>
      </c>
      <c r="BL32" s="184">
        <f>IFERROR(Inv_SY_B!BL32/Inv_SY_B!$CA32-1,"")</f>
        <v>2.0591811895057432E-2</v>
      </c>
      <c r="BM32" s="184">
        <f>IFERROR(Inv_SY_B!BM32/Inv_SY_B!$CA32-1,"")</f>
        <v>1.5272871772916696E-2</v>
      </c>
      <c r="BN32" s="184">
        <f>IFERROR(Inv_SY_B!BN32/Inv_SY_B!$CA32-1,"")</f>
        <v>1.9266429436407329E-2</v>
      </c>
      <c r="BO32" s="184">
        <f>IFERROR(Inv_SY_B!BO32/Inv_SY_B!$CA32-1,"")</f>
        <v>3.0689616437473699E-3</v>
      </c>
      <c r="BP32" s="184">
        <f>IFERROR(Inv_SY_B!BP32/Inv_SY_B!$CA32-1,"")</f>
        <v>-5.9562003984663381E-3</v>
      </c>
      <c r="BQ32" s="184">
        <f>IFERROR(Inv_SY_B!BQ32/Inv_SY_B!$CA32-1,"")</f>
        <v>-3.6227446800792928E-2</v>
      </c>
      <c r="BR32" s="184">
        <f>IFERROR(Inv_SY_B!BR32/Inv_SY_B!$CA32-1,"")</f>
        <v>3.0031725008857313E-2</v>
      </c>
      <c r="BS32" s="184">
        <f>IFERROR(Inv_SY_B!BS32/Inv_SY_B!$CA32-1,"")</f>
        <v>-0.12616660417221992</v>
      </c>
      <c r="BT32" s="184">
        <f>IFERROR(Inv_SY_B!BT32/Inv_SY_B!$CA32-1,"")</f>
        <v>9.4999162677342763E-3</v>
      </c>
      <c r="BU32" s="184">
        <f>IFERROR(Inv_SY_B!BU32/Inv_SY_B!$CA32-1,"")</f>
        <v>-2.0249790613688923E-2</v>
      </c>
      <c r="BV32" s="184">
        <f>IFERROR(Inv_SY_B!BV32/Inv_SY_B!$CA32-1,"")</f>
        <v>-7.33552315278857E-2</v>
      </c>
      <c r="BW32" s="184">
        <f>IFERROR(Inv_SY_B!BW32/Inv_SY_B!$CA32-1,"")</f>
        <v>-1.8969447738709455E-2</v>
      </c>
      <c r="BX32" s="184">
        <f>IFERROR(Inv_SY_B!BX32/Inv_SY_B!$CA32-1,"")</f>
        <v>-4.4513396379614045E-3</v>
      </c>
    </row>
    <row r="33" spans="1:76">
      <c r="A33"/>
      <c r="B33" s="179">
        <f t="shared" si="1"/>
        <v>45857</v>
      </c>
      <c r="C33" s="184">
        <f>IFERROR(Inv_SY_B!C33/Inv_SY_B!$BY33-1,"")</f>
        <v>-1.141414351482406E-3</v>
      </c>
      <c r="D33" s="184">
        <f>IFERROR(Inv_SY_B!D33/Inv_SY_B!$BY33-1,"")</f>
        <v>-8.7338804257868219E-3</v>
      </c>
      <c r="E33" s="184">
        <f>IFERROR(Inv_SY_B!E33/Inv_SY_B!$BY33-1,"")</f>
        <v>1.2374533795989073E-4</v>
      </c>
      <c r="F33" s="184">
        <f>IFERROR(Inv_SY_B!F33/Inv_SY_B!$BY33-1,"")</f>
        <v>2.2956179672941612E-3</v>
      </c>
      <c r="G33" s="184">
        <f>IFERROR(Inv_SY_B!G33/Inv_SY_B!$BY33-1,"")</f>
        <v>3.3510508728706867E-4</v>
      </c>
      <c r="H33" s="184">
        <f>IFERROR(Inv_SY_B!H33/Inv_SY_B!$BY33-1,"")</f>
        <v>-8.1210811981425879E-3</v>
      </c>
      <c r="I33" s="184">
        <f>IFERROR(Inv_SY_B!I33/Inv_SY_B!$BY33-1,"")</f>
        <v>1.3390929697159493E-2</v>
      </c>
      <c r="J33" s="184">
        <f>IFERROR(Inv_SY_B!J33/Inv_SY_B!$BY33-1,"")</f>
        <v>-7.2768610563721525E-3</v>
      </c>
      <c r="K33" s="184">
        <f>IFERROR(Inv_SY_B!K33/Inv_SY_B!$BY33-1,"")</f>
        <v>-2.7243813720122745E-2</v>
      </c>
      <c r="L33" s="184">
        <f>IFERROR(Inv_SY_B!L33/Inv_SY_B!$BY33-1,"")</f>
        <v>1.4613208261055055E-2</v>
      </c>
      <c r="M33" s="184">
        <f>IFERROR(Inv_SY_B!M33/Inv_SY_B!$BY33-1,"")</f>
        <v>3.8799972978402097E-2</v>
      </c>
      <c r="N33" s="184">
        <f>IFERROR(Inv_SY_B!N33/Inv_SY_B!$BY33-1,"")</f>
        <v>-1.1211333633887932E-2</v>
      </c>
      <c r="O33" s="184">
        <f>IFERROR(Inv_SY_B!O33/Inv_SY_B!$BY33-1,"")</f>
        <v>2.1717783609728647E-2</v>
      </c>
      <c r="P33" s="184">
        <f>IFERROR(Inv_SY_B!P33/Inv_SY_B!$BY33-1,"")</f>
        <v>-1.6482233693783099E-2</v>
      </c>
      <c r="Q33" s="184">
        <f>IFERROR(Inv_SY_B!Q33/Inv_SY_B!$BY33-1,"")</f>
        <v>6.0012583380393281E-3</v>
      </c>
      <c r="R33" s="184">
        <f>IFERROR(Inv_SY_B!R33/Inv_SY_B!$BY33-1,"")</f>
        <v>9.8348546511493051E-3</v>
      </c>
      <c r="S33" s="184">
        <f>IFERROR(Inv_SY_B!S33/Inv_SY_B!$BY33-1,"")</f>
        <v>-8.6141258135883358E-3</v>
      </c>
      <c r="T33" s="184">
        <f>IFERROR(Inv_SY_B!T33/Inv_SY_B!$BY33-1,"")</f>
        <v>-2.0919061929304039E-2</v>
      </c>
      <c r="U33" s="184">
        <f>IFERROR(Inv_SY_B!U33/Inv_SY_B!$BY33-1,"")</f>
        <v>-6.4310772463194166E-4</v>
      </c>
      <c r="V33" s="184">
        <f>IFERROR(Inv_SY_B!V33/Inv_SY_B!$BY33-1,"")</f>
        <v>-3.2871814981947356E-3</v>
      </c>
      <c r="W33" s="184">
        <f>IFERROR(Inv_SY_B!W33/Inv_SY_B!$BY33-1,"")</f>
        <v>-1.6954892455816717E-2</v>
      </c>
      <c r="X33" s="184">
        <f>IFERROR(Inv_SY_B!X33/Inv_SY_B!$BY33-1,"")</f>
        <v>1.0352346159391956E-2</v>
      </c>
      <c r="Y33" s="184">
        <f>IFERROR(Inv_SY_B!Y33/Inv_SY_B!$BY33-1,"")</f>
        <v>7.6689001167975501E-3</v>
      </c>
      <c r="Z33" s="184">
        <f>IFERROR(Inv_SY_B!Z33/Inv_SY_B!$BY33-1,"")</f>
        <v>-5.5797007691575917E-3</v>
      </c>
      <c r="AA33" s="184">
        <f>IFERROR(Inv_SY_B!AA33/Inv_SY_B!$BY33-1,"")</f>
        <v>1.0045576940222123E-2</v>
      </c>
      <c r="AB33" s="184">
        <f>IFERROR(Inv_SY_B!AB33/Inv_SY_B!$BY33-1,"")</f>
        <v>3.5045457965829918E-3</v>
      </c>
      <c r="AC33" s="184">
        <f>IFERROR(Inv_SY_B!AC33/Inv_SY_B!$BY33-1,"")</f>
        <v>1.2447380422928589E-3</v>
      </c>
      <c r="AD33" s="184">
        <f>IFERROR(Inv_SY_B!AD33/Inv_SY_B!$BY33-1,"")</f>
        <v>-3.7198947130805404E-3</v>
      </c>
      <c r="AE33" s="184">
        <f>IFERROR(Inv_SY_B!AE33/Inv_SY_B!$BZ33-1,"")</f>
        <v>2.8907946015133135E-3</v>
      </c>
      <c r="AF33" s="184">
        <f>IFERROR(Inv_SY_B!AF33/Inv_SY_B!$BZ33-1,"")</f>
        <v>-8.4506874637979568E-3</v>
      </c>
      <c r="AG33" s="184">
        <f>IFERROR(Inv_SY_B!AG33/Inv_SY_B!$BZ33-1,"")</f>
        <v>8.0136616935686522E-3</v>
      </c>
      <c r="AH33" s="184">
        <f>IFERROR(Inv_SY_B!AH33/Inv_SY_B!$BZ33-1,"")</f>
        <v>5.5996279192014331E-3</v>
      </c>
      <c r="AI33" s="184">
        <f>IFERROR(Inv_SY_B!AI33/Inv_SY_B!$BZ33-1,"")</f>
        <v>-3.4952917175412601E-4</v>
      </c>
      <c r="AJ33" s="184">
        <f>IFERROR(Inv_SY_B!AJ33/Inv_SY_B!$BZ33-1,"")</f>
        <v>-1.7075182623489837E-2</v>
      </c>
      <c r="AK33" s="184">
        <f>IFERROR(Inv_SY_B!AK33/Inv_SY_B!$BZ33-1,"")</f>
        <v>-1.3095095947722957E-2</v>
      </c>
      <c r="AL33" s="184">
        <f>IFERROR(Inv_SY_B!AL33/Inv_SY_B!$BZ33-1,"")</f>
        <v>6.1265989700376444E-4</v>
      </c>
      <c r="AM33" s="184">
        <f>IFERROR(Inv_SY_B!AM33/Inv_SY_B!$BZ33-1,"")</f>
        <v>-1.6164366353069726E-3</v>
      </c>
      <c r="AN33" s="184">
        <f>IFERROR(Inv_SY_B!AN33/Inv_SY_B!$BZ33-1,"")</f>
        <v>1.0541356938340574E-2</v>
      </c>
      <c r="AO33" s="184">
        <f>IFERROR(Inv_SY_B!AO33/Inv_SY_B!$BZ33-1,"")</f>
        <v>1.5730822182097981E-2</v>
      </c>
      <c r="AP33" s="184">
        <f>IFERROR(Inv_SY_B!AP33/Inv_SY_B!$BZ33-1,"")</f>
        <v>9.7254874025951565E-3</v>
      </c>
      <c r="AQ33" s="184">
        <f>IFERROR(Inv_SY_B!AQ33/Inv_SY_B!$BZ33-1,"")</f>
        <v>1.0900447758534382E-2</v>
      </c>
      <c r="AR33" s="184">
        <f>IFERROR(Inv_SY_B!AR33/Inv_SY_B!$BZ33-1,"")</f>
        <v>7.6195725595102903E-3</v>
      </c>
      <c r="AS33" s="184">
        <f>IFERROR(Inv_SY_B!AS33/Inv_SY_B!$BZ33-1,"")</f>
        <v>-2.212681223082269E-2</v>
      </c>
      <c r="AT33" s="184">
        <f>IFERROR(Inv_SY_B!AT33/Inv_SY_B!$BZ33-1,"")</f>
        <v>-2.2829831742795625E-2</v>
      </c>
      <c r="AU33" s="184">
        <f>IFERROR(Inv_SY_B!AU33/Inv_SY_B!$BZ33-1,"")</f>
        <v>1.7639016970844468E-2</v>
      </c>
      <c r="AV33" s="184">
        <f>IFERROR(Inv_SY_B!AV33/Inv_SY_B!$BZ33-1,"")</f>
        <v>-3.7298721075206265E-3</v>
      </c>
      <c r="AW33" s="184">
        <f>IFERROR(Inv_SY_B!AW33/Inv_SY_B!$CA33-1,"")</f>
        <v>-0.16036134198939711</v>
      </c>
      <c r="AX33" s="184">
        <f>IFERROR(Inv_SY_B!AX33/Inv_SY_B!$CA33-1,"")</f>
        <v>-0.14138839725689345</v>
      </c>
      <c r="AY33" s="184">
        <f>IFERROR(Inv_SY_B!AY33/Inv_SY_B!$CA33-1,"")</f>
        <v>-6.2408331559259067E-2</v>
      </c>
      <c r="AZ33" s="184">
        <f>IFERROR(Inv_SY_B!AZ33/Inv_SY_B!$CA33-1,"")</f>
        <v>-6.3668337510340844E-3</v>
      </c>
      <c r="BA33" s="184">
        <f>IFERROR(Inv_SY_B!BA33/Inv_SY_B!$CA33-1,"")</f>
        <v>-4.3247790726054558E-2</v>
      </c>
      <c r="BB33" s="184">
        <f>IFERROR(Inv_SY_B!BB33/Inv_SY_B!$CA33-1,"")</f>
        <v>-2.2392806284949995E-2</v>
      </c>
      <c r="BC33" s="184">
        <f>IFERROR(Inv_SY_B!BC33/Inv_SY_B!$CA33-1,"")</f>
        <v>-2.9176309004436018E-2</v>
      </c>
      <c r="BD33" s="184">
        <f>IFERROR(Inv_SY_B!BD33/Inv_SY_B!$CA33-1,"")</f>
        <v>-1.6111379089338018E-2</v>
      </c>
      <c r="BE33" s="184">
        <f>IFERROR(Inv_SY_B!BE33/Inv_SY_B!$CA33-1,"")</f>
        <v>1.1981670815801593E-3</v>
      </c>
      <c r="BF33" s="184">
        <f>IFERROR(Inv_SY_B!BF33/Inv_SY_B!$CA33-1,"")</f>
        <v>-6.2729010041718825E-3</v>
      </c>
      <c r="BG33" s="184">
        <f>IFERROR(Inv_SY_B!BG33/Inv_SY_B!$CA33-1,"")</f>
        <v>2.9191600300155995E-2</v>
      </c>
      <c r="BH33" s="184">
        <f>IFERROR(Inv_SY_B!BH33/Inv_SY_B!$CA33-1,"")</f>
        <v>2.3599687231423694E-2</v>
      </c>
      <c r="BI33" s="184">
        <f>IFERROR(Inv_SY_B!BI33/Inv_SY_B!$CA33-1,"")</f>
        <v>8.8349339508690949E-3</v>
      </c>
      <c r="BJ33" s="184">
        <f>IFERROR(Inv_SY_B!BJ33/Inv_SY_B!$CA33-1,"")</f>
        <v>2.4022677262596437E-2</v>
      </c>
      <c r="BK33" s="184">
        <f>IFERROR(Inv_SY_B!BK33/Inv_SY_B!$CA33-1,"")</f>
        <v>8.736558945582118E-3</v>
      </c>
      <c r="BL33" s="184">
        <f>IFERROR(Inv_SY_B!BL33/Inv_SY_B!$CA33-1,"")</f>
        <v>5.7754245990149222E-3</v>
      </c>
      <c r="BM33" s="184">
        <f>IFERROR(Inv_SY_B!BM33/Inv_SY_B!$CA33-1,"")</f>
        <v>2.8027505161531296E-2</v>
      </c>
      <c r="BN33" s="184">
        <f>IFERROR(Inv_SY_B!BN33/Inv_SY_B!$CA33-1,"")</f>
        <v>1.4848641321638434E-2</v>
      </c>
      <c r="BO33" s="184">
        <f>IFERROR(Inv_SY_B!BO33/Inv_SY_B!$CA33-1,"")</f>
        <v>-2.4702285349664121E-2</v>
      </c>
      <c r="BP33" s="184">
        <f>IFERROR(Inv_SY_B!BP33/Inv_SY_B!$CA33-1,"")</f>
        <v>1.2632866377511487E-2</v>
      </c>
      <c r="BQ33" s="184">
        <f>IFERROR(Inv_SY_B!BQ33/Inv_SY_B!$CA33-1,"")</f>
        <v>1.5431924844860667E-2</v>
      </c>
      <c r="BR33" s="184">
        <f>IFERROR(Inv_SY_B!BR33/Inv_SY_B!$CA33-1,"")</f>
        <v>9.1502163102893608E-2</v>
      </c>
      <c r="BS33" s="184">
        <f>IFERROR(Inv_SY_B!BS33/Inv_SY_B!$CA33-1,"")</f>
        <v>-7.32996237421768E-3</v>
      </c>
      <c r="BT33" s="184">
        <f>IFERROR(Inv_SY_B!BT33/Inv_SY_B!$CA33-1,"")</f>
        <v>6.2136935262537385E-2</v>
      </c>
      <c r="BU33" s="184">
        <f>IFERROR(Inv_SY_B!BU33/Inv_SY_B!$CA33-1,"")</f>
        <v>5.2677544484645233E-2</v>
      </c>
      <c r="BV33" s="184">
        <f>IFERROR(Inv_SY_B!BV33/Inv_SY_B!$CA33-1,"")</f>
        <v>9.1662403127497072E-2</v>
      </c>
      <c r="BW33" s="184">
        <f>IFERROR(Inv_SY_B!BW33/Inv_SY_B!$CA33-1,"")</f>
        <v>4.0244948466016561E-2</v>
      </c>
      <c r="BX33" s="184">
        <f>IFERROR(Inv_SY_B!BX33/Inv_SY_B!$CA33-1,"")</f>
        <v>9.2343568690649303E-3</v>
      </c>
    </row>
    <row r="34" spans="1:76">
      <c r="A34"/>
      <c r="B34" s="179">
        <f t="shared" si="1"/>
        <v>45858</v>
      </c>
      <c r="C34" s="184">
        <f>IFERROR(Inv_SY_B!C34/Inv_SY_B!$BY34-1,"")</f>
        <v>5.3985381151613332E-3</v>
      </c>
      <c r="D34" s="184">
        <f>IFERROR(Inv_SY_B!D34/Inv_SY_B!$BY34-1,"")</f>
        <v>9.080304182200738E-4</v>
      </c>
      <c r="E34" s="184">
        <f>IFERROR(Inv_SY_B!E34/Inv_SY_B!$BY34-1,"")</f>
        <v>-1.8681812604152137E-3</v>
      </c>
      <c r="F34" s="184">
        <f>IFERROR(Inv_SY_B!F34/Inv_SY_B!$BY34-1,"")</f>
        <v>-1.3532737968527275E-2</v>
      </c>
      <c r="G34" s="184">
        <f>IFERROR(Inv_SY_B!G34/Inv_SY_B!$BY34-1,"")</f>
        <v>-2.2055703910246804E-2</v>
      </c>
      <c r="H34" s="184">
        <f>IFERROR(Inv_SY_B!H34/Inv_SY_B!$BY34-1,"")</f>
        <v>-2.2933477341150921E-2</v>
      </c>
      <c r="I34" s="184">
        <f>IFERROR(Inv_SY_B!I34/Inv_SY_B!$BY34-1,"")</f>
        <v>6.4711977906208862E-3</v>
      </c>
      <c r="J34" s="184">
        <f>IFERROR(Inv_SY_B!J34/Inv_SY_B!$BY34-1,"")</f>
        <v>-9.7171065351905339E-3</v>
      </c>
      <c r="K34" s="184">
        <f>IFERROR(Inv_SY_B!K34/Inv_SY_B!$BY34-1,"")</f>
        <v>-2.2966108468534641E-2</v>
      </c>
      <c r="L34" s="184">
        <f>IFERROR(Inv_SY_B!L34/Inv_SY_B!$BY34-1,"")</f>
        <v>1.2485352292737062E-2</v>
      </c>
      <c r="M34" s="184">
        <f>IFERROR(Inv_SY_B!M34/Inv_SY_B!$BY34-1,"")</f>
        <v>4.0920839183213431E-2</v>
      </c>
      <c r="N34" s="184">
        <f>IFERROR(Inv_SY_B!N34/Inv_SY_B!$BY34-1,"")</f>
        <v>-3.9715217354080457E-3</v>
      </c>
      <c r="O34" s="184">
        <f>IFERROR(Inv_SY_B!O34/Inv_SY_B!$BY34-1,"")</f>
        <v>2.6806982433703608E-2</v>
      </c>
      <c r="P34" s="184">
        <f>IFERROR(Inv_SY_B!P34/Inv_SY_B!$BY34-1,"")</f>
        <v>-6.5584686066008091E-3</v>
      </c>
      <c r="Q34" s="184">
        <f>IFERROR(Inv_SY_B!Q34/Inv_SY_B!$BY34-1,"")</f>
        <v>5.732972194975039E-3</v>
      </c>
      <c r="R34" s="184">
        <f>IFERROR(Inv_SY_B!R34/Inv_SY_B!$BY34-1,"")</f>
        <v>1.6699797509488468E-2</v>
      </c>
      <c r="S34" s="184">
        <f>IFERROR(Inv_SY_B!S34/Inv_SY_B!$BY34-1,"")</f>
        <v>-9.0981791898737674E-3</v>
      </c>
      <c r="T34" s="184">
        <f>IFERROR(Inv_SY_B!T34/Inv_SY_B!$BY34-1,"")</f>
        <v>-3.4229165097918623E-2</v>
      </c>
      <c r="U34" s="184">
        <f>IFERROR(Inv_SY_B!U34/Inv_SY_B!$BY34-1,"")</f>
        <v>2.9228046405829211E-3</v>
      </c>
      <c r="V34" s="184">
        <f>IFERROR(Inv_SY_B!V34/Inv_SY_B!$BY34-1,"")</f>
        <v>6.6761092922007492E-4</v>
      </c>
      <c r="W34" s="184">
        <f>IFERROR(Inv_SY_B!W34/Inv_SY_B!$BY34-1,"")</f>
        <v>-1.4684129561063575E-2</v>
      </c>
      <c r="X34" s="184">
        <f>IFERROR(Inv_SY_B!X34/Inv_SY_B!$BY34-1,"")</f>
        <v>3.4504098620238288E-3</v>
      </c>
      <c r="Y34" s="184">
        <f>IFERROR(Inv_SY_B!Y34/Inv_SY_B!$BY34-1,"")</f>
        <v>1.2329797378918261E-2</v>
      </c>
      <c r="Z34" s="184">
        <f>IFERROR(Inv_SY_B!Z34/Inv_SY_B!$BY34-1,"")</f>
        <v>-8.7221998771014331E-4</v>
      </c>
      <c r="AA34" s="184">
        <f>IFERROR(Inv_SY_B!AA34/Inv_SY_B!$BY34-1,"")</f>
        <v>1.4945872819642547E-2</v>
      </c>
      <c r="AB34" s="184">
        <f>IFERROR(Inv_SY_B!AB34/Inv_SY_B!$BY34-1,"")</f>
        <v>6.0302177649613764E-3</v>
      </c>
      <c r="AC34" s="184">
        <f>IFERROR(Inv_SY_B!AC34/Inv_SY_B!$BY34-1,"")</f>
        <v>6.8174676138323953E-3</v>
      </c>
      <c r="AD34" s="184">
        <f>IFERROR(Inv_SY_B!AD34/Inv_SY_B!$BY34-1,"")</f>
        <v>-1.0089128466428399E-4</v>
      </c>
      <c r="AE34" s="184">
        <f>IFERROR(Inv_SY_B!AE34/Inv_SY_B!$BZ34-1,"")</f>
        <v>-7.2818602224784534E-3</v>
      </c>
      <c r="AF34" s="184">
        <f>IFERROR(Inv_SY_B!AF34/Inv_SY_B!$BZ34-1,"")</f>
        <v>-2.6772646030260749E-2</v>
      </c>
      <c r="AG34" s="184">
        <f>IFERROR(Inv_SY_B!AG34/Inv_SY_B!$BZ34-1,"")</f>
        <v>-9.2159857109321841E-3</v>
      </c>
      <c r="AH34" s="184">
        <f>IFERROR(Inv_SY_B!AH34/Inv_SY_B!$BZ34-1,"")</f>
        <v>-2.1266458800638044E-2</v>
      </c>
      <c r="AI34" s="184">
        <f>IFERROR(Inv_SY_B!AI34/Inv_SY_B!$BZ34-1,"")</f>
        <v>-1.6340355044939248E-3</v>
      </c>
      <c r="AJ34" s="184">
        <f>IFERROR(Inv_SY_B!AJ34/Inv_SY_B!$BZ34-1,"")</f>
        <v>-1.9338841467653967E-2</v>
      </c>
      <c r="AK34" s="184">
        <f>IFERROR(Inv_SY_B!AK34/Inv_SY_B!$BZ34-1,"")</f>
        <v>-7.4595686613516676E-3</v>
      </c>
      <c r="AL34" s="184">
        <f>IFERROR(Inv_SY_B!AL34/Inv_SY_B!$BZ34-1,"")</f>
        <v>-2.6317590880173825E-3</v>
      </c>
      <c r="AM34" s="184">
        <f>IFERROR(Inv_SY_B!AM34/Inv_SY_B!$BZ34-1,"")</f>
        <v>6.7489405768672572E-3</v>
      </c>
      <c r="AN34" s="184">
        <f>IFERROR(Inv_SY_B!AN34/Inv_SY_B!$BZ34-1,"")</f>
        <v>1.6505719978903377E-2</v>
      </c>
      <c r="AO34" s="184">
        <f>IFERROR(Inv_SY_B!AO34/Inv_SY_B!$BZ34-1,"")</f>
        <v>1.5522379646499385E-2</v>
      </c>
      <c r="AP34" s="184">
        <f>IFERROR(Inv_SY_B!AP34/Inv_SY_B!$BZ34-1,"")</f>
        <v>1.2447888461373235E-3</v>
      </c>
      <c r="AQ34" s="184">
        <f>IFERROR(Inv_SY_B!AQ34/Inv_SY_B!$BZ34-1,"")</f>
        <v>6.5066929751016467E-3</v>
      </c>
      <c r="AR34" s="184">
        <f>IFERROR(Inv_SY_B!AR34/Inv_SY_B!$BZ34-1,"")</f>
        <v>6.007839380347324E-3</v>
      </c>
      <c r="AS34" s="184">
        <f>IFERROR(Inv_SY_B!AS34/Inv_SY_B!$BZ34-1,"")</f>
        <v>-5.5276306899358918E-3</v>
      </c>
      <c r="AT34" s="184">
        <f>IFERROR(Inv_SY_B!AT34/Inv_SY_B!$BZ34-1,"")</f>
        <v>1.7585594858902098E-3</v>
      </c>
      <c r="AU34" s="184">
        <f>IFERROR(Inv_SY_B!AU34/Inv_SY_B!$BZ34-1,"")</f>
        <v>3.0077878616581621E-2</v>
      </c>
      <c r="AV34" s="184">
        <f>IFERROR(Inv_SY_B!AV34/Inv_SY_B!$BZ34-1,"")</f>
        <v>1.6755986669434009E-2</v>
      </c>
      <c r="AW34" s="184">
        <f>IFERROR(Inv_SY_B!AW34/Inv_SY_B!$CA34-1,"")</f>
        <v>-0.15829239737166456</v>
      </c>
      <c r="AX34" s="184">
        <f>IFERROR(Inv_SY_B!AX34/Inv_SY_B!$CA34-1,"")</f>
        <v>-0.12972785438151768</v>
      </c>
      <c r="AY34" s="184">
        <f>IFERROR(Inv_SY_B!AY34/Inv_SY_B!$CA34-1,"")</f>
        <v>-4.9842907496233324E-2</v>
      </c>
      <c r="AZ34" s="184">
        <f>IFERROR(Inv_SY_B!AZ34/Inv_SY_B!$CA34-1,"")</f>
        <v>-7.4415249147796736E-3</v>
      </c>
      <c r="BA34" s="184">
        <f>IFERROR(Inv_SY_B!BA34/Inv_SY_B!$CA34-1,"")</f>
        <v>-3.9193245684994604E-2</v>
      </c>
      <c r="BB34" s="184">
        <f>IFERROR(Inv_SY_B!BB34/Inv_SY_B!$CA34-1,"")</f>
        <v>-1.1295324593971312E-2</v>
      </c>
      <c r="BC34" s="184">
        <f>IFERROR(Inv_SY_B!BC34/Inv_SY_B!$CA34-1,"")</f>
        <v>-2.7133947178954787E-2</v>
      </c>
      <c r="BD34" s="184">
        <f>IFERROR(Inv_SY_B!BD34/Inv_SY_B!$CA34-1,"")</f>
        <v>-1.105968662289325E-2</v>
      </c>
      <c r="BE34" s="184">
        <f>IFERROR(Inv_SY_B!BE34/Inv_SY_B!$CA34-1,"")</f>
        <v>1.3512598609772164E-2</v>
      </c>
      <c r="BF34" s="184">
        <f>IFERROR(Inv_SY_B!BF34/Inv_SY_B!$CA34-1,"")</f>
        <v>0.15163832803648769</v>
      </c>
      <c r="BG34" s="184">
        <f>IFERROR(Inv_SY_B!BG34/Inv_SY_B!$CA34-1,"")</f>
        <v>4.2904188689668388E-2</v>
      </c>
      <c r="BH34" s="184">
        <f>IFERROR(Inv_SY_B!BH34/Inv_SY_B!$CA34-1,"")</f>
        <v>3.2840136431340428E-2</v>
      </c>
      <c r="BI34" s="184">
        <f>IFERROR(Inv_SY_B!BI34/Inv_SY_B!$CA34-1,"")</f>
        <v>3.0405492839413739E-2</v>
      </c>
      <c r="BJ34" s="184">
        <f>IFERROR(Inv_SY_B!BJ34/Inv_SY_B!$CA34-1,"")</f>
        <v>4.6205700164615893E-2</v>
      </c>
      <c r="BK34" s="184">
        <f>IFERROR(Inv_SY_B!BK34/Inv_SY_B!$CA34-1,"")</f>
        <v>3.3228763305280795E-2</v>
      </c>
      <c r="BL34" s="184">
        <f>IFERROR(Inv_SY_B!BL34/Inv_SY_B!$CA34-1,"")</f>
        <v>2.5576032590713504E-2</v>
      </c>
      <c r="BM34" s="184">
        <f>IFERROR(Inv_SY_B!BM34/Inv_SY_B!$CA34-1,"")</f>
        <v>2.028845375533983E-2</v>
      </c>
      <c r="BN34" s="184">
        <f>IFERROR(Inv_SY_B!BN34/Inv_SY_B!$CA34-1,"")</f>
        <v>9.7651166643473175E-3</v>
      </c>
      <c r="BO34" s="184">
        <f>IFERROR(Inv_SY_B!BO34/Inv_SY_B!$CA34-1,"")</f>
        <v>-5.2959263754991937E-2</v>
      </c>
      <c r="BP34" s="184">
        <f>IFERROR(Inv_SY_B!BP34/Inv_SY_B!$CA34-1,"")</f>
        <v>-2.8524716839442354E-2</v>
      </c>
      <c r="BQ34" s="184">
        <f>IFERROR(Inv_SY_B!BQ34/Inv_SY_B!$CA34-1,"")</f>
        <v>-0.12104536095660967</v>
      </c>
      <c r="BR34" s="184">
        <f>IFERROR(Inv_SY_B!BR34/Inv_SY_B!$CA34-1,"")</f>
        <v>3.4166096598032158E-2</v>
      </c>
      <c r="BS34" s="184">
        <f>IFERROR(Inv_SY_B!BS34/Inv_SY_B!$CA34-1,"")</f>
        <v>-1.5793729587846861E-2</v>
      </c>
      <c r="BT34" s="184">
        <f>IFERROR(Inv_SY_B!BT34/Inv_SY_B!$CA34-1,"")</f>
        <v>6.1202882113308377E-2</v>
      </c>
      <c r="BU34" s="184">
        <f>IFERROR(Inv_SY_B!BU34/Inv_SY_B!$CA34-1,"")</f>
        <v>3.2172290385506841E-2</v>
      </c>
      <c r="BV34" s="184">
        <f>IFERROR(Inv_SY_B!BV34/Inv_SY_B!$CA34-1,"")</f>
        <v>8.1178399621786079E-2</v>
      </c>
      <c r="BW34" s="184">
        <f>IFERROR(Inv_SY_B!BW34/Inv_SY_B!$CA34-1,"")</f>
        <v>2.5261789402057699E-2</v>
      </c>
      <c r="BX34" s="184">
        <f>IFERROR(Inv_SY_B!BX34/Inv_SY_B!$CA34-1,"")</f>
        <v>1.1963690176233444E-2</v>
      </c>
    </row>
    <row r="35" spans="1:76" ht="14.25" customHeight="1">
      <c r="A35"/>
      <c r="B35" s="181">
        <f>B34+1</f>
        <v>45859</v>
      </c>
      <c r="C35" s="184">
        <f>IFERROR(Inv_SY_B!C35/Inv_SY_B!$BY35-1,"")</f>
        <v>2.5572246817195499E-2</v>
      </c>
      <c r="D35" s="184">
        <f>IFERROR(Inv_SY_B!D35/Inv_SY_B!$BY35-1,"")</f>
        <v>1.7894832411862627E-2</v>
      </c>
      <c r="E35" s="184">
        <f>IFERROR(Inv_SY_B!E35/Inv_SY_B!$BY35-1,"")</f>
        <v>2.9429144825017683E-2</v>
      </c>
      <c r="F35" s="184">
        <f>IFERROR(Inv_SY_B!F35/Inv_SY_B!$BY35-1,"")</f>
        <v>3.1053801960835292E-2</v>
      </c>
      <c r="G35" s="184">
        <f>IFERROR(Inv_SY_B!G35/Inv_SY_B!$BY35-1,"")</f>
        <v>2.397000588245346E-2</v>
      </c>
      <c r="H35" s="184">
        <f>IFERROR(Inv_SY_B!H35/Inv_SY_B!$BY35-1,"")</f>
        <v>1.8358952809403473E-2</v>
      </c>
      <c r="I35" s="184">
        <f>IFERROR(Inv_SY_B!I35/Inv_SY_B!$BY35-1,"")</f>
        <v>4.4485499450294785E-2</v>
      </c>
      <c r="J35" s="184">
        <f>IFERROR(Inv_SY_B!J35/Inv_SY_B!$BY35-1,"")</f>
        <v>3.4504964739898725E-3</v>
      </c>
      <c r="K35" s="184">
        <f>IFERROR(Inv_SY_B!K35/Inv_SY_B!$BY35-1,"")</f>
        <v>2.2163790800260319E-3</v>
      </c>
      <c r="L35" s="184">
        <f>IFERROR(Inv_SY_B!L35/Inv_SY_B!$BY35-1,"")</f>
        <v>3.8036798022817342E-2</v>
      </c>
      <c r="M35" s="184">
        <f>IFERROR(Inv_SY_B!M35/Inv_SY_B!$BY35-1,"")</f>
        <v>5.0594157647257498E-2</v>
      </c>
      <c r="N35" s="184">
        <f>IFERROR(Inv_SY_B!N35/Inv_SY_B!$BY35-1,"")</f>
        <v>-8.7549156050964472E-3</v>
      </c>
      <c r="O35" s="184">
        <f>IFERROR(Inv_SY_B!O35/Inv_SY_B!$BY35-1,"")</f>
        <v>4.4873658195689892E-2</v>
      </c>
      <c r="P35" s="184">
        <f>IFERROR(Inv_SY_B!P35/Inv_SY_B!$BY35-1,"")</f>
        <v>-2.2093382480237178E-3</v>
      </c>
      <c r="Q35" s="184">
        <f>IFERROR(Inv_SY_B!Q35/Inv_SY_B!$BY35-1,"")</f>
        <v>3.006046318943989E-2</v>
      </c>
      <c r="R35" s="184">
        <f>IFERROR(Inv_SY_B!R35/Inv_SY_B!$BY35-1,"")</f>
        <v>3.3506210613212906E-2</v>
      </c>
      <c r="S35" s="184">
        <f>IFERROR(Inv_SY_B!S35/Inv_SY_B!$BY35-1,"")</f>
        <v>-1.7707241743081026E-2</v>
      </c>
      <c r="T35" s="184">
        <f>IFERROR(Inv_SY_B!T35/Inv_SY_B!$BY35-1,"")</f>
        <v>-4.477411536177156E-2</v>
      </c>
      <c r="U35" s="184">
        <f>IFERROR(Inv_SY_B!U35/Inv_SY_B!$BY35-1,"")</f>
        <v>1.7802255034801817E-2</v>
      </c>
      <c r="V35" s="184">
        <f>IFERROR(Inv_SY_B!V35/Inv_SY_B!$BY35-1,"")</f>
        <v>1.2083243736941807E-2</v>
      </c>
      <c r="W35" s="184">
        <f>IFERROR(Inv_SY_B!W35/Inv_SY_B!$BY35-1,"")</f>
        <v>-7.8448937807138686E-2</v>
      </c>
      <c r="X35" s="184">
        <f>IFERROR(Inv_SY_B!X35/Inv_SY_B!$BY35-1,"")</f>
        <v>-3.8798789896626218E-2</v>
      </c>
      <c r="Y35" s="184">
        <f>IFERROR(Inv_SY_B!Y35/Inv_SY_B!$BY35-1,"")</f>
        <v>-3.4717771226587812E-2</v>
      </c>
      <c r="Z35" s="184">
        <f>IFERROR(Inv_SY_B!Z35/Inv_SY_B!$BY35-1,"")</f>
        <v>-2.7855658049570353E-2</v>
      </c>
      <c r="AA35" s="184">
        <f>IFERROR(Inv_SY_B!AA35/Inv_SY_B!$BY35-1,"")</f>
        <v>-4.744015566165849E-2</v>
      </c>
      <c r="AB35" s="184">
        <f>IFERROR(Inv_SY_B!AB35/Inv_SY_B!$BY35-1,"")</f>
        <v>-5.314956211724664E-2</v>
      </c>
      <c r="AC35" s="184">
        <f>IFERROR(Inv_SY_B!AC35/Inv_SY_B!$BY35-1,"")</f>
        <v>-3.8999390391912692E-2</v>
      </c>
      <c r="AD35" s="184">
        <f>IFERROR(Inv_SY_B!AD35/Inv_SY_B!$BY35-1,"")</f>
        <v>-3.0532270042525123E-2</v>
      </c>
      <c r="AE35" s="184">
        <f>IFERROR(Inv_SY_B!AE35/Inv_SY_B!$BZ35-1,"")</f>
        <v>-8.8979314079895566E-3</v>
      </c>
      <c r="AF35" s="184">
        <f>IFERROR(Inv_SY_B!AF35/Inv_SY_B!$BZ35-1,"")</f>
        <v>-1.95569902074757E-2</v>
      </c>
      <c r="AG35" s="184">
        <f>IFERROR(Inv_SY_B!AG35/Inv_SY_B!$BZ35-1,"")</f>
        <v>-1.8660331699034138E-3</v>
      </c>
      <c r="AH35" s="184">
        <f>IFERROR(Inv_SY_B!AH35/Inv_SY_B!$BZ35-1,"")</f>
        <v>-1.0037431627393789E-2</v>
      </c>
      <c r="AI35" s="184">
        <f>IFERROR(Inv_SY_B!AI35/Inv_SY_B!$BZ35-1,"")</f>
        <v>7.9397376778240769E-3</v>
      </c>
      <c r="AJ35" s="184">
        <f>IFERROR(Inv_SY_B!AJ35/Inv_SY_B!$BZ35-1,"")</f>
        <v>-5.1810108771741525E-3</v>
      </c>
      <c r="AK35" s="184">
        <f>IFERROR(Inv_SY_B!AK35/Inv_SY_B!$BZ35-1,"")</f>
        <v>4.5206572529397082E-3</v>
      </c>
      <c r="AL35" s="184">
        <f>IFERROR(Inv_SY_B!AL35/Inv_SY_B!$BZ35-1,"")</f>
        <v>9.8012559159201817E-3</v>
      </c>
      <c r="AM35" s="184">
        <f>IFERROR(Inv_SY_B!AM35/Inv_SY_B!$BZ35-1,"")</f>
        <v>3.0606604271774529E-3</v>
      </c>
      <c r="AN35" s="184">
        <f>IFERROR(Inv_SY_B!AN35/Inv_SY_B!$BZ35-1,"")</f>
        <v>8.8025044717827683E-3</v>
      </c>
      <c r="AO35" s="184">
        <f>IFERROR(Inv_SY_B!AO35/Inv_SY_B!$BZ35-1,"")</f>
        <v>1.013923006946893E-2</v>
      </c>
      <c r="AP35" s="184">
        <f>IFERROR(Inv_SY_B!AP35/Inv_SY_B!$BZ35-1,"")</f>
        <v>-6.6457902196553897E-3</v>
      </c>
      <c r="AQ35" s="184">
        <f>IFERROR(Inv_SY_B!AQ35/Inv_SY_B!$BZ35-1,"")</f>
        <v>-7.27750133774685E-4</v>
      </c>
      <c r="AR35" s="184">
        <f>IFERROR(Inv_SY_B!AR35/Inv_SY_B!$BZ35-1,"")</f>
        <v>-2.8234905291432133E-3</v>
      </c>
      <c r="AS35" s="184">
        <f>IFERROR(Inv_SY_B!AS35/Inv_SY_B!$BZ35-1,"")</f>
        <v>-5.6552855532893131E-3</v>
      </c>
      <c r="AT35" s="184">
        <f>IFERROR(Inv_SY_B!AT35/Inv_SY_B!$BZ35-1,"")</f>
        <v>-1.3068314664076541E-2</v>
      </c>
      <c r="AU35" s="184">
        <f>IFERROR(Inv_SY_B!AU35/Inv_SY_B!$BZ35-1,"")</f>
        <v>2.3007025606158304E-2</v>
      </c>
      <c r="AV35" s="184">
        <f>IFERROR(Inv_SY_B!AV35/Inv_SY_B!$BZ35-1,"")</f>
        <v>7.1889569686058863E-3</v>
      </c>
      <c r="AW35" s="184">
        <f>IFERROR(Inv_SY_B!AW35/Inv_SY_B!$CA35-1,"")</f>
        <v>-0.12903401429905692</v>
      </c>
      <c r="AX35" s="184">
        <f>IFERROR(Inv_SY_B!AX35/Inv_SY_B!$CA35-1,"")</f>
        <v>-0.10370766514542218</v>
      </c>
      <c r="AY35" s="184">
        <f>IFERROR(Inv_SY_B!AY35/Inv_SY_B!$CA35-1,"")</f>
        <v>-1.7338036431208126E-3</v>
      </c>
      <c r="AZ35" s="184">
        <f>IFERROR(Inv_SY_B!AZ35/Inv_SY_B!$CA35-1,"")</f>
        <v>6.2534751124221799E-2</v>
      </c>
      <c r="BA35" s="184">
        <f>IFERROR(Inv_SY_B!BA35/Inv_SY_B!$CA35-1,"")</f>
        <v>-1.3111414893409501E-2</v>
      </c>
      <c r="BB35" s="184">
        <f>IFERROR(Inv_SY_B!BB35/Inv_SY_B!$CA35-1,"")</f>
        <v>8.2575622299139173E-3</v>
      </c>
      <c r="BC35" s="184">
        <f>IFERROR(Inv_SY_B!BC35/Inv_SY_B!$CA35-1,"")</f>
        <v>1.2555140307054735E-2</v>
      </c>
      <c r="BD35" s="184">
        <f>IFERROR(Inv_SY_B!BD35/Inv_SY_B!$CA35-1,"")</f>
        <v>2.8093185785495356E-2</v>
      </c>
      <c r="BE35" s="184">
        <f>IFERROR(Inv_SY_B!BE35/Inv_SY_B!$CA35-1,"")</f>
        <v>1.5891612116742504E-2</v>
      </c>
      <c r="BF35" s="184">
        <f>IFERROR(Inv_SY_B!BF35/Inv_SY_B!$CA35-1,"")</f>
        <v>-2.7582060030463262E-3</v>
      </c>
      <c r="BG35" s="184">
        <f>IFERROR(Inv_SY_B!BG35/Inv_SY_B!$CA35-1,"")</f>
        <v>4.2015157994712782E-2</v>
      </c>
      <c r="BH35" s="184">
        <f>IFERROR(Inv_SY_B!BH35/Inv_SY_B!$CA35-1,"")</f>
        <v>3.1958445289118176E-2</v>
      </c>
      <c r="BI35" s="184">
        <f>IFERROR(Inv_SY_B!BI35/Inv_SY_B!$CA35-1,"")</f>
        <v>2.6216087226195173E-2</v>
      </c>
      <c r="BJ35" s="184">
        <f>IFERROR(Inv_SY_B!BJ35/Inv_SY_B!$CA35-1,"")</f>
        <v>4.4213678666565226E-2</v>
      </c>
      <c r="BK35" s="184">
        <f>IFERROR(Inv_SY_B!BK35/Inv_SY_B!$CA35-1,"")</f>
        <v>2.3786055830863351E-2</v>
      </c>
      <c r="BL35" s="184">
        <f>IFERROR(Inv_SY_B!BL35/Inv_SY_B!$CA35-1,"")</f>
        <v>1.5988172112969101E-2</v>
      </c>
      <c r="BM35" s="184">
        <f>IFERROR(Inv_SY_B!BM35/Inv_SY_B!$CA35-1,"")</f>
        <v>1.4832637734721654E-2</v>
      </c>
      <c r="BN35" s="184">
        <f>IFERROR(Inv_SY_B!BN35/Inv_SY_B!$CA35-1,"")</f>
        <v>9.7748629445888469E-3</v>
      </c>
      <c r="BO35" s="184">
        <f>IFERROR(Inv_SY_B!BO35/Inv_SY_B!$CA35-1,"")</f>
        <v>-1.1013392930461219E-2</v>
      </c>
      <c r="BP35" s="184">
        <f>IFERROR(Inv_SY_B!BP35/Inv_SY_B!$CA35-1,"")</f>
        <v>9.1668959309751941E-3</v>
      </c>
      <c r="BQ35" s="184">
        <f>IFERROR(Inv_SY_B!BQ35/Inv_SY_B!$CA35-1,"")</f>
        <v>-3.8187514716390702E-2</v>
      </c>
      <c r="BR35" s="184">
        <f>IFERROR(Inv_SY_B!BR35/Inv_SY_B!$CA35-1,"")</f>
        <v>3.6680655931926154E-2</v>
      </c>
      <c r="BS35" s="184">
        <f>IFERROR(Inv_SY_B!BS35/Inv_SY_B!$CA35-1,"")</f>
        <v>-4.7897135305955851E-2</v>
      </c>
      <c r="BT35" s="184">
        <f>IFERROR(Inv_SY_B!BT35/Inv_SY_B!$CA35-1,"")</f>
        <v>8.8621531019543731E-3</v>
      </c>
      <c r="BU35" s="184">
        <f>IFERROR(Inv_SY_B!BU35/Inv_SY_B!$CA35-1,"")</f>
        <v>-2.1048443472324374E-2</v>
      </c>
      <c r="BV35" s="184">
        <f>IFERROR(Inv_SY_B!BV35/Inv_SY_B!$CA35-1,"")</f>
        <v>-5.3473053270656212E-3</v>
      </c>
      <c r="BW35" s="184">
        <f>IFERROR(Inv_SY_B!BW35/Inv_SY_B!$CA35-1,"")</f>
        <v>-6.8679018917390255E-3</v>
      </c>
      <c r="BX35" s="184">
        <f>IFERROR(Inv_SY_B!BX35/Inv_SY_B!$CA35-1,"")</f>
        <v>-1.0120256700019814E-2</v>
      </c>
    </row>
    <row r="36" spans="1:76">
      <c r="B36" s="179">
        <f t="shared" ref="B36:B56" si="2">B35+1</f>
        <v>45860</v>
      </c>
      <c r="C36" s="184" t="str">
        <f>IFERROR(Inv_SY_B!C36/Inv_SY_B!$BY36-1,"")</f>
        <v/>
      </c>
      <c r="D36" s="184" t="str">
        <f>IFERROR(Inv_SY_B!D36/Inv_SY_B!$BY36-1,"")</f>
        <v/>
      </c>
      <c r="E36" s="184" t="str">
        <f>IFERROR(Inv_SY_B!E36/Inv_SY_B!$BY36-1,"")</f>
        <v/>
      </c>
      <c r="F36" s="184" t="str">
        <f>IFERROR(Inv_SY_B!F36/Inv_SY_B!$BY36-1,"")</f>
        <v/>
      </c>
      <c r="G36" s="184" t="str">
        <f>IFERROR(Inv_SY_B!G36/Inv_SY_B!$BY36-1,"")</f>
        <v/>
      </c>
      <c r="H36" s="184" t="str">
        <f>IFERROR(Inv_SY_B!H36/Inv_SY_B!$BY36-1,"")</f>
        <v/>
      </c>
      <c r="I36" s="184" t="str">
        <f>IFERROR(Inv_SY_B!I36/Inv_SY_B!$BY36-1,"")</f>
        <v/>
      </c>
      <c r="J36" s="184" t="str">
        <f>IFERROR(Inv_SY_B!J36/Inv_SY_B!$BY36-1,"")</f>
        <v/>
      </c>
      <c r="K36" s="184" t="str">
        <f>IFERROR(Inv_SY_B!K36/Inv_SY_B!$BY36-1,"")</f>
        <v/>
      </c>
      <c r="L36" s="184" t="str">
        <f>IFERROR(Inv_SY_B!L36/Inv_SY_B!$BY36-1,"")</f>
        <v/>
      </c>
      <c r="M36" s="184" t="str">
        <f>IFERROR(Inv_SY_B!M36/Inv_SY_B!$BY36-1,"")</f>
        <v/>
      </c>
      <c r="N36" s="184" t="str">
        <f>IFERROR(Inv_SY_B!N36/Inv_SY_B!$BY36-1,"")</f>
        <v/>
      </c>
      <c r="O36" s="184" t="str">
        <f>IFERROR(Inv_SY_B!O36/Inv_SY_B!$BY36-1,"")</f>
        <v/>
      </c>
      <c r="P36" s="184" t="str">
        <f>IFERROR(Inv_SY_B!P36/Inv_SY_B!$BY36-1,"")</f>
        <v/>
      </c>
      <c r="Q36" s="184" t="str">
        <f>IFERROR(Inv_SY_B!Q36/Inv_SY_B!$BY36-1,"")</f>
        <v/>
      </c>
      <c r="R36" s="184" t="str">
        <f>IFERROR(Inv_SY_B!R36/Inv_SY_B!$BY36-1,"")</f>
        <v/>
      </c>
      <c r="S36" s="184" t="str">
        <f>IFERROR(Inv_SY_B!S36/Inv_SY_B!$BY36-1,"")</f>
        <v/>
      </c>
      <c r="T36" s="184" t="str">
        <f>IFERROR(Inv_SY_B!T36/Inv_SY_B!$BY36-1,"")</f>
        <v/>
      </c>
      <c r="U36" s="184" t="str">
        <f>IFERROR(Inv_SY_B!U36/Inv_SY_B!$BY36-1,"")</f>
        <v/>
      </c>
      <c r="V36" s="184" t="str">
        <f>IFERROR(Inv_SY_B!V36/Inv_SY_B!$BY36-1,"")</f>
        <v/>
      </c>
      <c r="W36" s="184" t="str">
        <f>IFERROR(Inv_SY_B!W36/Inv_SY_B!$BY36-1,"")</f>
        <v/>
      </c>
      <c r="X36" s="184" t="str">
        <f>IFERROR(Inv_SY_B!X36/Inv_SY_B!$BY36-1,"")</f>
        <v/>
      </c>
      <c r="Y36" s="184" t="str">
        <f>IFERROR(Inv_SY_B!Y36/Inv_SY_B!$BY36-1,"")</f>
        <v/>
      </c>
      <c r="Z36" s="184" t="str">
        <f>IFERROR(Inv_SY_B!Z36/Inv_SY_B!$BY36-1,"")</f>
        <v/>
      </c>
      <c r="AA36" s="184" t="str">
        <f>IFERROR(Inv_SY_B!AA36/Inv_SY_B!$BY36-1,"")</f>
        <v/>
      </c>
      <c r="AB36" s="184" t="str">
        <f>IFERROR(Inv_SY_B!AB36/Inv_SY_B!$BY36-1,"")</f>
        <v/>
      </c>
      <c r="AC36" s="184" t="str">
        <f>IFERROR(Inv_SY_B!AC36/Inv_SY_B!$BY36-1,"")</f>
        <v/>
      </c>
      <c r="AD36" s="184" t="str">
        <f>IFERROR(Inv_SY_B!AD36/Inv_SY_B!$BY36-1,"")</f>
        <v/>
      </c>
      <c r="AE36" s="184" t="str">
        <f>IFERROR(Inv_SY_B!AE36/Inv_SY_B!$BZ36-1,"")</f>
        <v/>
      </c>
      <c r="AF36" s="184" t="str">
        <f>IFERROR(Inv_SY_B!AF36/Inv_SY_B!$BZ36-1,"")</f>
        <v/>
      </c>
      <c r="AG36" s="184" t="str">
        <f>IFERROR(Inv_SY_B!AG36/Inv_SY_B!$BZ36-1,"")</f>
        <v/>
      </c>
      <c r="AH36" s="184" t="str">
        <f>IFERROR(Inv_SY_B!AH36/Inv_SY_B!$BZ36-1,"")</f>
        <v/>
      </c>
      <c r="AI36" s="184" t="str">
        <f>IFERROR(Inv_SY_B!AI36/Inv_SY_B!$BZ36-1,"")</f>
        <v/>
      </c>
      <c r="AJ36" s="184" t="str">
        <f>IFERROR(Inv_SY_B!AJ36/Inv_SY_B!$BZ36-1,"")</f>
        <v/>
      </c>
      <c r="AK36" s="184" t="str">
        <f>IFERROR(Inv_SY_B!AK36/Inv_SY_B!$BZ36-1,"")</f>
        <v/>
      </c>
      <c r="AL36" s="184" t="str">
        <f>IFERROR(Inv_SY_B!AL36/Inv_SY_B!$BZ36-1,"")</f>
        <v/>
      </c>
      <c r="AM36" s="184" t="str">
        <f>IFERROR(Inv_SY_B!AM36/Inv_SY_B!$BZ36-1,"")</f>
        <v/>
      </c>
      <c r="AN36" s="184" t="str">
        <f>IFERROR(Inv_SY_B!AN36/Inv_SY_B!$BZ36-1,"")</f>
        <v/>
      </c>
      <c r="AO36" s="184" t="str">
        <f>IFERROR(Inv_SY_B!AO36/Inv_SY_B!$BZ36-1,"")</f>
        <v/>
      </c>
      <c r="AP36" s="184" t="str">
        <f>IFERROR(Inv_SY_B!AP36/Inv_SY_B!$BZ36-1,"")</f>
        <v/>
      </c>
      <c r="AQ36" s="184" t="str">
        <f>IFERROR(Inv_SY_B!AQ36/Inv_SY_B!$BZ36-1,"")</f>
        <v/>
      </c>
      <c r="AR36" s="184" t="str">
        <f>IFERROR(Inv_SY_B!AR36/Inv_SY_B!$BZ36-1,"")</f>
        <v/>
      </c>
      <c r="AS36" s="184" t="str">
        <f>IFERROR(Inv_SY_B!AS36/Inv_SY_B!$BZ36-1,"")</f>
        <v/>
      </c>
      <c r="AT36" s="184" t="str">
        <f>IFERROR(Inv_SY_B!AT36/Inv_SY_B!$BZ36-1,"")</f>
        <v/>
      </c>
      <c r="AU36" s="184" t="str">
        <f>IFERROR(Inv_SY_B!AU36/Inv_SY_B!$BZ36-1,"")</f>
        <v/>
      </c>
      <c r="AV36" s="184" t="str">
        <f>IFERROR(Inv_SY_B!AV36/Inv_SY_B!$BZ36-1,"")</f>
        <v/>
      </c>
      <c r="AW36" s="184" t="str">
        <f>IFERROR(Inv_SY_B!AW36/Inv_SY_B!$CA36-1,"")</f>
        <v/>
      </c>
      <c r="AX36" s="184" t="str">
        <f>IFERROR(Inv_SY_B!AX36/Inv_SY_B!$CA36-1,"")</f>
        <v/>
      </c>
      <c r="AY36" s="184" t="str">
        <f>IFERROR(Inv_SY_B!AY36/Inv_SY_B!$CA36-1,"")</f>
        <v/>
      </c>
      <c r="AZ36" s="184" t="str">
        <f>IFERROR(Inv_SY_B!AZ36/Inv_SY_B!$CA36-1,"")</f>
        <v/>
      </c>
      <c r="BA36" s="184" t="str">
        <f>IFERROR(Inv_SY_B!BA36/Inv_SY_B!$CA36-1,"")</f>
        <v/>
      </c>
      <c r="BB36" s="184" t="str">
        <f>IFERROR(Inv_SY_B!BB36/Inv_SY_B!$CA36-1,"")</f>
        <v/>
      </c>
      <c r="BC36" s="184" t="str">
        <f>IFERROR(Inv_SY_B!BC36/Inv_SY_B!$CA36-1,"")</f>
        <v/>
      </c>
      <c r="BD36" s="184" t="str">
        <f>IFERROR(Inv_SY_B!BD36/Inv_SY_B!$CA36-1,"")</f>
        <v/>
      </c>
      <c r="BE36" s="184" t="str">
        <f>IFERROR(Inv_SY_B!BE36/Inv_SY_B!$CA36-1,"")</f>
        <v/>
      </c>
      <c r="BF36" s="184" t="str">
        <f>IFERROR(Inv_SY_B!BF36/Inv_SY_B!$CA36-1,"")</f>
        <v/>
      </c>
      <c r="BG36" s="184" t="str">
        <f>IFERROR(Inv_SY_B!BG36/Inv_SY_B!$CA36-1,"")</f>
        <v/>
      </c>
      <c r="BH36" s="184" t="str">
        <f>IFERROR(Inv_SY_B!BH36/Inv_SY_B!$CA36-1,"")</f>
        <v/>
      </c>
      <c r="BI36" s="184" t="str">
        <f>IFERROR(Inv_SY_B!BI36/Inv_SY_B!$CA36-1,"")</f>
        <v/>
      </c>
      <c r="BJ36" s="184" t="str">
        <f>IFERROR(Inv_SY_B!BJ36/Inv_SY_B!$CA36-1,"")</f>
        <v/>
      </c>
      <c r="BK36" s="184" t="str">
        <f>IFERROR(Inv_SY_B!BK36/Inv_SY_B!$CA36-1,"")</f>
        <v/>
      </c>
      <c r="BL36" s="184" t="str">
        <f>IFERROR(Inv_SY_B!BL36/Inv_SY_B!$CA36-1,"")</f>
        <v/>
      </c>
      <c r="BM36" s="184" t="str">
        <f>IFERROR(Inv_SY_B!BM36/Inv_SY_B!$CA36-1,"")</f>
        <v/>
      </c>
      <c r="BN36" s="184" t="str">
        <f>IFERROR(Inv_SY_B!BN36/Inv_SY_B!$CA36-1,"")</f>
        <v/>
      </c>
      <c r="BO36" s="184" t="str">
        <f>IFERROR(Inv_SY_B!BO36/Inv_SY_B!$CA36-1,"")</f>
        <v/>
      </c>
      <c r="BP36" s="184" t="str">
        <f>IFERROR(Inv_SY_B!BP36/Inv_SY_B!$CA36-1,"")</f>
        <v/>
      </c>
      <c r="BQ36" s="184" t="str">
        <f>IFERROR(Inv_SY_B!BQ36/Inv_SY_B!$CA36-1,"")</f>
        <v/>
      </c>
      <c r="BR36" s="184" t="str">
        <f>IFERROR(Inv_SY_B!BR36/Inv_SY_B!$CA36-1,"")</f>
        <v/>
      </c>
      <c r="BS36" s="184" t="str">
        <f>IFERROR(Inv_SY_B!BS36/Inv_SY_B!$CA36-1,"")</f>
        <v/>
      </c>
      <c r="BT36" s="184" t="str">
        <f>IFERROR(Inv_SY_B!BT36/Inv_SY_B!$CA36-1,"")</f>
        <v/>
      </c>
      <c r="BU36" s="184" t="str">
        <f>IFERROR(Inv_SY_B!BU36/Inv_SY_B!$CA36-1,"")</f>
        <v/>
      </c>
      <c r="BV36" s="184" t="str">
        <f>IFERROR(Inv_SY_B!BV36/Inv_SY_B!$CA36-1,"")</f>
        <v/>
      </c>
      <c r="BW36" s="184" t="str">
        <f>IFERROR(Inv_SY_B!BW36/Inv_SY_B!$CA36-1,"")</f>
        <v/>
      </c>
      <c r="BX36" s="184" t="str">
        <f>IFERROR(Inv_SY_B!BX36/Inv_SY_B!$CA36-1,"")</f>
        <v/>
      </c>
    </row>
    <row r="37" spans="1:76">
      <c r="B37" s="179">
        <f t="shared" si="2"/>
        <v>45861</v>
      </c>
      <c r="C37" s="184" t="str">
        <f>IFERROR(Inv_SY_B!C37/Inv_SY_B!$BY37-1,"")</f>
        <v/>
      </c>
      <c r="D37" s="184" t="str">
        <f>IFERROR(Inv_SY_B!D37/Inv_SY_B!$BY37-1,"")</f>
        <v/>
      </c>
      <c r="E37" s="184" t="str">
        <f>IFERROR(Inv_SY_B!E37/Inv_SY_B!$BY37-1,"")</f>
        <v/>
      </c>
      <c r="F37" s="184" t="str">
        <f>IFERROR(Inv_SY_B!F37/Inv_SY_B!$BY37-1,"")</f>
        <v/>
      </c>
      <c r="G37" s="184" t="str">
        <f>IFERROR(Inv_SY_B!G37/Inv_SY_B!$BY37-1,"")</f>
        <v/>
      </c>
      <c r="H37" s="184" t="str">
        <f>IFERROR(Inv_SY_B!H37/Inv_SY_B!$BY37-1,"")</f>
        <v/>
      </c>
      <c r="I37" s="184" t="str">
        <f>IFERROR(Inv_SY_B!I37/Inv_SY_B!$BY37-1,"")</f>
        <v/>
      </c>
      <c r="J37" s="184" t="str">
        <f>IFERROR(Inv_SY_B!J37/Inv_SY_B!$BY37-1,"")</f>
        <v/>
      </c>
      <c r="K37" s="184" t="str">
        <f>IFERROR(Inv_SY_B!K37/Inv_SY_B!$BY37-1,"")</f>
        <v/>
      </c>
      <c r="L37" s="184" t="str">
        <f>IFERROR(Inv_SY_B!L37/Inv_SY_B!$BY37-1,"")</f>
        <v/>
      </c>
      <c r="M37" s="184" t="str">
        <f>IFERROR(Inv_SY_B!M37/Inv_SY_B!$BY37-1,"")</f>
        <v/>
      </c>
      <c r="N37" s="184" t="str">
        <f>IFERROR(Inv_SY_B!N37/Inv_SY_B!$BY37-1,"")</f>
        <v/>
      </c>
      <c r="O37" s="184" t="str">
        <f>IFERROR(Inv_SY_B!O37/Inv_SY_B!$BY37-1,"")</f>
        <v/>
      </c>
      <c r="P37" s="184" t="str">
        <f>IFERROR(Inv_SY_B!P37/Inv_SY_B!$BY37-1,"")</f>
        <v/>
      </c>
      <c r="Q37" s="184" t="str">
        <f>IFERROR(Inv_SY_B!Q37/Inv_SY_B!$BY37-1,"")</f>
        <v/>
      </c>
      <c r="R37" s="184" t="str">
        <f>IFERROR(Inv_SY_B!R37/Inv_SY_B!$BY37-1,"")</f>
        <v/>
      </c>
      <c r="S37" s="184" t="str">
        <f>IFERROR(Inv_SY_B!S37/Inv_SY_B!$BY37-1,"")</f>
        <v/>
      </c>
      <c r="T37" s="184" t="str">
        <f>IFERROR(Inv_SY_B!T37/Inv_SY_B!$BY37-1,"")</f>
        <v/>
      </c>
      <c r="U37" s="184" t="str">
        <f>IFERROR(Inv_SY_B!U37/Inv_SY_B!$BY37-1,"")</f>
        <v/>
      </c>
      <c r="V37" s="184" t="str">
        <f>IFERROR(Inv_SY_B!V37/Inv_SY_B!$BY37-1,"")</f>
        <v/>
      </c>
      <c r="W37" s="184" t="str">
        <f>IFERROR(Inv_SY_B!W37/Inv_SY_B!$BY37-1,"")</f>
        <v/>
      </c>
      <c r="X37" s="184" t="str">
        <f>IFERROR(Inv_SY_B!X37/Inv_SY_B!$BY37-1,"")</f>
        <v/>
      </c>
      <c r="Y37" s="184" t="str">
        <f>IFERROR(Inv_SY_B!Y37/Inv_SY_B!$BY37-1,"")</f>
        <v/>
      </c>
      <c r="Z37" s="184" t="str">
        <f>IFERROR(Inv_SY_B!Z37/Inv_SY_B!$BY37-1,"")</f>
        <v/>
      </c>
      <c r="AA37" s="184" t="str">
        <f>IFERROR(Inv_SY_B!AA37/Inv_SY_B!$BY37-1,"")</f>
        <v/>
      </c>
      <c r="AB37" s="184" t="str">
        <f>IFERROR(Inv_SY_B!AB37/Inv_SY_B!$BY37-1,"")</f>
        <v/>
      </c>
      <c r="AC37" s="184" t="str">
        <f>IFERROR(Inv_SY_B!AC37/Inv_SY_B!$BY37-1,"")</f>
        <v/>
      </c>
      <c r="AD37" s="184" t="str">
        <f>IFERROR(Inv_SY_B!AD37/Inv_SY_B!$BY37-1,"")</f>
        <v/>
      </c>
      <c r="AE37" s="184" t="str">
        <f>IFERROR(Inv_SY_B!AE37/Inv_SY_B!$BZ37-1,"")</f>
        <v/>
      </c>
      <c r="AF37" s="184" t="str">
        <f>IFERROR(Inv_SY_B!AF37/Inv_SY_B!$BZ37-1,"")</f>
        <v/>
      </c>
      <c r="AG37" s="184" t="str">
        <f>IFERROR(Inv_SY_B!AG37/Inv_SY_B!$BZ37-1,"")</f>
        <v/>
      </c>
      <c r="AH37" s="184" t="str">
        <f>IFERROR(Inv_SY_B!AH37/Inv_SY_B!$BZ37-1,"")</f>
        <v/>
      </c>
      <c r="AI37" s="184" t="str">
        <f>IFERROR(Inv_SY_B!AI37/Inv_SY_B!$BZ37-1,"")</f>
        <v/>
      </c>
      <c r="AJ37" s="184" t="str">
        <f>IFERROR(Inv_SY_B!AJ37/Inv_SY_B!$BZ37-1,"")</f>
        <v/>
      </c>
      <c r="AK37" s="184" t="str">
        <f>IFERROR(Inv_SY_B!AK37/Inv_SY_B!$BZ37-1,"")</f>
        <v/>
      </c>
      <c r="AL37" s="184" t="str">
        <f>IFERROR(Inv_SY_B!AL37/Inv_SY_B!$BZ37-1,"")</f>
        <v/>
      </c>
      <c r="AM37" s="184" t="str">
        <f>IFERROR(Inv_SY_B!AM37/Inv_SY_B!$BZ37-1,"")</f>
        <v/>
      </c>
      <c r="AN37" s="184" t="str">
        <f>IFERROR(Inv_SY_B!AN37/Inv_SY_B!$BZ37-1,"")</f>
        <v/>
      </c>
      <c r="AO37" s="184" t="str">
        <f>IFERROR(Inv_SY_B!AO37/Inv_SY_B!$BZ37-1,"")</f>
        <v/>
      </c>
      <c r="AP37" s="184" t="str">
        <f>IFERROR(Inv_SY_B!AP37/Inv_SY_B!$BZ37-1,"")</f>
        <v/>
      </c>
      <c r="AQ37" s="184" t="str">
        <f>IFERROR(Inv_SY_B!AQ37/Inv_SY_B!$BZ37-1,"")</f>
        <v/>
      </c>
      <c r="AR37" s="184" t="str">
        <f>IFERROR(Inv_SY_B!AR37/Inv_SY_B!$BZ37-1,"")</f>
        <v/>
      </c>
      <c r="AS37" s="184" t="str">
        <f>IFERROR(Inv_SY_B!AS37/Inv_SY_B!$BZ37-1,"")</f>
        <v/>
      </c>
      <c r="AT37" s="184" t="str">
        <f>IFERROR(Inv_SY_B!AT37/Inv_SY_B!$BZ37-1,"")</f>
        <v/>
      </c>
      <c r="AU37" s="184" t="str">
        <f>IFERROR(Inv_SY_B!AU37/Inv_SY_B!$BZ37-1,"")</f>
        <v/>
      </c>
      <c r="AV37" s="184" t="str">
        <f>IFERROR(Inv_SY_B!AV37/Inv_SY_B!$BZ37-1,"")</f>
        <v/>
      </c>
      <c r="AW37" s="184" t="str">
        <f>IFERROR(Inv_SY_B!AW37/Inv_SY_B!$CA37-1,"")</f>
        <v/>
      </c>
      <c r="AX37" s="184" t="str">
        <f>IFERROR(Inv_SY_B!AX37/Inv_SY_B!$CA37-1,"")</f>
        <v/>
      </c>
      <c r="AY37" s="184" t="str">
        <f>IFERROR(Inv_SY_B!AY37/Inv_SY_B!$CA37-1,"")</f>
        <v/>
      </c>
      <c r="AZ37" s="184" t="str">
        <f>IFERROR(Inv_SY_B!AZ37/Inv_SY_B!$CA37-1,"")</f>
        <v/>
      </c>
      <c r="BA37" s="184" t="str">
        <f>IFERROR(Inv_SY_B!BA37/Inv_SY_B!$CA37-1,"")</f>
        <v/>
      </c>
      <c r="BB37" s="184" t="str">
        <f>IFERROR(Inv_SY_B!BB37/Inv_SY_B!$CA37-1,"")</f>
        <v/>
      </c>
      <c r="BC37" s="184" t="str">
        <f>IFERROR(Inv_SY_B!BC37/Inv_SY_B!$CA37-1,"")</f>
        <v/>
      </c>
      <c r="BD37" s="184" t="str">
        <f>IFERROR(Inv_SY_B!BD37/Inv_SY_B!$CA37-1,"")</f>
        <v/>
      </c>
      <c r="BE37" s="184" t="str">
        <f>IFERROR(Inv_SY_B!BE37/Inv_SY_B!$CA37-1,"")</f>
        <v/>
      </c>
      <c r="BF37" s="184" t="str">
        <f>IFERROR(Inv_SY_B!BF37/Inv_SY_B!$CA37-1,"")</f>
        <v/>
      </c>
      <c r="BG37" s="184" t="str">
        <f>IFERROR(Inv_SY_B!BG37/Inv_SY_B!$CA37-1,"")</f>
        <v/>
      </c>
      <c r="BH37" s="184" t="str">
        <f>IFERROR(Inv_SY_B!BH37/Inv_SY_B!$CA37-1,"")</f>
        <v/>
      </c>
      <c r="BI37" s="184" t="str">
        <f>IFERROR(Inv_SY_B!BI37/Inv_SY_B!$CA37-1,"")</f>
        <v/>
      </c>
      <c r="BJ37" s="184" t="str">
        <f>IFERROR(Inv_SY_B!BJ37/Inv_SY_B!$CA37-1,"")</f>
        <v/>
      </c>
      <c r="BK37" s="184" t="str">
        <f>IFERROR(Inv_SY_B!BK37/Inv_SY_B!$CA37-1,"")</f>
        <v/>
      </c>
      <c r="BL37" s="184" t="str">
        <f>IFERROR(Inv_SY_B!BL37/Inv_SY_B!$CA37-1,"")</f>
        <v/>
      </c>
      <c r="BM37" s="184" t="str">
        <f>IFERROR(Inv_SY_B!BM37/Inv_SY_B!$CA37-1,"")</f>
        <v/>
      </c>
      <c r="BN37" s="184" t="str">
        <f>IFERROR(Inv_SY_B!BN37/Inv_SY_B!$CA37-1,"")</f>
        <v/>
      </c>
      <c r="BO37" s="184" t="str">
        <f>IFERROR(Inv_SY_B!BO37/Inv_SY_B!$CA37-1,"")</f>
        <v/>
      </c>
      <c r="BP37" s="184" t="str">
        <f>IFERROR(Inv_SY_B!BP37/Inv_SY_B!$CA37-1,"")</f>
        <v/>
      </c>
      <c r="BQ37" s="184" t="str">
        <f>IFERROR(Inv_SY_B!BQ37/Inv_SY_B!$CA37-1,"")</f>
        <v/>
      </c>
      <c r="BR37" s="184" t="str">
        <f>IFERROR(Inv_SY_B!BR37/Inv_SY_B!$CA37-1,"")</f>
        <v/>
      </c>
      <c r="BS37" s="184" t="str">
        <f>IFERROR(Inv_SY_B!BS37/Inv_SY_B!$CA37-1,"")</f>
        <v/>
      </c>
      <c r="BT37" s="184" t="str">
        <f>IFERROR(Inv_SY_B!BT37/Inv_SY_B!$CA37-1,"")</f>
        <v/>
      </c>
      <c r="BU37" s="184" t="str">
        <f>IFERROR(Inv_SY_B!BU37/Inv_SY_B!$CA37-1,"")</f>
        <v/>
      </c>
      <c r="BV37" s="184" t="str">
        <f>IFERROR(Inv_SY_B!BV37/Inv_SY_B!$CA37-1,"")</f>
        <v/>
      </c>
      <c r="BW37" s="184" t="str">
        <f>IFERROR(Inv_SY_B!BW37/Inv_SY_B!$CA37-1,"")</f>
        <v/>
      </c>
      <c r="BX37" s="184" t="str">
        <f>IFERROR(Inv_SY_B!BX37/Inv_SY_B!$CA37-1,"")</f>
        <v/>
      </c>
    </row>
    <row r="38" spans="1:76">
      <c r="B38" s="179">
        <f t="shared" si="2"/>
        <v>45862</v>
      </c>
      <c r="C38" s="184" t="str">
        <f>IFERROR(Inv_SY_B!C38/Inv_SY_B!$BY38-1,"")</f>
        <v/>
      </c>
      <c r="D38" s="184" t="str">
        <f>IFERROR(Inv_SY_B!D38/Inv_SY_B!$BY38-1,"")</f>
        <v/>
      </c>
      <c r="E38" s="184" t="str">
        <f>IFERROR(Inv_SY_B!E38/Inv_SY_B!$BY38-1,"")</f>
        <v/>
      </c>
      <c r="F38" s="184" t="str">
        <f>IFERROR(Inv_SY_B!F38/Inv_SY_B!$BY38-1,"")</f>
        <v/>
      </c>
      <c r="G38" s="184" t="str">
        <f>IFERROR(Inv_SY_B!G38/Inv_SY_B!$BY38-1,"")</f>
        <v/>
      </c>
      <c r="H38" s="184" t="str">
        <f>IFERROR(Inv_SY_B!H38/Inv_SY_B!$BY38-1,"")</f>
        <v/>
      </c>
      <c r="I38" s="184" t="str">
        <f>IFERROR(Inv_SY_B!I38/Inv_SY_B!$BY38-1,"")</f>
        <v/>
      </c>
      <c r="J38" s="184" t="str">
        <f>IFERROR(Inv_SY_B!J38/Inv_SY_B!$BY38-1,"")</f>
        <v/>
      </c>
      <c r="K38" s="184" t="str">
        <f>IFERROR(Inv_SY_B!K38/Inv_SY_B!$BY38-1,"")</f>
        <v/>
      </c>
      <c r="L38" s="184" t="str">
        <f>IFERROR(Inv_SY_B!L38/Inv_SY_B!$BY38-1,"")</f>
        <v/>
      </c>
      <c r="M38" s="184" t="str">
        <f>IFERROR(Inv_SY_B!M38/Inv_SY_B!$BY38-1,"")</f>
        <v/>
      </c>
      <c r="N38" s="184" t="str">
        <f>IFERROR(Inv_SY_B!N38/Inv_SY_B!$BY38-1,"")</f>
        <v/>
      </c>
      <c r="O38" s="184" t="str">
        <f>IFERROR(Inv_SY_B!O38/Inv_SY_B!$BY38-1,"")</f>
        <v/>
      </c>
      <c r="P38" s="184" t="str">
        <f>IFERROR(Inv_SY_B!P38/Inv_SY_B!$BY38-1,"")</f>
        <v/>
      </c>
      <c r="Q38" s="184" t="str">
        <f>IFERROR(Inv_SY_B!Q38/Inv_SY_B!$BY38-1,"")</f>
        <v/>
      </c>
      <c r="R38" s="184" t="str">
        <f>IFERROR(Inv_SY_B!R38/Inv_SY_B!$BY38-1,"")</f>
        <v/>
      </c>
      <c r="S38" s="184" t="str">
        <f>IFERROR(Inv_SY_B!S38/Inv_SY_B!$BY38-1,"")</f>
        <v/>
      </c>
      <c r="T38" s="184" t="str">
        <f>IFERROR(Inv_SY_B!T38/Inv_SY_B!$BY38-1,"")</f>
        <v/>
      </c>
      <c r="U38" s="184" t="str">
        <f>IFERROR(Inv_SY_B!U38/Inv_SY_B!$BY38-1,"")</f>
        <v/>
      </c>
      <c r="V38" s="184" t="str">
        <f>IFERROR(Inv_SY_B!V38/Inv_SY_B!$BY38-1,"")</f>
        <v/>
      </c>
      <c r="W38" s="184" t="str">
        <f>IFERROR(Inv_SY_B!W38/Inv_SY_B!$BY38-1,"")</f>
        <v/>
      </c>
      <c r="X38" s="184" t="str">
        <f>IFERROR(Inv_SY_B!X38/Inv_SY_B!$BY38-1,"")</f>
        <v/>
      </c>
      <c r="Y38" s="184" t="str">
        <f>IFERROR(Inv_SY_B!Y38/Inv_SY_B!$BY38-1,"")</f>
        <v/>
      </c>
      <c r="Z38" s="184" t="str">
        <f>IFERROR(Inv_SY_B!Z38/Inv_SY_B!$BY38-1,"")</f>
        <v/>
      </c>
      <c r="AA38" s="184" t="str">
        <f>IFERROR(Inv_SY_B!AA38/Inv_SY_B!$BY38-1,"")</f>
        <v/>
      </c>
      <c r="AB38" s="184" t="str">
        <f>IFERROR(Inv_SY_B!AB38/Inv_SY_B!$BY38-1,"")</f>
        <v/>
      </c>
      <c r="AC38" s="184" t="str">
        <f>IFERROR(Inv_SY_B!AC38/Inv_SY_B!$BY38-1,"")</f>
        <v/>
      </c>
      <c r="AD38" s="184" t="str">
        <f>IFERROR(Inv_SY_B!AD38/Inv_SY_B!$BY38-1,"")</f>
        <v/>
      </c>
      <c r="AE38" s="184" t="str">
        <f>IFERROR(Inv_SY_B!AE38/Inv_SY_B!$BZ38-1,"")</f>
        <v/>
      </c>
      <c r="AF38" s="184" t="str">
        <f>IFERROR(Inv_SY_B!AF38/Inv_SY_B!$BZ38-1,"")</f>
        <v/>
      </c>
      <c r="AG38" s="184" t="str">
        <f>IFERROR(Inv_SY_B!AG38/Inv_SY_B!$BZ38-1,"")</f>
        <v/>
      </c>
      <c r="AH38" s="184" t="str">
        <f>IFERROR(Inv_SY_B!AH38/Inv_SY_B!$BZ38-1,"")</f>
        <v/>
      </c>
      <c r="AI38" s="184" t="str">
        <f>IFERROR(Inv_SY_B!AI38/Inv_SY_B!$BZ38-1,"")</f>
        <v/>
      </c>
      <c r="AJ38" s="184" t="str">
        <f>IFERROR(Inv_SY_B!AJ38/Inv_SY_B!$BZ38-1,"")</f>
        <v/>
      </c>
      <c r="AK38" s="184" t="str">
        <f>IFERROR(Inv_SY_B!AK38/Inv_SY_B!$BZ38-1,"")</f>
        <v/>
      </c>
      <c r="AL38" s="184" t="str">
        <f>IFERROR(Inv_SY_B!AL38/Inv_SY_B!$BZ38-1,"")</f>
        <v/>
      </c>
      <c r="AM38" s="184" t="str">
        <f>IFERROR(Inv_SY_B!AM38/Inv_SY_B!$BZ38-1,"")</f>
        <v/>
      </c>
      <c r="AN38" s="184" t="str">
        <f>IFERROR(Inv_SY_B!AN38/Inv_SY_B!$BZ38-1,"")</f>
        <v/>
      </c>
      <c r="AO38" s="184" t="str">
        <f>IFERROR(Inv_SY_B!AO38/Inv_SY_B!$BZ38-1,"")</f>
        <v/>
      </c>
      <c r="AP38" s="184" t="str">
        <f>IFERROR(Inv_SY_B!AP38/Inv_SY_B!$BZ38-1,"")</f>
        <v/>
      </c>
      <c r="AQ38" s="184" t="str">
        <f>IFERROR(Inv_SY_B!AQ38/Inv_SY_B!$BZ38-1,"")</f>
        <v/>
      </c>
      <c r="AR38" s="184" t="str">
        <f>IFERROR(Inv_SY_B!AR38/Inv_SY_B!$BZ38-1,"")</f>
        <v/>
      </c>
      <c r="AS38" s="184" t="str">
        <f>IFERROR(Inv_SY_B!AS38/Inv_SY_B!$BZ38-1,"")</f>
        <v/>
      </c>
      <c r="AT38" s="184" t="str">
        <f>IFERROR(Inv_SY_B!AT38/Inv_SY_B!$BZ38-1,"")</f>
        <v/>
      </c>
      <c r="AU38" s="184" t="str">
        <f>IFERROR(Inv_SY_B!AU38/Inv_SY_B!$BZ38-1,"")</f>
        <v/>
      </c>
      <c r="AV38" s="184" t="str">
        <f>IFERROR(Inv_SY_B!AV38/Inv_SY_B!$BZ38-1,"")</f>
        <v/>
      </c>
      <c r="AW38" s="184" t="str">
        <f>IFERROR(Inv_SY_B!AW38/Inv_SY_B!$CA38-1,"")</f>
        <v/>
      </c>
      <c r="AX38" s="184" t="str">
        <f>IFERROR(Inv_SY_B!AX38/Inv_SY_B!$CA38-1,"")</f>
        <v/>
      </c>
      <c r="AY38" s="184" t="str">
        <f>IFERROR(Inv_SY_B!AY38/Inv_SY_B!$CA38-1,"")</f>
        <v/>
      </c>
      <c r="AZ38" s="184" t="str">
        <f>IFERROR(Inv_SY_B!AZ38/Inv_SY_B!$CA38-1,"")</f>
        <v/>
      </c>
      <c r="BA38" s="184" t="str">
        <f>IFERROR(Inv_SY_B!BA38/Inv_SY_B!$CA38-1,"")</f>
        <v/>
      </c>
      <c r="BB38" s="184" t="str">
        <f>IFERROR(Inv_SY_B!BB38/Inv_SY_B!$CA38-1,"")</f>
        <v/>
      </c>
      <c r="BC38" s="184" t="str">
        <f>IFERROR(Inv_SY_B!BC38/Inv_SY_B!$CA38-1,"")</f>
        <v/>
      </c>
      <c r="BD38" s="184" t="str">
        <f>IFERROR(Inv_SY_B!BD38/Inv_SY_B!$CA38-1,"")</f>
        <v/>
      </c>
      <c r="BE38" s="184" t="str">
        <f>IFERROR(Inv_SY_B!BE38/Inv_SY_B!$CA38-1,"")</f>
        <v/>
      </c>
      <c r="BF38" s="184" t="str">
        <f>IFERROR(Inv_SY_B!BF38/Inv_SY_B!$CA38-1,"")</f>
        <v/>
      </c>
      <c r="BG38" s="184" t="str">
        <f>IFERROR(Inv_SY_B!BG38/Inv_SY_B!$CA38-1,"")</f>
        <v/>
      </c>
      <c r="BH38" s="184" t="str">
        <f>IFERROR(Inv_SY_B!BH38/Inv_SY_B!$CA38-1,"")</f>
        <v/>
      </c>
      <c r="BI38" s="184" t="str">
        <f>IFERROR(Inv_SY_B!BI38/Inv_SY_B!$CA38-1,"")</f>
        <v/>
      </c>
      <c r="BJ38" s="184" t="str">
        <f>IFERROR(Inv_SY_B!BJ38/Inv_SY_B!$CA38-1,"")</f>
        <v/>
      </c>
      <c r="BK38" s="184" t="str">
        <f>IFERROR(Inv_SY_B!BK38/Inv_SY_B!$CA38-1,"")</f>
        <v/>
      </c>
      <c r="BL38" s="184" t="str">
        <f>IFERROR(Inv_SY_B!BL38/Inv_SY_B!$CA38-1,"")</f>
        <v/>
      </c>
      <c r="BM38" s="184" t="str">
        <f>IFERROR(Inv_SY_B!BM38/Inv_SY_B!$CA38-1,"")</f>
        <v/>
      </c>
      <c r="BN38" s="184" t="str">
        <f>IFERROR(Inv_SY_B!BN38/Inv_SY_B!$CA38-1,"")</f>
        <v/>
      </c>
      <c r="BO38" s="184" t="str">
        <f>IFERROR(Inv_SY_B!BO38/Inv_SY_B!$CA38-1,"")</f>
        <v/>
      </c>
      <c r="BP38" s="184" t="str">
        <f>IFERROR(Inv_SY_B!BP38/Inv_SY_B!$CA38-1,"")</f>
        <v/>
      </c>
      <c r="BQ38" s="184" t="str">
        <f>IFERROR(Inv_SY_B!BQ38/Inv_SY_B!$CA38-1,"")</f>
        <v/>
      </c>
      <c r="BR38" s="184" t="str">
        <f>IFERROR(Inv_SY_B!BR38/Inv_SY_B!$CA38-1,"")</f>
        <v/>
      </c>
      <c r="BS38" s="184" t="str">
        <f>IFERROR(Inv_SY_B!BS38/Inv_SY_B!$CA38-1,"")</f>
        <v/>
      </c>
      <c r="BT38" s="184" t="str">
        <f>IFERROR(Inv_SY_B!BT38/Inv_SY_B!$CA38-1,"")</f>
        <v/>
      </c>
      <c r="BU38" s="184" t="str">
        <f>IFERROR(Inv_SY_B!BU38/Inv_SY_B!$CA38-1,"")</f>
        <v/>
      </c>
      <c r="BV38" s="184" t="str">
        <f>IFERROR(Inv_SY_B!BV38/Inv_SY_B!$CA38-1,"")</f>
        <v/>
      </c>
      <c r="BW38" s="184" t="str">
        <f>IFERROR(Inv_SY_B!BW38/Inv_SY_B!$CA38-1,"")</f>
        <v/>
      </c>
      <c r="BX38" s="184" t="str">
        <f>IFERROR(Inv_SY_B!BX38/Inv_SY_B!$CA38-1,"")</f>
        <v/>
      </c>
    </row>
    <row r="39" spans="1:76">
      <c r="B39" s="179">
        <f t="shared" si="2"/>
        <v>45863</v>
      </c>
      <c r="C39" s="184" t="str">
        <f>IFERROR(Inv_SY_B!C39/Inv_SY_B!$BY39-1,"")</f>
        <v/>
      </c>
      <c r="D39" s="184" t="str">
        <f>IFERROR(Inv_SY_B!D39/Inv_SY_B!$BY39-1,"")</f>
        <v/>
      </c>
      <c r="E39" s="184" t="str">
        <f>IFERROR(Inv_SY_B!E39/Inv_SY_B!$BY39-1,"")</f>
        <v/>
      </c>
      <c r="F39" s="184" t="str">
        <f>IFERROR(Inv_SY_B!F39/Inv_SY_B!$BY39-1,"")</f>
        <v/>
      </c>
      <c r="G39" s="184" t="str">
        <f>IFERROR(Inv_SY_B!G39/Inv_SY_B!$BY39-1,"")</f>
        <v/>
      </c>
      <c r="H39" s="184" t="str">
        <f>IFERROR(Inv_SY_B!H39/Inv_SY_B!$BY39-1,"")</f>
        <v/>
      </c>
      <c r="I39" s="184" t="str">
        <f>IFERROR(Inv_SY_B!I39/Inv_SY_B!$BY39-1,"")</f>
        <v/>
      </c>
      <c r="J39" s="184" t="str">
        <f>IFERROR(Inv_SY_B!J39/Inv_SY_B!$BY39-1,"")</f>
        <v/>
      </c>
      <c r="K39" s="184" t="str">
        <f>IFERROR(Inv_SY_B!K39/Inv_SY_B!$BY39-1,"")</f>
        <v/>
      </c>
      <c r="L39" s="184" t="str">
        <f>IFERROR(Inv_SY_B!L39/Inv_SY_B!$BY39-1,"")</f>
        <v/>
      </c>
      <c r="M39" s="184" t="str">
        <f>IFERROR(Inv_SY_B!M39/Inv_SY_B!$BY39-1,"")</f>
        <v/>
      </c>
      <c r="N39" s="184" t="str">
        <f>IFERROR(Inv_SY_B!N39/Inv_SY_B!$BY39-1,"")</f>
        <v/>
      </c>
      <c r="O39" s="184" t="str">
        <f>IFERROR(Inv_SY_B!O39/Inv_SY_B!$BY39-1,"")</f>
        <v/>
      </c>
      <c r="P39" s="184" t="str">
        <f>IFERROR(Inv_SY_B!P39/Inv_SY_B!$BY39-1,"")</f>
        <v/>
      </c>
      <c r="Q39" s="184" t="str">
        <f>IFERROR(Inv_SY_B!Q39/Inv_SY_B!$BY39-1,"")</f>
        <v/>
      </c>
      <c r="R39" s="184" t="str">
        <f>IFERROR(Inv_SY_B!R39/Inv_SY_B!$BY39-1,"")</f>
        <v/>
      </c>
      <c r="S39" s="184" t="str">
        <f>IFERROR(Inv_SY_B!S39/Inv_SY_B!$BY39-1,"")</f>
        <v/>
      </c>
      <c r="T39" s="184" t="str">
        <f>IFERROR(Inv_SY_B!T39/Inv_SY_B!$BY39-1,"")</f>
        <v/>
      </c>
      <c r="U39" s="184" t="str">
        <f>IFERROR(Inv_SY_B!U39/Inv_SY_B!$BY39-1,"")</f>
        <v/>
      </c>
      <c r="V39" s="184" t="str">
        <f>IFERROR(Inv_SY_B!V39/Inv_SY_B!$BY39-1,"")</f>
        <v/>
      </c>
      <c r="W39" s="184" t="str">
        <f>IFERROR(Inv_SY_B!W39/Inv_SY_B!$BY39-1,"")</f>
        <v/>
      </c>
      <c r="X39" s="184" t="str">
        <f>IFERROR(Inv_SY_B!X39/Inv_SY_B!$BY39-1,"")</f>
        <v/>
      </c>
      <c r="Y39" s="184" t="str">
        <f>IFERROR(Inv_SY_B!Y39/Inv_SY_B!$BY39-1,"")</f>
        <v/>
      </c>
      <c r="Z39" s="184" t="str">
        <f>IFERROR(Inv_SY_B!Z39/Inv_SY_B!$BY39-1,"")</f>
        <v/>
      </c>
      <c r="AA39" s="184" t="str">
        <f>IFERROR(Inv_SY_B!AA39/Inv_SY_B!$BY39-1,"")</f>
        <v/>
      </c>
      <c r="AB39" s="184" t="str">
        <f>IFERROR(Inv_SY_B!AB39/Inv_SY_B!$BY39-1,"")</f>
        <v/>
      </c>
      <c r="AC39" s="184" t="str">
        <f>IFERROR(Inv_SY_B!AC39/Inv_SY_B!$BY39-1,"")</f>
        <v/>
      </c>
      <c r="AD39" s="184" t="str">
        <f>IFERROR(Inv_SY_B!AD39/Inv_SY_B!$BY39-1,"")</f>
        <v/>
      </c>
      <c r="AE39" s="184" t="str">
        <f>IFERROR(Inv_SY_B!AE39/Inv_SY_B!$BZ39-1,"")</f>
        <v/>
      </c>
      <c r="AF39" s="184" t="str">
        <f>IFERROR(Inv_SY_B!AF39/Inv_SY_B!$BZ39-1,"")</f>
        <v/>
      </c>
      <c r="AG39" s="184" t="str">
        <f>IFERROR(Inv_SY_B!AG39/Inv_SY_B!$BZ39-1,"")</f>
        <v/>
      </c>
      <c r="AH39" s="184" t="str">
        <f>IFERROR(Inv_SY_B!AH39/Inv_SY_B!$BZ39-1,"")</f>
        <v/>
      </c>
      <c r="AI39" s="184" t="str">
        <f>IFERROR(Inv_SY_B!AI39/Inv_SY_B!$BZ39-1,"")</f>
        <v/>
      </c>
      <c r="AJ39" s="184" t="str">
        <f>IFERROR(Inv_SY_B!AJ39/Inv_SY_B!$BZ39-1,"")</f>
        <v/>
      </c>
      <c r="AK39" s="184" t="str">
        <f>IFERROR(Inv_SY_B!AK39/Inv_SY_B!$BZ39-1,"")</f>
        <v/>
      </c>
      <c r="AL39" s="184" t="str">
        <f>IFERROR(Inv_SY_B!AL39/Inv_SY_B!$BZ39-1,"")</f>
        <v/>
      </c>
      <c r="AM39" s="184" t="str">
        <f>IFERROR(Inv_SY_B!AM39/Inv_SY_B!$BZ39-1,"")</f>
        <v/>
      </c>
      <c r="AN39" s="184" t="str">
        <f>IFERROR(Inv_SY_B!AN39/Inv_SY_B!$BZ39-1,"")</f>
        <v/>
      </c>
      <c r="AO39" s="184" t="str">
        <f>IFERROR(Inv_SY_B!AO39/Inv_SY_B!$BZ39-1,"")</f>
        <v/>
      </c>
      <c r="AP39" s="184" t="str">
        <f>IFERROR(Inv_SY_B!AP39/Inv_SY_B!$BZ39-1,"")</f>
        <v/>
      </c>
      <c r="AQ39" s="184" t="str">
        <f>IFERROR(Inv_SY_B!AQ39/Inv_SY_B!$BZ39-1,"")</f>
        <v/>
      </c>
      <c r="AR39" s="184" t="str">
        <f>IFERROR(Inv_SY_B!AR39/Inv_SY_B!$BZ39-1,"")</f>
        <v/>
      </c>
      <c r="AS39" s="184" t="str">
        <f>IFERROR(Inv_SY_B!AS39/Inv_SY_B!$BZ39-1,"")</f>
        <v/>
      </c>
      <c r="AT39" s="184" t="str">
        <f>IFERROR(Inv_SY_B!AT39/Inv_SY_B!$BZ39-1,"")</f>
        <v/>
      </c>
      <c r="AU39" s="184" t="str">
        <f>IFERROR(Inv_SY_B!AU39/Inv_SY_B!$BZ39-1,"")</f>
        <v/>
      </c>
      <c r="AV39" s="184" t="str">
        <f>IFERROR(Inv_SY_B!AV39/Inv_SY_B!$BZ39-1,"")</f>
        <v/>
      </c>
      <c r="AW39" s="184" t="str">
        <f>IFERROR(Inv_SY_B!AW39/Inv_SY_B!$CA39-1,"")</f>
        <v/>
      </c>
      <c r="AX39" s="184" t="str">
        <f>IFERROR(Inv_SY_B!AX39/Inv_SY_B!$CA39-1,"")</f>
        <v/>
      </c>
      <c r="AY39" s="184" t="str">
        <f>IFERROR(Inv_SY_B!AY39/Inv_SY_B!$CA39-1,"")</f>
        <v/>
      </c>
      <c r="AZ39" s="184" t="str">
        <f>IFERROR(Inv_SY_B!AZ39/Inv_SY_B!$CA39-1,"")</f>
        <v/>
      </c>
      <c r="BA39" s="184" t="str">
        <f>IFERROR(Inv_SY_B!BA39/Inv_SY_B!$CA39-1,"")</f>
        <v/>
      </c>
      <c r="BB39" s="184" t="str">
        <f>IFERROR(Inv_SY_B!BB39/Inv_SY_B!$CA39-1,"")</f>
        <v/>
      </c>
      <c r="BC39" s="184" t="str">
        <f>IFERROR(Inv_SY_B!BC39/Inv_SY_B!$CA39-1,"")</f>
        <v/>
      </c>
      <c r="BD39" s="184" t="str">
        <f>IFERROR(Inv_SY_B!BD39/Inv_SY_B!$CA39-1,"")</f>
        <v/>
      </c>
      <c r="BE39" s="184" t="str">
        <f>IFERROR(Inv_SY_B!BE39/Inv_SY_B!$CA39-1,"")</f>
        <v/>
      </c>
      <c r="BF39" s="184" t="str">
        <f>IFERROR(Inv_SY_B!BF39/Inv_SY_B!$CA39-1,"")</f>
        <v/>
      </c>
      <c r="BG39" s="184" t="str">
        <f>IFERROR(Inv_SY_B!BG39/Inv_SY_B!$CA39-1,"")</f>
        <v/>
      </c>
      <c r="BH39" s="184" t="str">
        <f>IFERROR(Inv_SY_B!BH39/Inv_SY_B!$CA39-1,"")</f>
        <v/>
      </c>
      <c r="BI39" s="184" t="str">
        <f>IFERROR(Inv_SY_B!BI39/Inv_SY_B!$CA39-1,"")</f>
        <v/>
      </c>
      <c r="BJ39" s="184" t="str">
        <f>IFERROR(Inv_SY_B!BJ39/Inv_SY_B!$CA39-1,"")</f>
        <v/>
      </c>
      <c r="BK39" s="184" t="str">
        <f>IFERROR(Inv_SY_B!BK39/Inv_SY_B!$CA39-1,"")</f>
        <v/>
      </c>
      <c r="BL39" s="184" t="str">
        <f>IFERROR(Inv_SY_B!BL39/Inv_SY_B!$CA39-1,"")</f>
        <v/>
      </c>
      <c r="BM39" s="184" t="str">
        <f>IFERROR(Inv_SY_B!BM39/Inv_SY_B!$CA39-1,"")</f>
        <v/>
      </c>
      <c r="BN39" s="184" t="str">
        <f>IFERROR(Inv_SY_B!BN39/Inv_SY_B!$CA39-1,"")</f>
        <v/>
      </c>
      <c r="BO39" s="184" t="str">
        <f>IFERROR(Inv_SY_B!BO39/Inv_SY_B!$CA39-1,"")</f>
        <v/>
      </c>
      <c r="BP39" s="184" t="str">
        <f>IFERROR(Inv_SY_B!BP39/Inv_SY_B!$CA39-1,"")</f>
        <v/>
      </c>
      <c r="BQ39" s="184" t="str">
        <f>IFERROR(Inv_SY_B!BQ39/Inv_SY_B!$CA39-1,"")</f>
        <v/>
      </c>
      <c r="BR39" s="184" t="str">
        <f>IFERROR(Inv_SY_B!BR39/Inv_SY_B!$CA39-1,"")</f>
        <v/>
      </c>
      <c r="BS39" s="184" t="str">
        <f>IFERROR(Inv_SY_B!BS39/Inv_SY_B!$CA39-1,"")</f>
        <v/>
      </c>
      <c r="BT39" s="184" t="str">
        <f>IFERROR(Inv_SY_B!BT39/Inv_SY_B!$CA39-1,"")</f>
        <v/>
      </c>
      <c r="BU39" s="184" t="str">
        <f>IFERROR(Inv_SY_B!BU39/Inv_SY_B!$CA39-1,"")</f>
        <v/>
      </c>
      <c r="BV39" s="184" t="str">
        <f>IFERROR(Inv_SY_B!BV39/Inv_SY_B!$CA39-1,"")</f>
        <v/>
      </c>
      <c r="BW39" s="184" t="str">
        <f>IFERROR(Inv_SY_B!BW39/Inv_SY_B!$CA39-1,"")</f>
        <v/>
      </c>
      <c r="BX39" s="184" t="str">
        <f>IFERROR(Inv_SY_B!BX39/Inv_SY_B!$CA39-1,"")</f>
        <v/>
      </c>
    </row>
    <row r="40" spans="1:76">
      <c r="B40" s="179">
        <f t="shared" si="2"/>
        <v>45864</v>
      </c>
      <c r="C40" s="184" t="str">
        <f>IFERROR(Inv_SY_B!C40/Inv_SY_B!$BY40-1,"")</f>
        <v/>
      </c>
      <c r="D40" s="184" t="str">
        <f>IFERROR(Inv_SY_B!D40/Inv_SY_B!$BY40-1,"")</f>
        <v/>
      </c>
      <c r="E40" s="184" t="str">
        <f>IFERROR(Inv_SY_B!E40/Inv_SY_B!$BY40-1,"")</f>
        <v/>
      </c>
      <c r="F40" s="184" t="str">
        <f>IFERROR(Inv_SY_B!F40/Inv_SY_B!$BY40-1,"")</f>
        <v/>
      </c>
      <c r="G40" s="184" t="str">
        <f>IFERROR(Inv_SY_B!G40/Inv_SY_B!$BY40-1,"")</f>
        <v/>
      </c>
      <c r="H40" s="184" t="str">
        <f>IFERROR(Inv_SY_B!H40/Inv_SY_B!$BY40-1,"")</f>
        <v/>
      </c>
      <c r="I40" s="184" t="str">
        <f>IFERROR(Inv_SY_B!I40/Inv_SY_B!$BY40-1,"")</f>
        <v/>
      </c>
      <c r="J40" s="184" t="str">
        <f>IFERROR(Inv_SY_B!J40/Inv_SY_B!$BY40-1,"")</f>
        <v/>
      </c>
      <c r="K40" s="184" t="str">
        <f>IFERROR(Inv_SY_B!K40/Inv_SY_B!$BY40-1,"")</f>
        <v/>
      </c>
      <c r="L40" s="184" t="str">
        <f>IFERROR(Inv_SY_B!L40/Inv_SY_B!$BY40-1,"")</f>
        <v/>
      </c>
      <c r="M40" s="184" t="str">
        <f>IFERROR(Inv_SY_B!M40/Inv_SY_B!$BY40-1,"")</f>
        <v/>
      </c>
      <c r="N40" s="184" t="str">
        <f>IFERROR(Inv_SY_B!N40/Inv_SY_B!$BY40-1,"")</f>
        <v/>
      </c>
      <c r="O40" s="184" t="str">
        <f>IFERROR(Inv_SY_B!O40/Inv_SY_B!$BY40-1,"")</f>
        <v/>
      </c>
      <c r="P40" s="184" t="str">
        <f>IFERROR(Inv_SY_B!P40/Inv_SY_B!$BY40-1,"")</f>
        <v/>
      </c>
      <c r="Q40" s="184" t="str">
        <f>IFERROR(Inv_SY_B!Q40/Inv_SY_B!$BY40-1,"")</f>
        <v/>
      </c>
      <c r="R40" s="184" t="str">
        <f>IFERROR(Inv_SY_B!R40/Inv_SY_B!$BY40-1,"")</f>
        <v/>
      </c>
      <c r="S40" s="184" t="str">
        <f>IFERROR(Inv_SY_B!S40/Inv_SY_B!$BY40-1,"")</f>
        <v/>
      </c>
      <c r="T40" s="184" t="str">
        <f>IFERROR(Inv_SY_B!T40/Inv_SY_B!$BY40-1,"")</f>
        <v/>
      </c>
      <c r="U40" s="184" t="str">
        <f>IFERROR(Inv_SY_B!U40/Inv_SY_B!$BY40-1,"")</f>
        <v/>
      </c>
      <c r="V40" s="184" t="str">
        <f>IFERROR(Inv_SY_B!V40/Inv_SY_B!$BY40-1,"")</f>
        <v/>
      </c>
      <c r="W40" s="184" t="str">
        <f>IFERROR(Inv_SY_B!W40/Inv_SY_B!$BY40-1,"")</f>
        <v/>
      </c>
      <c r="X40" s="184" t="str">
        <f>IFERROR(Inv_SY_B!X40/Inv_SY_B!$BY40-1,"")</f>
        <v/>
      </c>
      <c r="Y40" s="184" t="str">
        <f>IFERROR(Inv_SY_B!Y40/Inv_SY_B!$BY40-1,"")</f>
        <v/>
      </c>
      <c r="Z40" s="184" t="str">
        <f>IFERROR(Inv_SY_B!Z40/Inv_SY_B!$BY40-1,"")</f>
        <v/>
      </c>
      <c r="AA40" s="184" t="str">
        <f>IFERROR(Inv_SY_B!AA40/Inv_SY_B!$BY40-1,"")</f>
        <v/>
      </c>
      <c r="AB40" s="184" t="str">
        <f>IFERROR(Inv_SY_B!AB40/Inv_SY_B!$BY40-1,"")</f>
        <v/>
      </c>
      <c r="AC40" s="184" t="str">
        <f>IFERROR(Inv_SY_B!AC40/Inv_SY_B!$BY40-1,"")</f>
        <v/>
      </c>
      <c r="AD40" s="184" t="str">
        <f>IFERROR(Inv_SY_B!AD40/Inv_SY_B!$BY40-1,"")</f>
        <v/>
      </c>
      <c r="AE40" s="184" t="str">
        <f>IFERROR(Inv_SY_B!AE40/Inv_SY_B!$BZ40-1,"")</f>
        <v/>
      </c>
      <c r="AF40" s="184" t="str">
        <f>IFERROR(Inv_SY_B!AF40/Inv_SY_B!$BZ40-1,"")</f>
        <v/>
      </c>
      <c r="AG40" s="184" t="str">
        <f>IFERROR(Inv_SY_B!AG40/Inv_SY_B!$BZ40-1,"")</f>
        <v/>
      </c>
      <c r="AH40" s="184" t="str">
        <f>IFERROR(Inv_SY_B!AH40/Inv_SY_B!$BZ40-1,"")</f>
        <v/>
      </c>
      <c r="AI40" s="184" t="str">
        <f>IFERROR(Inv_SY_B!AI40/Inv_SY_B!$BZ40-1,"")</f>
        <v/>
      </c>
      <c r="AJ40" s="184" t="str">
        <f>IFERROR(Inv_SY_B!AJ40/Inv_SY_B!$BZ40-1,"")</f>
        <v/>
      </c>
      <c r="AK40" s="184" t="str">
        <f>IFERROR(Inv_SY_B!AK40/Inv_SY_B!$BZ40-1,"")</f>
        <v/>
      </c>
      <c r="AL40" s="184" t="str">
        <f>IFERROR(Inv_SY_B!AL40/Inv_SY_B!$BZ40-1,"")</f>
        <v/>
      </c>
      <c r="AM40" s="184" t="str">
        <f>IFERROR(Inv_SY_B!AM40/Inv_SY_B!$BZ40-1,"")</f>
        <v/>
      </c>
      <c r="AN40" s="184" t="str">
        <f>IFERROR(Inv_SY_B!AN40/Inv_SY_B!$BZ40-1,"")</f>
        <v/>
      </c>
      <c r="AO40" s="184" t="str">
        <f>IFERROR(Inv_SY_B!AO40/Inv_SY_B!$BZ40-1,"")</f>
        <v/>
      </c>
      <c r="AP40" s="184" t="str">
        <f>IFERROR(Inv_SY_B!AP40/Inv_SY_B!$BZ40-1,"")</f>
        <v/>
      </c>
      <c r="AQ40" s="184" t="str">
        <f>IFERROR(Inv_SY_B!AQ40/Inv_SY_B!$BZ40-1,"")</f>
        <v/>
      </c>
      <c r="AR40" s="184" t="str">
        <f>IFERROR(Inv_SY_B!AR40/Inv_SY_B!$BZ40-1,"")</f>
        <v/>
      </c>
      <c r="AS40" s="184" t="str">
        <f>IFERROR(Inv_SY_B!AS40/Inv_SY_B!$BZ40-1,"")</f>
        <v/>
      </c>
      <c r="AT40" s="184" t="str">
        <f>IFERROR(Inv_SY_B!AT40/Inv_SY_B!$BZ40-1,"")</f>
        <v/>
      </c>
      <c r="AU40" s="184" t="str">
        <f>IFERROR(Inv_SY_B!AU40/Inv_SY_B!$BZ40-1,"")</f>
        <v/>
      </c>
      <c r="AV40" s="184" t="str">
        <f>IFERROR(Inv_SY_B!AV40/Inv_SY_B!$BZ40-1,"")</f>
        <v/>
      </c>
      <c r="AW40" s="184" t="str">
        <f>IFERROR(Inv_SY_B!AW40/Inv_SY_B!$CA40-1,"")</f>
        <v/>
      </c>
      <c r="AX40" s="184" t="str">
        <f>IFERROR(Inv_SY_B!AX40/Inv_SY_B!$CA40-1,"")</f>
        <v/>
      </c>
      <c r="AY40" s="184" t="str">
        <f>IFERROR(Inv_SY_B!AY40/Inv_SY_B!$CA40-1,"")</f>
        <v/>
      </c>
      <c r="AZ40" s="184" t="str">
        <f>IFERROR(Inv_SY_B!AZ40/Inv_SY_B!$CA40-1,"")</f>
        <v/>
      </c>
      <c r="BA40" s="184" t="str">
        <f>IFERROR(Inv_SY_B!BA40/Inv_SY_B!$CA40-1,"")</f>
        <v/>
      </c>
      <c r="BB40" s="184" t="str">
        <f>IFERROR(Inv_SY_B!BB40/Inv_SY_B!$CA40-1,"")</f>
        <v/>
      </c>
      <c r="BC40" s="184" t="str">
        <f>IFERROR(Inv_SY_B!BC40/Inv_SY_B!$CA40-1,"")</f>
        <v/>
      </c>
      <c r="BD40" s="184" t="str">
        <f>IFERROR(Inv_SY_B!BD40/Inv_SY_B!$CA40-1,"")</f>
        <v/>
      </c>
      <c r="BE40" s="184" t="str">
        <f>IFERROR(Inv_SY_B!BE40/Inv_SY_B!$CA40-1,"")</f>
        <v/>
      </c>
      <c r="BF40" s="184" t="str">
        <f>IFERROR(Inv_SY_B!BF40/Inv_SY_B!$CA40-1,"")</f>
        <v/>
      </c>
      <c r="BG40" s="184" t="str">
        <f>IFERROR(Inv_SY_B!BG40/Inv_SY_B!$CA40-1,"")</f>
        <v/>
      </c>
      <c r="BH40" s="184" t="str">
        <f>IFERROR(Inv_SY_B!BH40/Inv_SY_B!$CA40-1,"")</f>
        <v/>
      </c>
      <c r="BI40" s="184" t="str">
        <f>IFERROR(Inv_SY_B!BI40/Inv_SY_B!$CA40-1,"")</f>
        <v/>
      </c>
      <c r="BJ40" s="184" t="str">
        <f>IFERROR(Inv_SY_B!BJ40/Inv_SY_B!$CA40-1,"")</f>
        <v/>
      </c>
      <c r="BK40" s="184" t="str">
        <f>IFERROR(Inv_SY_B!BK40/Inv_SY_B!$CA40-1,"")</f>
        <v/>
      </c>
      <c r="BL40" s="184" t="str">
        <f>IFERROR(Inv_SY_B!BL40/Inv_SY_B!$CA40-1,"")</f>
        <v/>
      </c>
      <c r="BM40" s="184" t="str">
        <f>IFERROR(Inv_SY_B!BM40/Inv_SY_B!$CA40-1,"")</f>
        <v/>
      </c>
      <c r="BN40" s="184" t="str">
        <f>IFERROR(Inv_SY_B!BN40/Inv_SY_B!$CA40-1,"")</f>
        <v/>
      </c>
      <c r="BO40" s="184" t="str">
        <f>IFERROR(Inv_SY_B!BO40/Inv_SY_B!$CA40-1,"")</f>
        <v/>
      </c>
      <c r="BP40" s="184" t="str">
        <f>IFERROR(Inv_SY_B!BP40/Inv_SY_B!$CA40-1,"")</f>
        <v/>
      </c>
      <c r="BQ40" s="184" t="str">
        <f>IFERROR(Inv_SY_B!BQ40/Inv_SY_B!$CA40-1,"")</f>
        <v/>
      </c>
      <c r="BR40" s="184" t="str">
        <f>IFERROR(Inv_SY_B!BR40/Inv_SY_B!$CA40-1,"")</f>
        <v/>
      </c>
      <c r="BS40" s="184" t="str">
        <f>IFERROR(Inv_SY_B!BS40/Inv_SY_B!$CA40-1,"")</f>
        <v/>
      </c>
      <c r="BT40" s="184" t="str">
        <f>IFERROR(Inv_SY_B!BT40/Inv_SY_B!$CA40-1,"")</f>
        <v/>
      </c>
      <c r="BU40" s="184" t="str">
        <f>IFERROR(Inv_SY_B!BU40/Inv_SY_B!$CA40-1,"")</f>
        <v/>
      </c>
      <c r="BV40" s="184" t="str">
        <f>IFERROR(Inv_SY_B!BV40/Inv_SY_B!$CA40-1,"")</f>
        <v/>
      </c>
      <c r="BW40" s="184" t="str">
        <f>IFERROR(Inv_SY_B!BW40/Inv_SY_B!$CA40-1,"")</f>
        <v/>
      </c>
      <c r="BX40" s="184" t="str">
        <f>IFERROR(Inv_SY_B!BX40/Inv_SY_B!$CA40-1,"")</f>
        <v/>
      </c>
    </row>
    <row r="41" spans="1:76">
      <c r="B41" s="179">
        <f t="shared" si="2"/>
        <v>45865</v>
      </c>
      <c r="C41" s="184" t="str">
        <f>IFERROR(Inv_SY_B!C41/Inv_SY_B!$BY41-1,"")</f>
        <v/>
      </c>
      <c r="D41" s="184" t="str">
        <f>IFERROR(Inv_SY_B!D41/Inv_SY_B!$BY41-1,"")</f>
        <v/>
      </c>
      <c r="E41" s="184" t="str">
        <f>IFERROR(Inv_SY_B!E41/Inv_SY_B!$BY41-1,"")</f>
        <v/>
      </c>
      <c r="F41" s="184" t="str">
        <f>IFERROR(Inv_SY_B!F41/Inv_SY_B!$BY41-1,"")</f>
        <v/>
      </c>
      <c r="G41" s="184" t="str">
        <f>IFERROR(Inv_SY_B!G41/Inv_SY_B!$BY41-1,"")</f>
        <v/>
      </c>
      <c r="H41" s="184" t="str">
        <f>IFERROR(Inv_SY_B!H41/Inv_SY_B!$BY41-1,"")</f>
        <v/>
      </c>
      <c r="I41" s="184" t="str">
        <f>IFERROR(Inv_SY_B!I41/Inv_SY_B!$BY41-1,"")</f>
        <v/>
      </c>
      <c r="J41" s="184" t="str">
        <f>IFERROR(Inv_SY_B!J41/Inv_SY_B!$BY41-1,"")</f>
        <v/>
      </c>
      <c r="K41" s="184" t="str">
        <f>IFERROR(Inv_SY_B!K41/Inv_SY_B!$BY41-1,"")</f>
        <v/>
      </c>
      <c r="L41" s="184" t="str">
        <f>IFERROR(Inv_SY_B!L41/Inv_SY_B!$BY41-1,"")</f>
        <v/>
      </c>
      <c r="M41" s="184" t="str">
        <f>IFERROR(Inv_SY_B!M41/Inv_SY_B!$BY41-1,"")</f>
        <v/>
      </c>
      <c r="N41" s="184" t="str">
        <f>IFERROR(Inv_SY_B!N41/Inv_SY_B!$BY41-1,"")</f>
        <v/>
      </c>
      <c r="O41" s="184" t="str">
        <f>IFERROR(Inv_SY_B!O41/Inv_SY_B!$BY41-1,"")</f>
        <v/>
      </c>
      <c r="P41" s="184" t="str">
        <f>IFERROR(Inv_SY_B!P41/Inv_SY_B!$BY41-1,"")</f>
        <v/>
      </c>
      <c r="Q41" s="184" t="str">
        <f>IFERROR(Inv_SY_B!Q41/Inv_SY_B!$BY41-1,"")</f>
        <v/>
      </c>
      <c r="R41" s="184" t="str">
        <f>IFERROR(Inv_SY_B!R41/Inv_SY_B!$BY41-1,"")</f>
        <v/>
      </c>
      <c r="S41" s="184" t="str">
        <f>IFERROR(Inv_SY_B!S41/Inv_SY_B!$BY41-1,"")</f>
        <v/>
      </c>
      <c r="T41" s="184" t="str">
        <f>IFERROR(Inv_SY_B!T41/Inv_SY_B!$BY41-1,"")</f>
        <v/>
      </c>
      <c r="U41" s="184" t="str">
        <f>IFERROR(Inv_SY_B!U41/Inv_SY_B!$BY41-1,"")</f>
        <v/>
      </c>
      <c r="V41" s="184" t="str">
        <f>IFERROR(Inv_SY_B!V41/Inv_SY_B!$BY41-1,"")</f>
        <v/>
      </c>
      <c r="W41" s="184" t="str">
        <f>IFERROR(Inv_SY_B!W41/Inv_SY_B!$BY41-1,"")</f>
        <v/>
      </c>
      <c r="X41" s="184" t="str">
        <f>IFERROR(Inv_SY_B!X41/Inv_SY_B!$BY41-1,"")</f>
        <v/>
      </c>
      <c r="Y41" s="184" t="str">
        <f>IFERROR(Inv_SY_B!Y41/Inv_SY_B!$BY41-1,"")</f>
        <v/>
      </c>
      <c r="Z41" s="184" t="str">
        <f>IFERROR(Inv_SY_B!Z41/Inv_SY_B!$BY41-1,"")</f>
        <v/>
      </c>
      <c r="AA41" s="184" t="str">
        <f>IFERROR(Inv_SY_B!AA41/Inv_SY_B!$BY41-1,"")</f>
        <v/>
      </c>
      <c r="AB41" s="184" t="str">
        <f>IFERROR(Inv_SY_B!AB41/Inv_SY_B!$BY41-1,"")</f>
        <v/>
      </c>
      <c r="AC41" s="184" t="str">
        <f>IFERROR(Inv_SY_B!AC41/Inv_SY_B!$BY41-1,"")</f>
        <v/>
      </c>
      <c r="AD41" s="184" t="str">
        <f>IFERROR(Inv_SY_B!AD41/Inv_SY_B!$BY41-1,"")</f>
        <v/>
      </c>
      <c r="AE41" s="184" t="str">
        <f>IFERROR(Inv_SY_B!AE41/Inv_SY_B!$BZ41-1,"")</f>
        <v/>
      </c>
      <c r="AF41" s="184" t="str">
        <f>IFERROR(Inv_SY_B!AF41/Inv_SY_B!$BZ41-1,"")</f>
        <v/>
      </c>
      <c r="AG41" s="184" t="str">
        <f>IFERROR(Inv_SY_B!AG41/Inv_SY_B!$BZ41-1,"")</f>
        <v/>
      </c>
      <c r="AH41" s="184" t="str">
        <f>IFERROR(Inv_SY_B!AH41/Inv_SY_B!$BZ41-1,"")</f>
        <v/>
      </c>
      <c r="AI41" s="184" t="str">
        <f>IFERROR(Inv_SY_B!AI41/Inv_SY_B!$BZ41-1,"")</f>
        <v/>
      </c>
      <c r="AJ41" s="184" t="str">
        <f>IFERROR(Inv_SY_B!AJ41/Inv_SY_B!$BZ41-1,"")</f>
        <v/>
      </c>
      <c r="AK41" s="184" t="str">
        <f>IFERROR(Inv_SY_B!AK41/Inv_SY_B!$BZ41-1,"")</f>
        <v/>
      </c>
      <c r="AL41" s="184" t="str">
        <f>IFERROR(Inv_SY_B!AL41/Inv_SY_B!$BZ41-1,"")</f>
        <v/>
      </c>
      <c r="AM41" s="184" t="str">
        <f>IFERROR(Inv_SY_B!AM41/Inv_SY_B!$BZ41-1,"")</f>
        <v/>
      </c>
      <c r="AN41" s="184" t="str">
        <f>IFERROR(Inv_SY_B!AN41/Inv_SY_B!$BZ41-1,"")</f>
        <v/>
      </c>
      <c r="AO41" s="184" t="str">
        <f>IFERROR(Inv_SY_B!AO41/Inv_SY_B!$BZ41-1,"")</f>
        <v/>
      </c>
      <c r="AP41" s="184" t="str">
        <f>IFERROR(Inv_SY_B!AP41/Inv_SY_B!$BZ41-1,"")</f>
        <v/>
      </c>
      <c r="AQ41" s="184" t="str">
        <f>IFERROR(Inv_SY_B!AQ41/Inv_SY_B!$BZ41-1,"")</f>
        <v/>
      </c>
      <c r="AR41" s="184" t="str">
        <f>IFERROR(Inv_SY_B!AR41/Inv_SY_B!$BZ41-1,"")</f>
        <v/>
      </c>
      <c r="AS41" s="184" t="str">
        <f>IFERROR(Inv_SY_B!AS41/Inv_SY_B!$BZ41-1,"")</f>
        <v/>
      </c>
      <c r="AT41" s="184" t="str">
        <f>IFERROR(Inv_SY_B!AT41/Inv_SY_B!$BZ41-1,"")</f>
        <v/>
      </c>
      <c r="AU41" s="184" t="str">
        <f>IFERROR(Inv_SY_B!AU41/Inv_SY_B!$BZ41-1,"")</f>
        <v/>
      </c>
      <c r="AV41" s="184" t="str">
        <f>IFERROR(Inv_SY_B!AV41/Inv_SY_B!$BZ41-1,"")</f>
        <v/>
      </c>
      <c r="AW41" s="184" t="str">
        <f>IFERROR(Inv_SY_B!AW41/Inv_SY_B!$CA41-1,"")</f>
        <v/>
      </c>
      <c r="AX41" s="184" t="str">
        <f>IFERROR(Inv_SY_B!AX41/Inv_SY_B!$CA41-1,"")</f>
        <v/>
      </c>
      <c r="AY41" s="184" t="str">
        <f>IFERROR(Inv_SY_B!AY41/Inv_SY_B!$CA41-1,"")</f>
        <v/>
      </c>
      <c r="AZ41" s="184" t="str">
        <f>IFERROR(Inv_SY_B!AZ41/Inv_SY_B!$CA41-1,"")</f>
        <v/>
      </c>
      <c r="BA41" s="184" t="str">
        <f>IFERROR(Inv_SY_B!BA41/Inv_SY_B!$CA41-1,"")</f>
        <v/>
      </c>
      <c r="BB41" s="184" t="str">
        <f>IFERROR(Inv_SY_B!BB41/Inv_SY_B!$CA41-1,"")</f>
        <v/>
      </c>
      <c r="BC41" s="184" t="str">
        <f>IFERROR(Inv_SY_B!BC41/Inv_SY_B!$CA41-1,"")</f>
        <v/>
      </c>
      <c r="BD41" s="184" t="str">
        <f>IFERROR(Inv_SY_B!BD41/Inv_SY_B!$CA41-1,"")</f>
        <v/>
      </c>
      <c r="BE41" s="184" t="str">
        <f>IFERROR(Inv_SY_B!BE41/Inv_SY_B!$CA41-1,"")</f>
        <v/>
      </c>
      <c r="BF41" s="184" t="str">
        <f>IFERROR(Inv_SY_B!BF41/Inv_SY_B!$CA41-1,"")</f>
        <v/>
      </c>
      <c r="BG41" s="184" t="str">
        <f>IFERROR(Inv_SY_B!BG41/Inv_SY_B!$CA41-1,"")</f>
        <v/>
      </c>
      <c r="BH41" s="184" t="str">
        <f>IFERROR(Inv_SY_B!BH41/Inv_SY_B!$CA41-1,"")</f>
        <v/>
      </c>
      <c r="BI41" s="184" t="str">
        <f>IFERROR(Inv_SY_B!BI41/Inv_SY_B!$CA41-1,"")</f>
        <v/>
      </c>
      <c r="BJ41" s="184" t="str">
        <f>IFERROR(Inv_SY_B!BJ41/Inv_SY_B!$CA41-1,"")</f>
        <v/>
      </c>
      <c r="BK41" s="184" t="str">
        <f>IFERROR(Inv_SY_B!BK41/Inv_SY_B!$CA41-1,"")</f>
        <v/>
      </c>
      <c r="BL41" s="184" t="str">
        <f>IFERROR(Inv_SY_B!BL41/Inv_SY_B!$CA41-1,"")</f>
        <v/>
      </c>
      <c r="BM41" s="184" t="str">
        <f>IFERROR(Inv_SY_B!BM41/Inv_SY_B!$CA41-1,"")</f>
        <v/>
      </c>
      <c r="BN41" s="184" t="str">
        <f>IFERROR(Inv_SY_B!BN41/Inv_SY_B!$CA41-1,"")</f>
        <v/>
      </c>
      <c r="BO41" s="184" t="str">
        <f>IFERROR(Inv_SY_B!BO41/Inv_SY_B!$CA41-1,"")</f>
        <v/>
      </c>
      <c r="BP41" s="184" t="str">
        <f>IFERROR(Inv_SY_B!BP41/Inv_SY_B!$CA41-1,"")</f>
        <v/>
      </c>
      <c r="BQ41" s="184" t="str">
        <f>IFERROR(Inv_SY_B!BQ41/Inv_SY_B!$CA41-1,"")</f>
        <v/>
      </c>
      <c r="BR41" s="184" t="str">
        <f>IFERROR(Inv_SY_B!BR41/Inv_SY_B!$CA41-1,"")</f>
        <v/>
      </c>
      <c r="BS41" s="184" t="str">
        <f>IFERROR(Inv_SY_B!BS41/Inv_SY_B!$CA41-1,"")</f>
        <v/>
      </c>
      <c r="BT41" s="184" t="str">
        <f>IFERROR(Inv_SY_B!BT41/Inv_SY_B!$CA41-1,"")</f>
        <v/>
      </c>
      <c r="BU41" s="184" t="str">
        <f>IFERROR(Inv_SY_B!BU41/Inv_SY_B!$CA41-1,"")</f>
        <v/>
      </c>
      <c r="BV41" s="184" t="str">
        <f>IFERROR(Inv_SY_B!BV41/Inv_SY_B!$CA41-1,"")</f>
        <v/>
      </c>
      <c r="BW41" s="184" t="str">
        <f>IFERROR(Inv_SY_B!BW41/Inv_SY_B!$CA41-1,"")</f>
        <v/>
      </c>
      <c r="BX41" s="184" t="str">
        <f>IFERROR(Inv_SY_B!BX41/Inv_SY_B!$CA41-1,"")</f>
        <v/>
      </c>
    </row>
    <row r="42" spans="1:76">
      <c r="B42" s="179">
        <f t="shared" si="2"/>
        <v>45866</v>
      </c>
      <c r="C42" s="184" t="str">
        <f>IFERROR(Inv_SY_B!C42/Inv_SY_B!$BY42-1,"")</f>
        <v/>
      </c>
      <c r="D42" s="184" t="str">
        <f>IFERROR(Inv_SY_B!D42/Inv_SY_B!$BY42-1,"")</f>
        <v/>
      </c>
      <c r="E42" s="184" t="str">
        <f>IFERROR(Inv_SY_B!E42/Inv_SY_B!$BY42-1,"")</f>
        <v/>
      </c>
      <c r="F42" s="184" t="str">
        <f>IFERROR(Inv_SY_B!F42/Inv_SY_B!$BY42-1,"")</f>
        <v/>
      </c>
      <c r="G42" s="184" t="str">
        <f>IFERROR(Inv_SY_B!G42/Inv_SY_B!$BY42-1,"")</f>
        <v/>
      </c>
      <c r="H42" s="184" t="str">
        <f>IFERROR(Inv_SY_B!H42/Inv_SY_B!$BY42-1,"")</f>
        <v/>
      </c>
      <c r="I42" s="184" t="str">
        <f>IFERROR(Inv_SY_B!I42/Inv_SY_B!$BY42-1,"")</f>
        <v/>
      </c>
      <c r="J42" s="184" t="str">
        <f>IFERROR(Inv_SY_B!J42/Inv_SY_B!$BY42-1,"")</f>
        <v/>
      </c>
      <c r="K42" s="184" t="str">
        <f>IFERROR(Inv_SY_B!K42/Inv_SY_B!$BY42-1,"")</f>
        <v/>
      </c>
      <c r="L42" s="184" t="str">
        <f>IFERROR(Inv_SY_B!L42/Inv_SY_B!$BY42-1,"")</f>
        <v/>
      </c>
      <c r="M42" s="184" t="str">
        <f>IFERROR(Inv_SY_B!M42/Inv_SY_B!$BY42-1,"")</f>
        <v/>
      </c>
      <c r="N42" s="184" t="str">
        <f>IFERROR(Inv_SY_B!N42/Inv_SY_B!$BY42-1,"")</f>
        <v/>
      </c>
      <c r="O42" s="184" t="str">
        <f>IFERROR(Inv_SY_B!O42/Inv_SY_B!$BY42-1,"")</f>
        <v/>
      </c>
      <c r="P42" s="184" t="str">
        <f>IFERROR(Inv_SY_B!P42/Inv_SY_B!$BY42-1,"")</f>
        <v/>
      </c>
      <c r="Q42" s="184" t="str">
        <f>IFERROR(Inv_SY_B!Q42/Inv_SY_B!$BY42-1,"")</f>
        <v/>
      </c>
      <c r="R42" s="184" t="str">
        <f>IFERROR(Inv_SY_B!R42/Inv_SY_B!$BY42-1,"")</f>
        <v/>
      </c>
      <c r="S42" s="184" t="str">
        <f>IFERROR(Inv_SY_B!S42/Inv_SY_B!$BY42-1,"")</f>
        <v/>
      </c>
      <c r="T42" s="184" t="str">
        <f>IFERROR(Inv_SY_B!T42/Inv_SY_B!$BY42-1,"")</f>
        <v/>
      </c>
      <c r="U42" s="184" t="str">
        <f>IFERROR(Inv_SY_B!U42/Inv_SY_B!$BY42-1,"")</f>
        <v/>
      </c>
      <c r="V42" s="184" t="str">
        <f>IFERROR(Inv_SY_B!V42/Inv_SY_B!$BY42-1,"")</f>
        <v/>
      </c>
      <c r="W42" s="184" t="str">
        <f>IFERROR(Inv_SY_B!W42/Inv_SY_B!$BY42-1,"")</f>
        <v/>
      </c>
      <c r="X42" s="184" t="str">
        <f>IFERROR(Inv_SY_B!X42/Inv_SY_B!$BY42-1,"")</f>
        <v/>
      </c>
      <c r="Y42" s="184" t="str">
        <f>IFERROR(Inv_SY_B!Y42/Inv_SY_B!$BY42-1,"")</f>
        <v/>
      </c>
      <c r="Z42" s="184" t="str">
        <f>IFERROR(Inv_SY_B!Z42/Inv_SY_B!$BY42-1,"")</f>
        <v/>
      </c>
      <c r="AA42" s="184" t="str">
        <f>IFERROR(Inv_SY_B!AA42/Inv_SY_B!$BY42-1,"")</f>
        <v/>
      </c>
      <c r="AB42" s="184" t="str">
        <f>IFERROR(Inv_SY_B!AB42/Inv_SY_B!$BY42-1,"")</f>
        <v/>
      </c>
      <c r="AC42" s="184" t="str">
        <f>IFERROR(Inv_SY_B!AC42/Inv_SY_B!$BY42-1,"")</f>
        <v/>
      </c>
      <c r="AD42" s="184" t="str">
        <f>IFERROR(Inv_SY_B!AD42/Inv_SY_B!$BY42-1,"")</f>
        <v/>
      </c>
      <c r="AE42" s="184" t="str">
        <f>IFERROR(Inv_SY_B!AE42/Inv_SY_B!$BZ42-1,"")</f>
        <v/>
      </c>
      <c r="AF42" s="184" t="str">
        <f>IFERROR(Inv_SY_B!AF42/Inv_SY_B!$BZ42-1,"")</f>
        <v/>
      </c>
      <c r="AG42" s="184" t="str">
        <f>IFERROR(Inv_SY_B!AG42/Inv_SY_B!$BZ42-1,"")</f>
        <v/>
      </c>
      <c r="AH42" s="184" t="str">
        <f>IFERROR(Inv_SY_B!AH42/Inv_SY_B!$BZ42-1,"")</f>
        <v/>
      </c>
      <c r="AI42" s="184" t="str">
        <f>IFERROR(Inv_SY_B!AI42/Inv_SY_B!$BZ42-1,"")</f>
        <v/>
      </c>
      <c r="AJ42" s="184" t="str">
        <f>IFERROR(Inv_SY_B!AJ42/Inv_SY_B!$BZ42-1,"")</f>
        <v/>
      </c>
      <c r="AK42" s="184" t="str">
        <f>IFERROR(Inv_SY_B!AK42/Inv_SY_B!$BZ42-1,"")</f>
        <v/>
      </c>
      <c r="AL42" s="184" t="str">
        <f>IFERROR(Inv_SY_B!AL42/Inv_SY_B!$BZ42-1,"")</f>
        <v/>
      </c>
      <c r="AM42" s="184" t="str">
        <f>IFERROR(Inv_SY_B!AM42/Inv_SY_B!$BZ42-1,"")</f>
        <v/>
      </c>
      <c r="AN42" s="184" t="str">
        <f>IFERROR(Inv_SY_B!AN42/Inv_SY_B!$BZ42-1,"")</f>
        <v/>
      </c>
      <c r="AO42" s="184" t="str">
        <f>IFERROR(Inv_SY_B!AO42/Inv_SY_B!$BZ42-1,"")</f>
        <v/>
      </c>
      <c r="AP42" s="184" t="str">
        <f>IFERROR(Inv_SY_B!AP42/Inv_SY_B!$BZ42-1,"")</f>
        <v/>
      </c>
      <c r="AQ42" s="184" t="str">
        <f>IFERROR(Inv_SY_B!AQ42/Inv_SY_B!$BZ42-1,"")</f>
        <v/>
      </c>
      <c r="AR42" s="184" t="str">
        <f>IFERROR(Inv_SY_B!AR42/Inv_SY_B!$BZ42-1,"")</f>
        <v/>
      </c>
      <c r="AS42" s="184" t="str">
        <f>IFERROR(Inv_SY_B!AS42/Inv_SY_B!$BZ42-1,"")</f>
        <v/>
      </c>
      <c r="AT42" s="184" t="str">
        <f>IFERROR(Inv_SY_B!AT42/Inv_SY_B!$BZ42-1,"")</f>
        <v/>
      </c>
      <c r="AU42" s="184" t="str">
        <f>IFERROR(Inv_SY_B!AU42/Inv_SY_B!$BZ42-1,"")</f>
        <v/>
      </c>
      <c r="AV42" s="184" t="str">
        <f>IFERROR(Inv_SY_B!AV42/Inv_SY_B!$BZ42-1,"")</f>
        <v/>
      </c>
      <c r="AW42" s="184" t="str">
        <f>IFERROR(Inv_SY_B!AW42/Inv_SY_B!$CA42-1,"")</f>
        <v/>
      </c>
      <c r="AX42" s="184" t="str">
        <f>IFERROR(Inv_SY_B!AX42/Inv_SY_B!$CA42-1,"")</f>
        <v/>
      </c>
      <c r="AY42" s="184" t="str">
        <f>IFERROR(Inv_SY_B!AY42/Inv_SY_B!$CA42-1,"")</f>
        <v/>
      </c>
      <c r="AZ42" s="184" t="str">
        <f>IFERROR(Inv_SY_B!AZ42/Inv_SY_B!$CA42-1,"")</f>
        <v/>
      </c>
      <c r="BA42" s="184" t="str">
        <f>IFERROR(Inv_SY_B!BA42/Inv_SY_B!$CA42-1,"")</f>
        <v/>
      </c>
      <c r="BB42" s="184" t="str">
        <f>IFERROR(Inv_SY_B!BB42/Inv_SY_B!$CA42-1,"")</f>
        <v/>
      </c>
      <c r="BC42" s="184" t="str">
        <f>IFERROR(Inv_SY_B!BC42/Inv_SY_B!$CA42-1,"")</f>
        <v/>
      </c>
      <c r="BD42" s="184" t="str">
        <f>IFERROR(Inv_SY_B!BD42/Inv_SY_B!$CA42-1,"")</f>
        <v/>
      </c>
      <c r="BE42" s="184" t="str">
        <f>IFERROR(Inv_SY_B!BE42/Inv_SY_B!$CA42-1,"")</f>
        <v/>
      </c>
      <c r="BF42" s="184" t="str">
        <f>IFERROR(Inv_SY_B!BF42/Inv_SY_B!$CA42-1,"")</f>
        <v/>
      </c>
      <c r="BG42" s="184" t="str">
        <f>IFERROR(Inv_SY_B!BG42/Inv_SY_B!$CA42-1,"")</f>
        <v/>
      </c>
      <c r="BH42" s="184" t="str">
        <f>IFERROR(Inv_SY_B!BH42/Inv_SY_B!$CA42-1,"")</f>
        <v/>
      </c>
      <c r="BI42" s="184" t="str">
        <f>IFERROR(Inv_SY_B!BI42/Inv_SY_B!$CA42-1,"")</f>
        <v/>
      </c>
      <c r="BJ42" s="184" t="str">
        <f>IFERROR(Inv_SY_B!BJ42/Inv_SY_B!$CA42-1,"")</f>
        <v/>
      </c>
      <c r="BK42" s="184" t="str">
        <f>IFERROR(Inv_SY_B!BK42/Inv_SY_B!$CA42-1,"")</f>
        <v/>
      </c>
      <c r="BL42" s="184" t="str">
        <f>IFERROR(Inv_SY_B!BL42/Inv_SY_B!$CA42-1,"")</f>
        <v/>
      </c>
      <c r="BM42" s="184" t="str">
        <f>IFERROR(Inv_SY_B!BM42/Inv_SY_B!$CA42-1,"")</f>
        <v/>
      </c>
      <c r="BN42" s="184" t="str">
        <f>IFERROR(Inv_SY_B!BN42/Inv_SY_B!$CA42-1,"")</f>
        <v/>
      </c>
      <c r="BO42" s="184" t="str">
        <f>IFERROR(Inv_SY_B!BO42/Inv_SY_B!$CA42-1,"")</f>
        <v/>
      </c>
      <c r="BP42" s="184" t="str">
        <f>IFERROR(Inv_SY_B!BP42/Inv_SY_B!$CA42-1,"")</f>
        <v/>
      </c>
      <c r="BQ42" s="184" t="str">
        <f>IFERROR(Inv_SY_B!BQ42/Inv_SY_B!$CA42-1,"")</f>
        <v/>
      </c>
      <c r="BR42" s="184" t="str">
        <f>IFERROR(Inv_SY_B!BR42/Inv_SY_B!$CA42-1,"")</f>
        <v/>
      </c>
      <c r="BS42" s="184" t="str">
        <f>IFERROR(Inv_SY_B!BS42/Inv_SY_B!$CA42-1,"")</f>
        <v/>
      </c>
      <c r="BT42" s="184" t="str">
        <f>IFERROR(Inv_SY_B!BT42/Inv_SY_B!$CA42-1,"")</f>
        <v/>
      </c>
      <c r="BU42" s="184" t="str">
        <f>IFERROR(Inv_SY_B!BU42/Inv_SY_B!$CA42-1,"")</f>
        <v/>
      </c>
      <c r="BV42" s="184" t="str">
        <f>IFERROR(Inv_SY_B!BV42/Inv_SY_B!$CA42-1,"")</f>
        <v/>
      </c>
      <c r="BW42" s="184" t="str">
        <f>IFERROR(Inv_SY_B!BW42/Inv_SY_B!$CA42-1,"")</f>
        <v/>
      </c>
      <c r="BX42" s="184" t="str">
        <f>IFERROR(Inv_SY_B!BX42/Inv_SY_B!$CA42-1,"")</f>
        <v/>
      </c>
    </row>
    <row r="43" spans="1:76">
      <c r="B43" s="179">
        <f t="shared" si="2"/>
        <v>45867</v>
      </c>
      <c r="C43" s="184" t="str">
        <f>IFERROR(Inv_SY_B!C43/Inv_SY_B!$BY43-1,"")</f>
        <v/>
      </c>
      <c r="D43" s="184" t="str">
        <f>IFERROR(Inv_SY_B!D43/Inv_SY_B!$BY43-1,"")</f>
        <v/>
      </c>
      <c r="E43" s="184" t="str">
        <f>IFERROR(Inv_SY_B!E43/Inv_SY_B!$BY43-1,"")</f>
        <v/>
      </c>
      <c r="F43" s="184" t="str">
        <f>IFERROR(Inv_SY_B!F43/Inv_SY_B!$BY43-1,"")</f>
        <v/>
      </c>
      <c r="G43" s="184" t="str">
        <f>IFERROR(Inv_SY_B!G43/Inv_SY_B!$BY43-1,"")</f>
        <v/>
      </c>
      <c r="H43" s="184" t="str">
        <f>IFERROR(Inv_SY_B!H43/Inv_SY_B!$BY43-1,"")</f>
        <v/>
      </c>
      <c r="I43" s="184" t="str">
        <f>IFERROR(Inv_SY_B!I43/Inv_SY_B!$BY43-1,"")</f>
        <v/>
      </c>
      <c r="J43" s="184" t="str">
        <f>IFERROR(Inv_SY_B!J43/Inv_SY_B!$BY43-1,"")</f>
        <v/>
      </c>
      <c r="K43" s="184" t="str">
        <f>IFERROR(Inv_SY_B!K43/Inv_SY_B!$BY43-1,"")</f>
        <v/>
      </c>
      <c r="L43" s="184" t="str">
        <f>IFERROR(Inv_SY_B!L43/Inv_SY_B!$BY43-1,"")</f>
        <v/>
      </c>
      <c r="M43" s="184" t="str">
        <f>IFERROR(Inv_SY_B!M43/Inv_SY_B!$BY43-1,"")</f>
        <v/>
      </c>
      <c r="N43" s="184" t="str">
        <f>IFERROR(Inv_SY_B!N43/Inv_SY_B!$BY43-1,"")</f>
        <v/>
      </c>
      <c r="O43" s="184" t="str">
        <f>IFERROR(Inv_SY_B!O43/Inv_SY_B!$BY43-1,"")</f>
        <v/>
      </c>
      <c r="P43" s="184" t="str">
        <f>IFERROR(Inv_SY_B!P43/Inv_SY_B!$BY43-1,"")</f>
        <v/>
      </c>
      <c r="Q43" s="184" t="str">
        <f>IFERROR(Inv_SY_B!Q43/Inv_SY_B!$BY43-1,"")</f>
        <v/>
      </c>
      <c r="R43" s="184" t="str">
        <f>IFERROR(Inv_SY_B!R43/Inv_SY_B!$BY43-1,"")</f>
        <v/>
      </c>
      <c r="S43" s="184" t="str">
        <f>IFERROR(Inv_SY_B!S43/Inv_SY_B!$BY43-1,"")</f>
        <v/>
      </c>
      <c r="T43" s="184" t="str">
        <f>IFERROR(Inv_SY_B!T43/Inv_SY_B!$BY43-1,"")</f>
        <v/>
      </c>
      <c r="U43" s="184" t="str">
        <f>IFERROR(Inv_SY_B!U43/Inv_SY_B!$BY43-1,"")</f>
        <v/>
      </c>
      <c r="V43" s="184" t="str">
        <f>IFERROR(Inv_SY_B!V43/Inv_SY_B!$BY43-1,"")</f>
        <v/>
      </c>
      <c r="W43" s="184" t="str">
        <f>IFERROR(Inv_SY_B!W43/Inv_SY_B!$BY43-1,"")</f>
        <v/>
      </c>
      <c r="X43" s="184" t="str">
        <f>IFERROR(Inv_SY_B!X43/Inv_SY_B!$BY43-1,"")</f>
        <v/>
      </c>
      <c r="Y43" s="184" t="str">
        <f>IFERROR(Inv_SY_B!Y43/Inv_SY_B!$BY43-1,"")</f>
        <v/>
      </c>
      <c r="Z43" s="184" t="str">
        <f>IFERROR(Inv_SY_B!Z43/Inv_SY_B!$BY43-1,"")</f>
        <v/>
      </c>
      <c r="AA43" s="184" t="str">
        <f>IFERROR(Inv_SY_B!AA43/Inv_SY_B!$BY43-1,"")</f>
        <v/>
      </c>
      <c r="AB43" s="184" t="str">
        <f>IFERROR(Inv_SY_B!AB43/Inv_SY_B!$BY43-1,"")</f>
        <v/>
      </c>
      <c r="AC43" s="184" t="str">
        <f>IFERROR(Inv_SY_B!AC43/Inv_SY_B!$BY43-1,"")</f>
        <v/>
      </c>
      <c r="AD43" s="184" t="str">
        <f>IFERROR(Inv_SY_B!AD43/Inv_SY_B!$BY43-1,"")</f>
        <v/>
      </c>
      <c r="AE43" s="184" t="str">
        <f>IFERROR(Inv_SY_B!AE43/Inv_SY_B!$BZ43-1,"")</f>
        <v/>
      </c>
      <c r="AF43" s="184" t="str">
        <f>IFERROR(Inv_SY_B!AF43/Inv_SY_B!$BZ43-1,"")</f>
        <v/>
      </c>
      <c r="AG43" s="184" t="str">
        <f>IFERROR(Inv_SY_B!AG43/Inv_SY_B!$BZ43-1,"")</f>
        <v/>
      </c>
      <c r="AH43" s="184" t="str">
        <f>IFERROR(Inv_SY_B!AH43/Inv_SY_B!$BZ43-1,"")</f>
        <v/>
      </c>
      <c r="AI43" s="184" t="str">
        <f>IFERROR(Inv_SY_B!AI43/Inv_SY_B!$BZ43-1,"")</f>
        <v/>
      </c>
      <c r="AJ43" s="184" t="str">
        <f>IFERROR(Inv_SY_B!AJ43/Inv_SY_B!$BZ43-1,"")</f>
        <v/>
      </c>
      <c r="AK43" s="184" t="str">
        <f>IFERROR(Inv_SY_B!AK43/Inv_SY_B!$BZ43-1,"")</f>
        <v/>
      </c>
      <c r="AL43" s="184" t="str">
        <f>IFERROR(Inv_SY_B!AL43/Inv_SY_B!$BZ43-1,"")</f>
        <v/>
      </c>
      <c r="AM43" s="184" t="str">
        <f>IFERROR(Inv_SY_B!AM43/Inv_SY_B!$BZ43-1,"")</f>
        <v/>
      </c>
      <c r="AN43" s="184" t="str">
        <f>IFERROR(Inv_SY_B!AN43/Inv_SY_B!$BZ43-1,"")</f>
        <v/>
      </c>
      <c r="AO43" s="184" t="str">
        <f>IFERROR(Inv_SY_B!AO43/Inv_SY_B!$BZ43-1,"")</f>
        <v/>
      </c>
      <c r="AP43" s="184" t="str">
        <f>IFERROR(Inv_SY_B!AP43/Inv_SY_B!$BZ43-1,"")</f>
        <v/>
      </c>
      <c r="AQ43" s="184" t="str">
        <f>IFERROR(Inv_SY_B!AQ43/Inv_SY_B!$BZ43-1,"")</f>
        <v/>
      </c>
      <c r="AR43" s="184" t="str">
        <f>IFERROR(Inv_SY_B!AR43/Inv_SY_B!$BZ43-1,"")</f>
        <v/>
      </c>
      <c r="AS43" s="184" t="str">
        <f>IFERROR(Inv_SY_B!AS43/Inv_SY_B!$BZ43-1,"")</f>
        <v/>
      </c>
      <c r="AT43" s="184" t="str">
        <f>IFERROR(Inv_SY_B!AT43/Inv_SY_B!$BZ43-1,"")</f>
        <v/>
      </c>
      <c r="AU43" s="184" t="str">
        <f>IFERROR(Inv_SY_B!AU43/Inv_SY_B!$BZ43-1,"")</f>
        <v/>
      </c>
      <c r="AV43" s="184" t="str">
        <f>IFERROR(Inv_SY_B!AV43/Inv_SY_B!$BZ43-1,"")</f>
        <v/>
      </c>
      <c r="AW43" s="184" t="str">
        <f>IFERROR(Inv_SY_B!AW43/Inv_SY_B!$CA43-1,"")</f>
        <v/>
      </c>
      <c r="AX43" s="184" t="str">
        <f>IFERROR(Inv_SY_B!AX43/Inv_SY_B!$CA43-1,"")</f>
        <v/>
      </c>
      <c r="AY43" s="184" t="str">
        <f>IFERROR(Inv_SY_B!AY43/Inv_SY_B!$CA43-1,"")</f>
        <v/>
      </c>
      <c r="AZ43" s="184" t="str">
        <f>IFERROR(Inv_SY_B!AZ43/Inv_SY_B!$CA43-1,"")</f>
        <v/>
      </c>
      <c r="BA43" s="184" t="str">
        <f>IFERROR(Inv_SY_B!BA43/Inv_SY_B!$CA43-1,"")</f>
        <v/>
      </c>
      <c r="BB43" s="184" t="str">
        <f>IFERROR(Inv_SY_B!BB43/Inv_SY_B!$CA43-1,"")</f>
        <v/>
      </c>
      <c r="BC43" s="184" t="str">
        <f>IFERROR(Inv_SY_B!BC43/Inv_SY_B!$CA43-1,"")</f>
        <v/>
      </c>
      <c r="BD43" s="184" t="str">
        <f>IFERROR(Inv_SY_B!BD43/Inv_SY_B!$CA43-1,"")</f>
        <v/>
      </c>
      <c r="BE43" s="184" t="str">
        <f>IFERROR(Inv_SY_B!BE43/Inv_SY_B!$CA43-1,"")</f>
        <v/>
      </c>
      <c r="BF43" s="184" t="str">
        <f>IFERROR(Inv_SY_B!BF43/Inv_SY_B!$CA43-1,"")</f>
        <v/>
      </c>
      <c r="BG43" s="184" t="str">
        <f>IFERROR(Inv_SY_B!BG43/Inv_SY_B!$CA43-1,"")</f>
        <v/>
      </c>
      <c r="BH43" s="184" t="str">
        <f>IFERROR(Inv_SY_B!BH43/Inv_SY_B!$CA43-1,"")</f>
        <v/>
      </c>
      <c r="BI43" s="184" t="str">
        <f>IFERROR(Inv_SY_B!BI43/Inv_SY_B!$CA43-1,"")</f>
        <v/>
      </c>
      <c r="BJ43" s="184" t="str">
        <f>IFERROR(Inv_SY_B!BJ43/Inv_SY_B!$CA43-1,"")</f>
        <v/>
      </c>
      <c r="BK43" s="184" t="str">
        <f>IFERROR(Inv_SY_B!BK43/Inv_SY_B!$CA43-1,"")</f>
        <v/>
      </c>
      <c r="BL43" s="184" t="str">
        <f>IFERROR(Inv_SY_B!BL43/Inv_SY_B!$CA43-1,"")</f>
        <v/>
      </c>
      <c r="BM43" s="184" t="str">
        <f>IFERROR(Inv_SY_B!BM43/Inv_SY_B!$CA43-1,"")</f>
        <v/>
      </c>
      <c r="BN43" s="184" t="str">
        <f>IFERROR(Inv_SY_B!BN43/Inv_SY_B!$CA43-1,"")</f>
        <v/>
      </c>
      <c r="BO43" s="184" t="str">
        <f>IFERROR(Inv_SY_B!BO43/Inv_SY_B!$CA43-1,"")</f>
        <v/>
      </c>
      <c r="BP43" s="184" t="str">
        <f>IFERROR(Inv_SY_B!BP43/Inv_SY_B!$CA43-1,"")</f>
        <v/>
      </c>
      <c r="BQ43" s="184" t="str">
        <f>IFERROR(Inv_SY_B!BQ43/Inv_SY_B!$CA43-1,"")</f>
        <v/>
      </c>
      <c r="BR43" s="184" t="str">
        <f>IFERROR(Inv_SY_B!BR43/Inv_SY_B!$CA43-1,"")</f>
        <v/>
      </c>
      <c r="BS43" s="184" t="str">
        <f>IFERROR(Inv_SY_B!BS43/Inv_SY_B!$CA43-1,"")</f>
        <v/>
      </c>
      <c r="BT43" s="184" t="str">
        <f>IFERROR(Inv_SY_B!BT43/Inv_SY_B!$CA43-1,"")</f>
        <v/>
      </c>
      <c r="BU43" s="184" t="str">
        <f>IFERROR(Inv_SY_B!BU43/Inv_SY_B!$CA43-1,"")</f>
        <v/>
      </c>
      <c r="BV43" s="184" t="str">
        <f>IFERROR(Inv_SY_B!BV43/Inv_SY_B!$CA43-1,"")</f>
        <v/>
      </c>
      <c r="BW43" s="184" t="str">
        <f>IFERROR(Inv_SY_B!BW43/Inv_SY_B!$CA43-1,"")</f>
        <v/>
      </c>
      <c r="BX43" s="184" t="str">
        <f>IFERROR(Inv_SY_B!BX43/Inv_SY_B!$CA43-1,"")</f>
        <v/>
      </c>
    </row>
    <row r="44" spans="1:76">
      <c r="B44" s="179">
        <f t="shared" si="2"/>
        <v>45868</v>
      </c>
      <c r="C44" s="184" t="str">
        <f>IFERROR(Inv_SY_B!C44/Inv_SY_B!$BY44-1,"")</f>
        <v/>
      </c>
      <c r="D44" s="184" t="str">
        <f>IFERROR(Inv_SY_B!D44/Inv_SY_B!$BY44-1,"")</f>
        <v/>
      </c>
      <c r="E44" s="184" t="str">
        <f>IFERROR(Inv_SY_B!E44/Inv_SY_B!$BY44-1,"")</f>
        <v/>
      </c>
      <c r="F44" s="184" t="str">
        <f>IFERROR(Inv_SY_B!F44/Inv_SY_B!$BY44-1,"")</f>
        <v/>
      </c>
      <c r="G44" s="184" t="str">
        <f>IFERROR(Inv_SY_B!G44/Inv_SY_B!$BY44-1,"")</f>
        <v/>
      </c>
      <c r="H44" s="184" t="str">
        <f>IFERROR(Inv_SY_B!H44/Inv_SY_B!$BY44-1,"")</f>
        <v/>
      </c>
      <c r="I44" s="184" t="str">
        <f>IFERROR(Inv_SY_B!I44/Inv_SY_B!$BY44-1,"")</f>
        <v/>
      </c>
      <c r="J44" s="184" t="str">
        <f>IFERROR(Inv_SY_B!J44/Inv_SY_B!$BY44-1,"")</f>
        <v/>
      </c>
      <c r="K44" s="184" t="str">
        <f>IFERROR(Inv_SY_B!K44/Inv_SY_B!$BY44-1,"")</f>
        <v/>
      </c>
      <c r="L44" s="184" t="str">
        <f>IFERROR(Inv_SY_B!L44/Inv_SY_B!$BY44-1,"")</f>
        <v/>
      </c>
      <c r="M44" s="184" t="str">
        <f>IFERROR(Inv_SY_B!M44/Inv_SY_B!$BY44-1,"")</f>
        <v/>
      </c>
      <c r="N44" s="184" t="str">
        <f>IFERROR(Inv_SY_B!N44/Inv_SY_B!$BY44-1,"")</f>
        <v/>
      </c>
      <c r="O44" s="184" t="str">
        <f>IFERROR(Inv_SY_B!O44/Inv_SY_B!$BY44-1,"")</f>
        <v/>
      </c>
      <c r="P44" s="184" t="str">
        <f>IFERROR(Inv_SY_B!P44/Inv_SY_B!$BY44-1,"")</f>
        <v/>
      </c>
      <c r="Q44" s="184" t="str">
        <f>IFERROR(Inv_SY_B!Q44/Inv_SY_B!$BY44-1,"")</f>
        <v/>
      </c>
      <c r="R44" s="184" t="str">
        <f>IFERROR(Inv_SY_B!R44/Inv_SY_B!$BY44-1,"")</f>
        <v/>
      </c>
      <c r="S44" s="184" t="str">
        <f>IFERROR(Inv_SY_B!S44/Inv_SY_B!$BY44-1,"")</f>
        <v/>
      </c>
      <c r="T44" s="184" t="str">
        <f>IFERROR(Inv_SY_B!T44/Inv_SY_B!$BY44-1,"")</f>
        <v/>
      </c>
      <c r="U44" s="184" t="str">
        <f>IFERROR(Inv_SY_B!U44/Inv_SY_B!$BY44-1,"")</f>
        <v/>
      </c>
      <c r="V44" s="184" t="str">
        <f>IFERROR(Inv_SY_B!V44/Inv_SY_B!$BY44-1,"")</f>
        <v/>
      </c>
      <c r="W44" s="184" t="str">
        <f>IFERROR(Inv_SY_B!W44/Inv_SY_B!$BY44-1,"")</f>
        <v/>
      </c>
      <c r="X44" s="184" t="str">
        <f>IFERROR(Inv_SY_B!X44/Inv_SY_B!$BY44-1,"")</f>
        <v/>
      </c>
      <c r="Y44" s="184" t="str">
        <f>IFERROR(Inv_SY_B!Y44/Inv_SY_B!$BY44-1,"")</f>
        <v/>
      </c>
      <c r="Z44" s="184" t="str">
        <f>IFERROR(Inv_SY_B!Z44/Inv_SY_B!$BY44-1,"")</f>
        <v/>
      </c>
      <c r="AA44" s="184" t="str">
        <f>IFERROR(Inv_SY_B!AA44/Inv_SY_B!$BY44-1,"")</f>
        <v/>
      </c>
      <c r="AB44" s="184" t="str">
        <f>IFERROR(Inv_SY_B!AB44/Inv_SY_B!$BY44-1,"")</f>
        <v/>
      </c>
      <c r="AC44" s="184" t="str">
        <f>IFERROR(Inv_SY_B!AC44/Inv_SY_B!$BY44-1,"")</f>
        <v/>
      </c>
      <c r="AD44" s="184" t="str">
        <f>IFERROR(Inv_SY_B!AD44/Inv_SY_B!$BY44-1,"")</f>
        <v/>
      </c>
      <c r="AE44" s="184" t="str">
        <f>IFERROR(Inv_SY_B!AE44/Inv_SY_B!$BZ44-1,"")</f>
        <v/>
      </c>
      <c r="AF44" s="184" t="str">
        <f>IFERROR(Inv_SY_B!AF44/Inv_SY_B!$BZ44-1,"")</f>
        <v/>
      </c>
      <c r="AG44" s="184" t="str">
        <f>IFERROR(Inv_SY_B!AG44/Inv_SY_B!$BZ44-1,"")</f>
        <v/>
      </c>
      <c r="AH44" s="184" t="str">
        <f>IFERROR(Inv_SY_B!AH44/Inv_SY_B!$BZ44-1,"")</f>
        <v/>
      </c>
      <c r="AI44" s="184" t="str">
        <f>IFERROR(Inv_SY_B!AI44/Inv_SY_B!$BZ44-1,"")</f>
        <v/>
      </c>
      <c r="AJ44" s="184" t="str">
        <f>IFERROR(Inv_SY_B!AJ44/Inv_SY_B!$BZ44-1,"")</f>
        <v/>
      </c>
      <c r="AK44" s="184" t="str">
        <f>IFERROR(Inv_SY_B!AK44/Inv_SY_B!$BZ44-1,"")</f>
        <v/>
      </c>
      <c r="AL44" s="184" t="str">
        <f>IFERROR(Inv_SY_B!AL44/Inv_SY_B!$BZ44-1,"")</f>
        <v/>
      </c>
      <c r="AM44" s="184" t="str">
        <f>IFERROR(Inv_SY_B!AM44/Inv_SY_B!$BZ44-1,"")</f>
        <v/>
      </c>
      <c r="AN44" s="184" t="str">
        <f>IFERROR(Inv_SY_B!AN44/Inv_SY_B!$BZ44-1,"")</f>
        <v/>
      </c>
      <c r="AO44" s="184" t="str">
        <f>IFERROR(Inv_SY_B!AO44/Inv_SY_B!$BZ44-1,"")</f>
        <v/>
      </c>
      <c r="AP44" s="184" t="str">
        <f>IFERROR(Inv_SY_B!AP44/Inv_SY_B!$BZ44-1,"")</f>
        <v/>
      </c>
      <c r="AQ44" s="184" t="str">
        <f>IFERROR(Inv_SY_B!AQ44/Inv_SY_B!$BZ44-1,"")</f>
        <v/>
      </c>
      <c r="AR44" s="184" t="str">
        <f>IFERROR(Inv_SY_B!AR44/Inv_SY_B!$BZ44-1,"")</f>
        <v/>
      </c>
      <c r="AS44" s="184" t="str">
        <f>IFERROR(Inv_SY_B!AS44/Inv_SY_B!$BZ44-1,"")</f>
        <v/>
      </c>
      <c r="AT44" s="184" t="str">
        <f>IFERROR(Inv_SY_B!AT44/Inv_SY_B!$BZ44-1,"")</f>
        <v/>
      </c>
      <c r="AU44" s="184" t="str">
        <f>IFERROR(Inv_SY_B!AU44/Inv_SY_B!$BZ44-1,"")</f>
        <v/>
      </c>
      <c r="AV44" s="184" t="str">
        <f>IFERROR(Inv_SY_B!AV44/Inv_SY_B!$BZ44-1,"")</f>
        <v/>
      </c>
      <c r="AW44" s="184" t="str">
        <f>IFERROR(Inv_SY_B!AW44/Inv_SY_B!$CA44-1,"")</f>
        <v/>
      </c>
      <c r="AX44" s="184" t="str">
        <f>IFERROR(Inv_SY_B!AX44/Inv_SY_B!$CA44-1,"")</f>
        <v/>
      </c>
      <c r="AY44" s="184" t="str">
        <f>IFERROR(Inv_SY_B!AY44/Inv_SY_B!$CA44-1,"")</f>
        <v/>
      </c>
      <c r="AZ44" s="184" t="str">
        <f>IFERROR(Inv_SY_B!AZ44/Inv_SY_B!$CA44-1,"")</f>
        <v/>
      </c>
      <c r="BA44" s="184" t="str">
        <f>IFERROR(Inv_SY_B!BA44/Inv_SY_B!$CA44-1,"")</f>
        <v/>
      </c>
      <c r="BB44" s="184" t="str">
        <f>IFERROR(Inv_SY_B!BB44/Inv_SY_B!$CA44-1,"")</f>
        <v/>
      </c>
      <c r="BC44" s="184" t="str">
        <f>IFERROR(Inv_SY_B!BC44/Inv_SY_B!$CA44-1,"")</f>
        <v/>
      </c>
      <c r="BD44" s="184" t="str">
        <f>IFERROR(Inv_SY_B!BD44/Inv_SY_B!$CA44-1,"")</f>
        <v/>
      </c>
      <c r="BE44" s="184" t="str">
        <f>IFERROR(Inv_SY_B!BE44/Inv_SY_B!$CA44-1,"")</f>
        <v/>
      </c>
      <c r="BF44" s="184" t="str">
        <f>IFERROR(Inv_SY_B!BF44/Inv_SY_B!$CA44-1,"")</f>
        <v/>
      </c>
      <c r="BG44" s="184" t="str">
        <f>IFERROR(Inv_SY_B!BG44/Inv_SY_B!$CA44-1,"")</f>
        <v/>
      </c>
      <c r="BH44" s="184" t="str">
        <f>IFERROR(Inv_SY_B!BH44/Inv_SY_B!$CA44-1,"")</f>
        <v/>
      </c>
      <c r="BI44" s="184" t="str">
        <f>IFERROR(Inv_SY_B!BI44/Inv_SY_B!$CA44-1,"")</f>
        <v/>
      </c>
      <c r="BJ44" s="184" t="str">
        <f>IFERROR(Inv_SY_B!BJ44/Inv_SY_B!$CA44-1,"")</f>
        <v/>
      </c>
      <c r="BK44" s="184" t="str">
        <f>IFERROR(Inv_SY_B!BK44/Inv_SY_B!$CA44-1,"")</f>
        <v/>
      </c>
      <c r="BL44" s="184" t="str">
        <f>IFERROR(Inv_SY_B!BL44/Inv_SY_B!$CA44-1,"")</f>
        <v/>
      </c>
      <c r="BM44" s="184" t="str">
        <f>IFERROR(Inv_SY_B!BM44/Inv_SY_B!$CA44-1,"")</f>
        <v/>
      </c>
      <c r="BN44" s="184" t="str">
        <f>IFERROR(Inv_SY_B!BN44/Inv_SY_B!$CA44-1,"")</f>
        <v/>
      </c>
      <c r="BO44" s="184" t="str">
        <f>IFERROR(Inv_SY_B!BO44/Inv_SY_B!$CA44-1,"")</f>
        <v/>
      </c>
      <c r="BP44" s="184" t="str">
        <f>IFERROR(Inv_SY_B!BP44/Inv_SY_B!$CA44-1,"")</f>
        <v/>
      </c>
      <c r="BQ44" s="184" t="str">
        <f>IFERROR(Inv_SY_B!BQ44/Inv_SY_B!$CA44-1,"")</f>
        <v/>
      </c>
      <c r="BR44" s="184" t="str">
        <f>IFERROR(Inv_SY_B!BR44/Inv_SY_B!$CA44-1,"")</f>
        <v/>
      </c>
      <c r="BS44" s="184" t="str">
        <f>IFERROR(Inv_SY_B!BS44/Inv_SY_B!$CA44-1,"")</f>
        <v/>
      </c>
      <c r="BT44" s="184" t="str">
        <f>IFERROR(Inv_SY_B!BT44/Inv_SY_B!$CA44-1,"")</f>
        <v/>
      </c>
      <c r="BU44" s="184" t="str">
        <f>IFERROR(Inv_SY_B!BU44/Inv_SY_B!$CA44-1,"")</f>
        <v/>
      </c>
      <c r="BV44" s="184" t="str">
        <f>IFERROR(Inv_SY_B!BV44/Inv_SY_B!$CA44-1,"")</f>
        <v/>
      </c>
      <c r="BW44" s="184" t="str">
        <f>IFERROR(Inv_SY_B!BW44/Inv_SY_B!$CA44-1,"")</f>
        <v/>
      </c>
      <c r="BX44" s="184" t="str">
        <f>IFERROR(Inv_SY_B!BX44/Inv_SY_B!$CA44-1,"")</f>
        <v/>
      </c>
    </row>
    <row r="45" spans="1:76">
      <c r="B45" s="179">
        <f t="shared" si="2"/>
        <v>45869</v>
      </c>
      <c r="C45" s="184" t="str">
        <f>IFERROR(Inv_SY_B!C45/Inv_SY_B!$BY45-1,"")</f>
        <v/>
      </c>
      <c r="D45" s="184" t="str">
        <f>IFERROR(Inv_SY_B!D45/Inv_SY_B!$BY45-1,"")</f>
        <v/>
      </c>
      <c r="E45" s="184" t="str">
        <f>IFERROR(Inv_SY_B!E45/Inv_SY_B!$BY45-1,"")</f>
        <v/>
      </c>
      <c r="F45" s="184" t="str">
        <f>IFERROR(Inv_SY_B!F45/Inv_SY_B!$BY45-1,"")</f>
        <v/>
      </c>
      <c r="G45" s="184" t="str">
        <f>IFERROR(Inv_SY_B!G45/Inv_SY_B!$BY45-1,"")</f>
        <v/>
      </c>
      <c r="H45" s="184" t="str">
        <f>IFERROR(Inv_SY_B!H45/Inv_SY_B!$BY45-1,"")</f>
        <v/>
      </c>
      <c r="I45" s="184" t="str">
        <f>IFERROR(Inv_SY_B!I45/Inv_SY_B!$BY45-1,"")</f>
        <v/>
      </c>
      <c r="J45" s="184" t="str">
        <f>IFERROR(Inv_SY_B!J45/Inv_SY_B!$BY45-1,"")</f>
        <v/>
      </c>
      <c r="K45" s="184" t="str">
        <f>IFERROR(Inv_SY_B!K45/Inv_SY_B!$BY45-1,"")</f>
        <v/>
      </c>
      <c r="L45" s="184" t="str">
        <f>IFERROR(Inv_SY_B!L45/Inv_SY_B!$BY45-1,"")</f>
        <v/>
      </c>
      <c r="M45" s="184" t="str">
        <f>IFERROR(Inv_SY_B!M45/Inv_SY_B!$BY45-1,"")</f>
        <v/>
      </c>
      <c r="N45" s="184" t="str">
        <f>IFERROR(Inv_SY_B!N45/Inv_SY_B!$BY45-1,"")</f>
        <v/>
      </c>
      <c r="O45" s="184" t="str">
        <f>IFERROR(Inv_SY_B!O45/Inv_SY_B!$BY45-1,"")</f>
        <v/>
      </c>
      <c r="P45" s="184" t="str">
        <f>IFERROR(Inv_SY_B!P45/Inv_SY_B!$BY45-1,"")</f>
        <v/>
      </c>
      <c r="Q45" s="184" t="str">
        <f>IFERROR(Inv_SY_B!Q45/Inv_SY_B!$BY45-1,"")</f>
        <v/>
      </c>
      <c r="R45" s="184" t="str">
        <f>IFERROR(Inv_SY_B!R45/Inv_SY_B!$BY45-1,"")</f>
        <v/>
      </c>
      <c r="S45" s="184" t="str">
        <f>IFERROR(Inv_SY_B!S45/Inv_SY_B!$BY45-1,"")</f>
        <v/>
      </c>
      <c r="T45" s="184" t="str">
        <f>IFERROR(Inv_SY_B!T45/Inv_SY_B!$BY45-1,"")</f>
        <v/>
      </c>
      <c r="U45" s="184" t="str">
        <f>IFERROR(Inv_SY_B!U45/Inv_SY_B!$BY45-1,"")</f>
        <v/>
      </c>
      <c r="V45" s="184" t="str">
        <f>IFERROR(Inv_SY_B!V45/Inv_SY_B!$BY45-1,"")</f>
        <v/>
      </c>
      <c r="W45" s="184" t="str">
        <f>IFERROR(Inv_SY_B!W45/Inv_SY_B!$BY45-1,"")</f>
        <v/>
      </c>
      <c r="X45" s="184" t="str">
        <f>IFERROR(Inv_SY_B!X45/Inv_SY_B!$BY45-1,"")</f>
        <v/>
      </c>
      <c r="Y45" s="184" t="str">
        <f>IFERROR(Inv_SY_B!Y45/Inv_SY_B!$BY45-1,"")</f>
        <v/>
      </c>
      <c r="Z45" s="184" t="str">
        <f>IFERROR(Inv_SY_B!Z45/Inv_SY_B!$BY45-1,"")</f>
        <v/>
      </c>
      <c r="AA45" s="184" t="str">
        <f>IFERROR(Inv_SY_B!AA45/Inv_SY_B!$BY45-1,"")</f>
        <v/>
      </c>
      <c r="AB45" s="184" t="str">
        <f>IFERROR(Inv_SY_B!AB45/Inv_SY_B!$BY45-1,"")</f>
        <v/>
      </c>
      <c r="AC45" s="184" t="str">
        <f>IFERROR(Inv_SY_B!AC45/Inv_SY_B!$BY45-1,"")</f>
        <v/>
      </c>
      <c r="AD45" s="184" t="str">
        <f>IFERROR(Inv_SY_B!AD45/Inv_SY_B!$BY45-1,"")</f>
        <v/>
      </c>
      <c r="AE45" s="184" t="str">
        <f>IFERROR(Inv_SY_B!AE45/Inv_SY_B!$BZ45-1,"")</f>
        <v/>
      </c>
      <c r="AF45" s="184" t="str">
        <f>IFERROR(Inv_SY_B!AF45/Inv_SY_B!$BZ45-1,"")</f>
        <v/>
      </c>
      <c r="AG45" s="184" t="str">
        <f>IFERROR(Inv_SY_B!AG45/Inv_SY_B!$BZ45-1,"")</f>
        <v/>
      </c>
      <c r="AH45" s="184" t="str">
        <f>IFERROR(Inv_SY_B!AH45/Inv_SY_B!$BZ45-1,"")</f>
        <v/>
      </c>
      <c r="AI45" s="184" t="str">
        <f>IFERROR(Inv_SY_B!AI45/Inv_SY_B!$BZ45-1,"")</f>
        <v/>
      </c>
      <c r="AJ45" s="184" t="str">
        <f>IFERROR(Inv_SY_B!AJ45/Inv_SY_B!$BZ45-1,"")</f>
        <v/>
      </c>
      <c r="AK45" s="184" t="str">
        <f>IFERROR(Inv_SY_B!AK45/Inv_SY_B!$BZ45-1,"")</f>
        <v/>
      </c>
      <c r="AL45" s="184" t="str">
        <f>IFERROR(Inv_SY_B!AL45/Inv_SY_B!$BZ45-1,"")</f>
        <v/>
      </c>
      <c r="AM45" s="184" t="str">
        <f>IFERROR(Inv_SY_B!AM45/Inv_SY_B!$BZ45-1,"")</f>
        <v/>
      </c>
      <c r="AN45" s="184" t="str">
        <f>IFERROR(Inv_SY_B!AN45/Inv_SY_B!$BZ45-1,"")</f>
        <v/>
      </c>
      <c r="AO45" s="184" t="str">
        <f>IFERROR(Inv_SY_B!AO45/Inv_SY_B!$BZ45-1,"")</f>
        <v/>
      </c>
      <c r="AP45" s="184" t="str">
        <f>IFERROR(Inv_SY_B!AP45/Inv_SY_B!$BZ45-1,"")</f>
        <v/>
      </c>
      <c r="AQ45" s="184" t="str">
        <f>IFERROR(Inv_SY_B!AQ45/Inv_SY_B!$BZ45-1,"")</f>
        <v/>
      </c>
      <c r="AR45" s="184" t="str">
        <f>IFERROR(Inv_SY_B!AR45/Inv_SY_B!$BZ45-1,"")</f>
        <v/>
      </c>
      <c r="AS45" s="184" t="str">
        <f>IFERROR(Inv_SY_B!AS45/Inv_SY_B!$BZ45-1,"")</f>
        <v/>
      </c>
      <c r="AT45" s="184" t="str">
        <f>IFERROR(Inv_SY_B!AT45/Inv_SY_B!$BZ45-1,"")</f>
        <v/>
      </c>
      <c r="AU45" s="184" t="str">
        <f>IFERROR(Inv_SY_B!AU45/Inv_SY_B!$BZ45-1,"")</f>
        <v/>
      </c>
      <c r="AV45" s="184" t="str">
        <f>IFERROR(Inv_SY_B!AV45/Inv_SY_B!$BZ45-1,"")</f>
        <v/>
      </c>
      <c r="AW45" s="184" t="str">
        <f>IFERROR(Inv_SY_B!AW45/Inv_SY_B!$CA45-1,"")</f>
        <v/>
      </c>
      <c r="AX45" s="184" t="str">
        <f>IFERROR(Inv_SY_B!AX45/Inv_SY_B!$CA45-1,"")</f>
        <v/>
      </c>
      <c r="AY45" s="184" t="str">
        <f>IFERROR(Inv_SY_B!AY45/Inv_SY_B!$CA45-1,"")</f>
        <v/>
      </c>
      <c r="AZ45" s="184" t="str">
        <f>IFERROR(Inv_SY_B!AZ45/Inv_SY_B!$CA45-1,"")</f>
        <v/>
      </c>
      <c r="BA45" s="184" t="str">
        <f>IFERROR(Inv_SY_B!BA45/Inv_SY_B!$CA45-1,"")</f>
        <v/>
      </c>
      <c r="BB45" s="184" t="str">
        <f>IFERROR(Inv_SY_B!BB45/Inv_SY_B!$CA45-1,"")</f>
        <v/>
      </c>
      <c r="BC45" s="184" t="str">
        <f>IFERROR(Inv_SY_B!BC45/Inv_SY_B!$CA45-1,"")</f>
        <v/>
      </c>
      <c r="BD45" s="184" t="str">
        <f>IFERROR(Inv_SY_B!BD45/Inv_SY_B!$CA45-1,"")</f>
        <v/>
      </c>
      <c r="BE45" s="184" t="str">
        <f>IFERROR(Inv_SY_B!BE45/Inv_SY_B!$CA45-1,"")</f>
        <v/>
      </c>
      <c r="BF45" s="184" t="str">
        <f>IFERROR(Inv_SY_B!BF45/Inv_SY_B!$CA45-1,"")</f>
        <v/>
      </c>
      <c r="BG45" s="184" t="str">
        <f>IFERROR(Inv_SY_B!BG45/Inv_SY_B!$CA45-1,"")</f>
        <v/>
      </c>
      <c r="BH45" s="184" t="str">
        <f>IFERROR(Inv_SY_B!BH45/Inv_SY_B!$CA45-1,"")</f>
        <v/>
      </c>
      <c r="BI45" s="184" t="str">
        <f>IFERROR(Inv_SY_B!BI45/Inv_SY_B!$CA45-1,"")</f>
        <v/>
      </c>
      <c r="BJ45" s="184" t="str">
        <f>IFERROR(Inv_SY_B!BJ45/Inv_SY_B!$CA45-1,"")</f>
        <v/>
      </c>
      <c r="BK45" s="184" t="str">
        <f>IFERROR(Inv_SY_B!BK45/Inv_SY_B!$CA45-1,"")</f>
        <v/>
      </c>
      <c r="BL45" s="184" t="str">
        <f>IFERROR(Inv_SY_B!BL45/Inv_SY_B!$CA45-1,"")</f>
        <v/>
      </c>
      <c r="BM45" s="184" t="str">
        <f>IFERROR(Inv_SY_B!BM45/Inv_SY_B!$CA45-1,"")</f>
        <v/>
      </c>
      <c r="BN45" s="184" t="str">
        <f>IFERROR(Inv_SY_B!BN45/Inv_SY_B!$CA45-1,"")</f>
        <v/>
      </c>
      <c r="BO45" s="184" t="str">
        <f>IFERROR(Inv_SY_B!BO45/Inv_SY_B!$CA45-1,"")</f>
        <v/>
      </c>
      <c r="BP45" s="184" t="str">
        <f>IFERROR(Inv_SY_B!BP45/Inv_SY_B!$CA45-1,"")</f>
        <v/>
      </c>
      <c r="BQ45" s="184" t="str">
        <f>IFERROR(Inv_SY_B!BQ45/Inv_SY_B!$CA45-1,"")</f>
        <v/>
      </c>
      <c r="BR45" s="184" t="str">
        <f>IFERROR(Inv_SY_B!BR45/Inv_SY_B!$CA45-1,"")</f>
        <v/>
      </c>
      <c r="BS45" s="184" t="str">
        <f>IFERROR(Inv_SY_B!BS45/Inv_SY_B!$CA45-1,"")</f>
        <v/>
      </c>
      <c r="BT45" s="184" t="str">
        <f>IFERROR(Inv_SY_B!BT45/Inv_SY_B!$CA45-1,"")</f>
        <v/>
      </c>
      <c r="BU45" s="184" t="str">
        <f>IFERROR(Inv_SY_B!BU45/Inv_SY_B!$CA45-1,"")</f>
        <v/>
      </c>
      <c r="BV45" s="184" t="str">
        <f>IFERROR(Inv_SY_B!BV45/Inv_SY_B!$CA45-1,"")</f>
        <v/>
      </c>
      <c r="BW45" s="184" t="str">
        <f>IFERROR(Inv_SY_B!BW45/Inv_SY_B!$CA45-1,"")</f>
        <v/>
      </c>
      <c r="BX45" s="184" t="str">
        <f>IFERROR(Inv_SY_B!BX45/Inv_SY_B!$CA45-1,"")</f>
        <v/>
      </c>
    </row>
    <row r="46" spans="1:76">
      <c r="B46" s="179">
        <f t="shared" si="2"/>
        <v>45870</v>
      </c>
      <c r="C46" s="184" t="str">
        <f>IFERROR(Inv_SY_B!C46/Inv_SY_B!$BY46-1,"")</f>
        <v/>
      </c>
      <c r="D46" s="184" t="str">
        <f>IFERROR(Inv_SY_B!D46/Inv_SY_B!$BY46-1,"")</f>
        <v/>
      </c>
      <c r="E46" s="184" t="str">
        <f>IFERROR(Inv_SY_B!E46/Inv_SY_B!$BY46-1,"")</f>
        <v/>
      </c>
      <c r="F46" s="184" t="str">
        <f>IFERROR(Inv_SY_B!F46/Inv_SY_B!$BY46-1,"")</f>
        <v/>
      </c>
      <c r="G46" s="184" t="str">
        <f>IFERROR(Inv_SY_B!G46/Inv_SY_B!$BY46-1,"")</f>
        <v/>
      </c>
      <c r="H46" s="184" t="str">
        <f>IFERROR(Inv_SY_B!H46/Inv_SY_B!$BY46-1,"")</f>
        <v/>
      </c>
      <c r="I46" s="184" t="str">
        <f>IFERROR(Inv_SY_B!I46/Inv_SY_B!$BY46-1,"")</f>
        <v/>
      </c>
      <c r="J46" s="184" t="str">
        <f>IFERROR(Inv_SY_B!J46/Inv_SY_B!$BY46-1,"")</f>
        <v/>
      </c>
      <c r="K46" s="184" t="str">
        <f>IFERROR(Inv_SY_B!K46/Inv_SY_B!$BY46-1,"")</f>
        <v/>
      </c>
      <c r="L46" s="184" t="str">
        <f>IFERROR(Inv_SY_B!L46/Inv_SY_B!$BY46-1,"")</f>
        <v/>
      </c>
      <c r="M46" s="184" t="str">
        <f>IFERROR(Inv_SY_B!M46/Inv_SY_B!$BY46-1,"")</f>
        <v/>
      </c>
      <c r="N46" s="184" t="str">
        <f>IFERROR(Inv_SY_B!N46/Inv_SY_B!$BY46-1,"")</f>
        <v/>
      </c>
      <c r="O46" s="184" t="str">
        <f>IFERROR(Inv_SY_B!O46/Inv_SY_B!$BY46-1,"")</f>
        <v/>
      </c>
      <c r="P46" s="184" t="str">
        <f>IFERROR(Inv_SY_B!P46/Inv_SY_B!$BY46-1,"")</f>
        <v/>
      </c>
      <c r="Q46" s="184" t="str">
        <f>IFERROR(Inv_SY_B!Q46/Inv_SY_B!$BY46-1,"")</f>
        <v/>
      </c>
      <c r="R46" s="184" t="str">
        <f>IFERROR(Inv_SY_B!R46/Inv_SY_B!$BY46-1,"")</f>
        <v/>
      </c>
      <c r="S46" s="184" t="str">
        <f>IFERROR(Inv_SY_B!S46/Inv_SY_B!$BY46-1,"")</f>
        <v/>
      </c>
      <c r="T46" s="184" t="str">
        <f>IFERROR(Inv_SY_B!T46/Inv_SY_B!$BY46-1,"")</f>
        <v/>
      </c>
      <c r="U46" s="184" t="str">
        <f>IFERROR(Inv_SY_B!U46/Inv_SY_B!$BY46-1,"")</f>
        <v/>
      </c>
      <c r="V46" s="184" t="str">
        <f>IFERROR(Inv_SY_B!V46/Inv_SY_B!$BY46-1,"")</f>
        <v/>
      </c>
      <c r="W46" s="184" t="str">
        <f>IFERROR(Inv_SY_B!W46/Inv_SY_B!$BY46-1,"")</f>
        <v/>
      </c>
      <c r="X46" s="184" t="str">
        <f>IFERROR(Inv_SY_B!X46/Inv_SY_B!$BY46-1,"")</f>
        <v/>
      </c>
      <c r="Y46" s="184" t="str">
        <f>IFERROR(Inv_SY_B!Y46/Inv_SY_B!$BY46-1,"")</f>
        <v/>
      </c>
      <c r="Z46" s="184" t="str">
        <f>IFERROR(Inv_SY_B!Z46/Inv_SY_B!$BY46-1,"")</f>
        <v/>
      </c>
      <c r="AA46" s="184" t="str">
        <f>IFERROR(Inv_SY_B!AA46/Inv_SY_B!$BY46-1,"")</f>
        <v/>
      </c>
      <c r="AB46" s="184" t="str">
        <f>IFERROR(Inv_SY_B!AB46/Inv_SY_B!$BY46-1,"")</f>
        <v/>
      </c>
      <c r="AC46" s="184" t="str">
        <f>IFERROR(Inv_SY_B!AC46/Inv_SY_B!$BY46-1,"")</f>
        <v/>
      </c>
      <c r="AD46" s="184" t="str">
        <f>IFERROR(Inv_SY_B!AD46/Inv_SY_B!$BY46-1,"")</f>
        <v/>
      </c>
      <c r="AE46" s="184" t="str">
        <f>IFERROR(Inv_SY_B!AE46/Inv_SY_B!$BZ46-1,"")</f>
        <v/>
      </c>
      <c r="AF46" s="184" t="str">
        <f>IFERROR(Inv_SY_B!AF46/Inv_SY_B!$BZ46-1,"")</f>
        <v/>
      </c>
      <c r="AG46" s="184" t="str">
        <f>IFERROR(Inv_SY_B!AG46/Inv_SY_B!$BZ46-1,"")</f>
        <v/>
      </c>
      <c r="AH46" s="184" t="str">
        <f>IFERROR(Inv_SY_B!AH46/Inv_SY_B!$BZ46-1,"")</f>
        <v/>
      </c>
      <c r="AI46" s="184" t="str">
        <f>IFERROR(Inv_SY_B!AI46/Inv_SY_B!$BZ46-1,"")</f>
        <v/>
      </c>
      <c r="AJ46" s="184" t="str">
        <f>IFERROR(Inv_SY_B!AJ46/Inv_SY_B!$BZ46-1,"")</f>
        <v/>
      </c>
      <c r="AK46" s="184" t="str">
        <f>IFERROR(Inv_SY_B!AK46/Inv_SY_B!$BZ46-1,"")</f>
        <v/>
      </c>
      <c r="AL46" s="184" t="str">
        <f>IFERROR(Inv_SY_B!AL46/Inv_SY_B!$BZ46-1,"")</f>
        <v/>
      </c>
      <c r="AM46" s="184" t="str">
        <f>IFERROR(Inv_SY_B!AM46/Inv_SY_B!$BZ46-1,"")</f>
        <v/>
      </c>
      <c r="AN46" s="184" t="str">
        <f>IFERROR(Inv_SY_B!AN46/Inv_SY_B!$BZ46-1,"")</f>
        <v/>
      </c>
      <c r="AO46" s="184" t="str">
        <f>IFERROR(Inv_SY_B!AO46/Inv_SY_B!$BZ46-1,"")</f>
        <v/>
      </c>
      <c r="AP46" s="184" t="str">
        <f>IFERROR(Inv_SY_B!AP46/Inv_SY_B!$BZ46-1,"")</f>
        <v/>
      </c>
      <c r="AQ46" s="184" t="str">
        <f>IFERROR(Inv_SY_B!AQ46/Inv_SY_B!$BZ46-1,"")</f>
        <v/>
      </c>
      <c r="AR46" s="184" t="str">
        <f>IFERROR(Inv_SY_B!AR46/Inv_SY_B!$BZ46-1,"")</f>
        <v/>
      </c>
      <c r="AS46" s="184" t="str">
        <f>IFERROR(Inv_SY_B!AS46/Inv_SY_B!$BZ46-1,"")</f>
        <v/>
      </c>
      <c r="AT46" s="184" t="str">
        <f>IFERROR(Inv_SY_B!AT46/Inv_SY_B!$BZ46-1,"")</f>
        <v/>
      </c>
      <c r="AU46" s="184" t="str">
        <f>IFERROR(Inv_SY_B!AU46/Inv_SY_B!$BZ46-1,"")</f>
        <v/>
      </c>
      <c r="AV46" s="184" t="str">
        <f>IFERROR(Inv_SY_B!AV46/Inv_SY_B!$BZ46-1,"")</f>
        <v/>
      </c>
      <c r="AW46" s="184" t="str">
        <f>IFERROR(Inv_SY_B!AW46/Inv_SY_B!$CA46-1,"")</f>
        <v/>
      </c>
      <c r="AX46" s="184" t="str">
        <f>IFERROR(Inv_SY_B!AX46/Inv_SY_B!$CA46-1,"")</f>
        <v/>
      </c>
      <c r="AY46" s="184" t="str">
        <f>IFERROR(Inv_SY_B!AY46/Inv_SY_B!$CA46-1,"")</f>
        <v/>
      </c>
      <c r="AZ46" s="184" t="str">
        <f>IFERROR(Inv_SY_B!AZ46/Inv_SY_B!$CA46-1,"")</f>
        <v/>
      </c>
      <c r="BA46" s="184" t="str">
        <f>IFERROR(Inv_SY_B!BA46/Inv_SY_B!$CA46-1,"")</f>
        <v/>
      </c>
      <c r="BB46" s="184" t="str">
        <f>IFERROR(Inv_SY_B!BB46/Inv_SY_B!$CA46-1,"")</f>
        <v/>
      </c>
      <c r="BC46" s="184" t="str">
        <f>IFERROR(Inv_SY_B!BC46/Inv_SY_B!$CA46-1,"")</f>
        <v/>
      </c>
      <c r="BD46" s="184" t="str">
        <f>IFERROR(Inv_SY_B!BD46/Inv_SY_B!$CA46-1,"")</f>
        <v/>
      </c>
      <c r="BE46" s="184" t="str">
        <f>IFERROR(Inv_SY_B!BE46/Inv_SY_B!$CA46-1,"")</f>
        <v/>
      </c>
      <c r="BF46" s="184" t="str">
        <f>IFERROR(Inv_SY_B!BF46/Inv_SY_B!$CA46-1,"")</f>
        <v/>
      </c>
      <c r="BG46" s="184" t="str">
        <f>IFERROR(Inv_SY_B!BG46/Inv_SY_B!$CA46-1,"")</f>
        <v/>
      </c>
      <c r="BH46" s="184" t="str">
        <f>IFERROR(Inv_SY_B!BH46/Inv_SY_B!$CA46-1,"")</f>
        <v/>
      </c>
      <c r="BI46" s="184" t="str">
        <f>IFERROR(Inv_SY_B!BI46/Inv_SY_B!$CA46-1,"")</f>
        <v/>
      </c>
      <c r="BJ46" s="184" t="str">
        <f>IFERROR(Inv_SY_B!BJ46/Inv_SY_B!$CA46-1,"")</f>
        <v/>
      </c>
      <c r="BK46" s="184" t="str">
        <f>IFERROR(Inv_SY_B!BK46/Inv_SY_B!$CA46-1,"")</f>
        <v/>
      </c>
      <c r="BL46" s="184" t="str">
        <f>IFERROR(Inv_SY_B!BL46/Inv_SY_B!$CA46-1,"")</f>
        <v/>
      </c>
      <c r="BM46" s="184" t="str">
        <f>IFERROR(Inv_SY_B!BM46/Inv_SY_B!$CA46-1,"")</f>
        <v/>
      </c>
      <c r="BN46" s="184" t="str">
        <f>IFERROR(Inv_SY_B!BN46/Inv_SY_B!$CA46-1,"")</f>
        <v/>
      </c>
      <c r="BO46" s="184" t="str">
        <f>IFERROR(Inv_SY_B!BO46/Inv_SY_B!$CA46-1,"")</f>
        <v/>
      </c>
      <c r="BP46" s="184" t="str">
        <f>IFERROR(Inv_SY_B!BP46/Inv_SY_B!$CA46-1,"")</f>
        <v/>
      </c>
      <c r="BQ46" s="184" t="str">
        <f>IFERROR(Inv_SY_B!BQ46/Inv_SY_B!$CA46-1,"")</f>
        <v/>
      </c>
      <c r="BR46" s="184" t="str">
        <f>IFERROR(Inv_SY_B!BR46/Inv_SY_B!$CA46-1,"")</f>
        <v/>
      </c>
      <c r="BS46" s="184" t="str">
        <f>IFERROR(Inv_SY_B!BS46/Inv_SY_B!$CA46-1,"")</f>
        <v/>
      </c>
      <c r="BT46" s="184" t="str">
        <f>IFERROR(Inv_SY_B!BT46/Inv_SY_B!$CA46-1,"")</f>
        <v/>
      </c>
      <c r="BU46" s="184" t="str">
        <f>IFERROR(Inv_SY_B!BU46/Inv_SY_B!$CA46-1,"")</f>
        <v/>
      </c>
      <c r="BV46" s="184" t="str">
        <f>IFERROR(Inv_SY_B!BV46/Inv_SY_B!$CA46-1,"")</f>
        <v/>
      </c>
      <c r="BW46" s="184" t="str">
        <f>IFERROR(Inv_SY_B!BW46/Inv_SY_B!$CA46-1,"")</f>
        <v/>
      </c>
      <c r="BX46" s="184" t="str">
        <f>IFERROR(Inv_SY_B!BX46/Inv_SY_B!$CA46-1,"")</f>
        <v/>
      </c>
    </row>
    <row r="47" spans="1:76">
      <c r="B47" s="179">
        <f t="shared" si="2"/>
        <v>45871</v>
      </c>
      <c r="C47" s="184" t="str">
        <f>IFERROR(Inv_SY_B!C47/Inv_SY_B!$BY47-1,"")</f>
        <v/>
      </c>
      <c r="D47" s="184" t="str">
        <f>IFERROR(Inv_SY_B!D47/Inv_SY_B!$BY47-1,"")</f>
        <v/>
      </c>
      <c r="E47" s="184" t="str">
        <f>IFERROR(Inv_SY_B!E47/Inv_SY_B!$BY47-1,"")</f>
        <v/>
      </c>
      <c r="F47" s="184" t="str">
        <f>IFERROR(Inv_SY_B!F47/Inv_SY_B!$BY47-1,"")</f>
        <v/>
      </c>
      <c r="G47" s="184" t="str">
        <f>IFERROR(Inv_SY_B!G47/Inv_SY_B!$BY47-1,"")</f>
        <v/>
      </c>
      <c r="H47" s="184" t="str">
        <f>IFERROR(Inv_SY_B!H47/Inv_SY_B!$BY47-1,"")</f>
        <v/>
      </c>
      <c r="I47" s="184" t="str">
        <f>IFERROR(Inv_SY_B!I47/Inv_SY_B!$BY47-1,"")</f>
        <v/>
      </c>
      <c r="J47" s="184" t="str">
        <f>IFERROR(Inv_SY_B!J47/Inv_SY_B!$BY47-1,"")</f>
        <v/>
      </c>
      <c r="K47" s="184" t="str">
        <f>IFERROR(Inv_SY_B!K47/Inv_SY_B!$BY47-1,"")</f>
        <v/>
      </c>
      <c r="L47" s="184" t="str">
        <f>IFERROR(Inv_SY_B!L47/Inv_SY_B!$BY47-1,"")</f>
        <v/>
      </c>
      <c r="M47" s="184" t="str">
        <f>IFERROR(Inv_SY_B!M47/Inv_SY_B!$BY47-1,"")</f>
        <v/>
      </c>
      <c r="N47" s="184" t="str">
        <f>IFERROR(Inv_SY_B!N47/Inv_SY_B!$BY47-1,"")</f>
        <v/>
      </c>
      <c r="O47" s="184" t="str">
        <f>IFERROR(Inv_SY_B!O47/Inv_SY_B!$BY47-1,"")</f>
        <v/>
      </c>
      <c r="P47" s="184" t="str">
        <f>IFERROR(Inv_SY_B!P47/Inv_SY_B!$BY47-1,"")</f>
        <v/>
      </c>
      <c r="Q47" s="184" t="str">
        <f>IFERROR(Inv_SY_B!Q47/Inv_SY_B!$BY47-1,"")</f>
        <v/>
      </c>
      <c r="R47" s="184" t="str">
        <f>IFERROR(Inv_SY_B!R47/Inv_SY_B!$BY47-1,"")</f>
        <v/>
      </c>
      <c r="S47" s="184" t="str">
        <f>IFERROR(Inv_SY_B!S47/Inv_SY_B!$BY47-1,"")</f>
        <v/>
      </c>
      <c r="T47" s="184" t="str">
        <f>IFERROR(Inv_SY_B!T47/Inv_SY_B!$BY47-1,"")</f>
        <v/>
      </c>
      <c r="U47" s="184" t="str">
        <f>IFERROR(Inv_SY_B!U47/Inv_SY_B!$BY47-1,"")</f>
        <v/>
      </c>
      <c r="V47" s="184" t="str">
        <f>IFERROR(Inv_SY_B!V47/Inv_SY_B!$BY47-1,"")</f>
        <v/>
      </c>
      <c r="W47" s="184" t="str">
        <f>IFERROR(Inv_SY_B!W47/Inv_SY_B!$BY47-1,"")</f>
        <v/>
      </c>
      <c r="X47" s="184" t="str">
        <f>IFERROR(Inv_SY_B!X47/Inv_SY_B!$BY47-1,"")</f>
        <v/>
      </c>
      <c r="Y47" s="184" t="str">
        <f>IFERROR(Inv_SY_B!Y47/Inv_SY_B!$BY47-1,"")</f>
        <v/>
      </c>
      <c r="Z47" s="184" t="str">
        <f>IFERROR(Inv_SY_B!Z47/Inv_SY_B!$BY47-1,"")</f>
        <v/>
      </c>
      <c r="AA47" s="184" t="str">
        <f>IFERROR(Inv_SY_B!AA47/Inv_SY_B!$BY47-1,"")</f>
        <v/>
      </c>
      <c r="AB47" s="184" t="str">
        <f>IFERROR(Inv_SY_B!AB47/Inv_SY_B!$BY47-1,"")</f>
        <v/>
      </c>
      <c r="AC47" s="184" t="str">
        <f>IFERROR(Inv_SY_B!AC47/Inv_SY_B!$BY47-1,"")</f>
        <v/>
      </c>
      <c r="AD47" s="184" t="str">
        <f>IFERROR(Inv_SY_B!AD47/Inv_SY_B!$BY47-1,"")</f>
        <v/>
      </c>
      <c r="AE47" s="184" t="str">
        <f>IFERROR(Inv_SY_B!AE47/Inv_SY_B!$BZ47-1,"")</f>
        <v/>
      </c>
      <c r="AF47" s="184" t="str">
        <f>IFERROR(Inv_SY_B!AF47/Inv_SY_B!$BZ47-1,"")</f>
        <v/>
      </c>
      <c r="AG47" s="184" t="str">
        <f>IFERROR(Inv_SY_B!AG47/Inv_SY_B!$BZ47-1,"")</f>
        <v/>
      </c>
      <c r="AH47" s="184" t="str">
        <f>IFERROR(Inv_SY_B!AH47/Inv_SY_B!$BZ47-1,"")</f>
        <v/>
      </c>
      <c r="AI47" s="184" t="str">
        <f>IFERROR(Inv_SY_B!AI47/Inv_SY_B!$BZ47-1,"")</f>
        <v/>
      </c>
      <c r="AJ47" s="184" t="str">
        <f>IFERROR(Inv_SY_B!AJ47/Inv_SY_B!$BZ47-1,"")</f>
        <v/>
      </c>
      <c r="AK47" s="184" t="str">
        <f>IFERROR(Inv_SY_B!AK47/Inv_SY_B!$BZ47-1,"")</f>
        <v/>
      </c>
      <c r="AL47" s="184" t="str">
        <f>IFERROR(Inv_SY_B!AL47/Inv_SY_B!$BZ47-1,"")</f>
        <v/>
      </c>
      <c r="AM47" s="184" t="str">
        <f>IFERROR(Inv_SY_B!AM47/Inv_SY_B!$BZ47-1,"")</f>
        <v/>
      </c>
      <c r="AN47" s="184" t="str">
        <f>IFERROR(Inv_SY_B!AN47/Inv_SY_B!$BZ47-1,"")</f>
        <v/>
      </c>
      <c r="AO47" s="184" t="str">
        <f>IFERROR(Inv_SY_B!AO47/Inv_SY_B!$BZ47-1,"")</f>
        <v/>
      </c>
      <c r="AP47" s="184" t="str">
        <f>IFERROR(Inv_SY_B!AP47/Inv_SY_B!$BZ47-1,"")</f>
        <v/>
      </c>
      <c r="AQ47" s="184" t="str">
        <f>IFERROR(Inv_SY_B!AQ47/Inv_SY_B!$BZ47-1,"")</f>
        <v/>
      </c>
      <c r="AR47" s="184" t="str">
        <f>IFERROR(Inv_SY_B!AR47/Inv_SY_B!$BZ47-1,"")</f>
        <v/>
      </c>
      <c r="AS47" s="184" t="str">
        <f>IFERROR(Inv_SY_B!AS47/Inv_SY_B!$BZ47-1,"")</f>
        <v/>
      </c>
      <c r="AT47" s="184" t="str">
        <f>IFERROR(Inv_SY_B!AT47/Inv_SY_B!$BZ47-1,"")</f>
        <v/>
      </c>
      <c r="AU47" s="184" t="str">
        <f>IFERROR(Inv_SY_B!AU47/Inv_SY_B!$BZ47-1,"")</f>
        <v/>
      </c>
      <c r="AV47" s="184" t="str">
        <f>IFERROR(Inv_SY_B!AV47/Inv_SY_B!$BZ47-1,"")</f>
        <v/>
      </c>
      <c r="AW47" s="184" t="str">
        <f>IFERROR(Inv_SY_B!AW47/Inv_SY_B!$CA47-1,"")</f>
        <v/>
      </c>
      <c r="AX47" s="184" t="str">
        <f>IFERROR(Inv_SY_B!AX47/Inv_SY_B!$CA47-1,"")</f>
        <v/>
      </c>
      <c r="AY47" s="184" t="str">
        <f>IFERROR(Inv_SY_B!AY47/Inv_SY_B!$CA47-1,"")</f>
        <v/>
      </c>
      <c r="AZ47" s="184" t="str">
        <f>IFERROR(Inv_SY_B!AZ47/Inv_SY_B!$CA47-1,"")</f>
        <v/>
      </c>
      <c r="BA47" s="184" t="str">
        <f>IFERROR(Inv_SY_B!BA47/Inv_SY_B!$CA47-1,"")</f>
        <v/>
      </c>
      <c r="BB47" s="184" t="str">
        <f>IFERROR(Inv_SY_B!BB47/Inv_SY_B!$CA47-1,"")</f>
        <v/>
      </c>
      <c r="BC47" s="184" t="str">
        <f>IFERROR(Inv_SY_B!BC47/Inv_SY_B!$CA47-1,"")</f>
        <v/>
      </c>
      <c r="BD47" s="184" t="str">
        <f>IFERROR(Inv_SY_B!BD47/Inv_SY_B!$CA47-1,"")</f>
        <v/>
      </c>
      <c r="BE47" s="184" t="str">
        <f>IFERROR(Inv_SY_B!BE47/Inv_SY_B!$CA47-1,"")</f>
        <v/>
      </c>
      <c r="BF47" s="184" t="str">
        <f>IFERROR(Inv_SY_B!BF47/Inv_SY_B!$CA47-1,"")</f>
        <v/>
      </c>
      <c r="BG47" s="184" t="str">
        <f>IFERROR(Inv_SY_B!BG47/Inv_SY_B!$CA47-1,"")</f>
        <v/>
      </c>
      <c r="BH47" s="184" t="str">
        <f>IFERROR(Inv_SY_B!BH47/Inv_SY_B!$CA47-1,"")</f>
        <v/>
      </c>
      <c r="BI47" s="184" t="str">
        <f>IFERROR(Inv_SY_B!BI47/Inv_SY_B!$CA47-1,"")</f>
        <v/>
      </c>
      <c r="BJ47" s="184" t="str">
        <f>IFERROR(Inv_SY_B!BJ47/Inv_SY_B!$CA47-1,"")</f>
        <v/>
      </c>
      <c r="BK47" s="184" t="str">
        <f>IFERROR(Inv_SY_B!BK47/Inv_SY_B!$CA47-1,"")</f>
        <v/>
      </c>
      <c r="BL47" s="184" t="str">
        <f>IFERROR(Inv_SY_B!BL47/Inv_SY_B!$CA47-1,"")</f>
        <v/>
      </c>
      <c r="BM47" s="184" t="str">
        <f>IFERROR(Inv_SY_B!BM47/Inv_SY_B!$CA47-1,"")</f>
        <v/>
      </c>
      <c r="BN47" s="184" t="str">
        <f>IFERROR(Inv_SY_B!BN47/Inv_SY_B!$CA47-1,"")</f>
        <v/>
      </c>
      <c r="BO47" s="184" t="str">
        <f>IFERROR(Inv_SY_B!BO47/Inv_SY_B!$CA47-1,"")</f>
        <v/>
      </c>
      <c r="BP47" s="184" t="str">
        <f>IFERROR(Inv_SY_B!BP47/Inv_SY_B!$CA47-1,"")</f>
        <v/>
      </c>
      <c r="BQ47" s="184" t="str">
        <f>IFERROR(Inv_SY_B!BQ47/Inv_SY_B!$CA47-1,"")</f>
        <v/>
      </c>
      <c r="BR47" s="184" t="str">
        <f>IFERROR(Inv_SY_B!BR47/Inv_SY_B!$CA47-1,"")</f>
        <v/>
      </c>
      <c r="BS47" s="184" t="str">
        <f>IFERROR(Inv_SY_B!BS47/Inv_SY_B!$CA47-1,"")</f>
        <v/>
      </c>
      <c r="BT47" s="184" t="str">
        <f>IFERROR(Inv_SY_B!BT47/Inv_SY_B!$CA47-1,"")</f>
        <v/>
      </c>
      <c r="BU47" s="184" t="str">
        <f>IFERROR(Inv_SY_B!BU47/Inv_SY_B!$CA47-1,"")</f>
        <v/>
      </c>
      <c r="BV47" s="184" t="str">
        <f>IFERROR(Inv_SY_B!BV47/Inv_SY_B!$CA47-1,"")</f>
        <v/>
      </c>
      <c r="BW47" s="184" t="str">
        <f>IFERROR(Inv_SY_B!BW47/Inv_SY_B!$CA47-1,"")</f>
        <v/>
      </c>
      <c r="BX47" s="184" t="str">
        <f>IFERROR(Inv_SY_B!BX47/Inv_SY_B!$CA47-1,"")</f>
        <v/>
      </c>
    </row>
    <row r="48" spans="1:76">
      <c r="B48" s="179">
        <f t="shared" si="2"/>
        <v>45872</v>
      </c>
      <c r="C48" s="184" t="str">
        <f>IFERROR(Inv_SY_B!C48/Inv_SY_B!$BY48-1,"")</f>
        <v/>
      </c>
      <c r="D48" s="184" t="str">
        <f>IFERROR(Inv_SY_B!D48/Inv_SY_B!$BY48-1,"")</f>
        <v/>
      </c>
      <c r="E48" s="184" t="str">
        <f>IFERROR(Inv_SY_B!E48/Inv_SY_B!$BY48-1,"")</f>
        <v/>
      </c>
      <c r="F48" s="184" t="str">
        <f>IFERROR(Inv_SY_B!F48/Inv_SY_B!$BY48-1,"")</f>
        <v/>
      </c>
      <c r="G48" s="184" t="str">
        <f>IFERROR(Inv_SY_B!G48/Inv_SY_B!$BY48-1,"")</f>
        <v/>
      </c>
      <c r="H48" s="184" t="str">
        <f>IFERROR(Inv_SY_B!H48/Inv_SY_B!$BY48-1,"")</f>
        <v/>
      </c>
      <c r="I48" s="184" t="str">
        <f>IFERROR(Inv_SY_B!I48/Inv_SY_B!$BY48-1,"")</f>
        <v/>
      </c>
      <c r="J48" s="184" t="str">
        <f>IFERROR(Inv_SY_B!J48/Inv_SY_B!$BY48-1,"")</f>
        <v/>
      </c>
      <c r="K48" s="184" t="str">
        <f>IFERROR(Inv_SY_B!K48/Inv_SY_B!$BY48-1,"")</f>
        <v/>
      </c>
      <c r="L48" s="184" t="str">
        <f>IFERROR(Inv_SY_B!L48/Inv_SY_B!$BY48-1,"")</f>
        <v/>
      </c>
      <c r="M48" s="184" t="str">
        <f>IFERROR(Inv_SY_B!M48/Inv_SY_B!$BY48-1,"")</f>
        <v/>
      </c>
      <c r="N48" s="184" t="str">
        <f>IFERROR(Inv_SY_B!N48/Inv_SY_B!$BY48-1,"")</f>
        <v/>
      </c>
      <c r="O48" s="184" t="str">
        <f>IFERROR(Inv_SY_B!O48/Inv_SY_B!$BY48-1,"")</f>
        <v/>
      </c>
      <c r="P48" s="184" t="str">
        <f>IFERROR(Inv_SY_B!P48/Inv_SY_B!$BY48-1,"")</f>
        <v/>
      </c>
      <c r="Q48" s="184" t="str">
        <f>IFERROR(Inv_SY_B!Q48/Inv_SY_B!$BY48-1,"")</f>
        <v/>
      </c>
      <c r="R48" s="184" t="str">
        <f>IFERROR(Inv_SY_B!R48/Inv_SY_B!$BY48-1,"")</f>
        <v/>
      </c>
      <c r="S48" s="184" t="str">
        <f>IFERROR(Inv_SY_B!S48/Inv_SY_B!$BY48-1,"")</f>
        <v/>
      </c>
      <c r="T48" s="184" t="str">
        <f>IFERROR(Inv_SY_B!T48/Inv_SY_B!$BY48-1,"")</f>
        <v/>
      </c>
      <c r="U48" s="184" t="str">
        <f>IFERROR(Inv_SY_B!U48/Inv_SY_B!$BY48-1,"")</f>
        <v/>
      </c>
      <c r="V48" s="184" t="str">
        <f>IFERROR(Inv_SY_B!V48/Inv_SY_B!$BY48-1,"")</f>
        <v/>
      </c>
      <c r="W48" s="184" t="str">
        <f>IFERROR(Inv_SY_B!W48/Inv_SY_B!$BY48-1,"")</f>
        <v/>
      </c>
      <c r="X48" s="184" t="str">
        <f>IFERROR(Inv_SY_B!X48/Inv_SY_B!$BY48-1,"")</f>
        <v/>
      </c>
      <c r="Y48" s="184" t="str">
        <f>IFERROR(Inv_SY_B!Y48/Inv_SY_B!$BY48-1,"")</f>
        <v/>
      </c>
      <c r="Z48" s="184" t="str">
        <f>IFERROR(Inv_SY_B!Z48/Inv_SY_B!$BY48-1,"")</f>
        <v/>
      </c>
      <c r="AA48" s="184" t="str">
        <f>IFERROR(Inv_SY_B!AA48/Inv_SY_B!$BY48-1,"")</f>
        <v/>
      </c>
      <c r="AB48" s="184" t="str">
        <f>IFERROR(Inv_SY_B!AB48/Inv_SY_B!$BY48-1,"")</f>
        <v/>
      </c>
      <c r="AC48" s="184" t="str">
        <f>IFERROR(Inv_SY_B!AC48/Inv_SY_B!$BY48-1,"")</f>
        <v/>
      </c>
      <c r="AD48" s="184" t="str">
        <f>IFERROR(Inv_SY_B!AD48/Inv_SY_B!$BY48-1,"")</f>
        <v/>
      </c>
      <c r="AE48" s="184" t="str">
        <f>IFERROR(Inv_SY_B!AE48/Inv_SY_B!$BZ48-1,"")</f>
        <v/>
      </c>
      <c r="AF48" s="184" t="str">
        <f>IFERROR(Inv_SY_B!AF48/Inv_SY_B!$BZ48-1,"")</f>
        <v/>
      </c>
      <c r="AG48" s="184" t="str">
        <f>IFERROR(Inv_SY_B!AG48/Inv_SY_B!$BZ48-1,"")</f>
        <v/>
      </c>
      <c r="AH48" s="184" t="str">
        <f>IFERROR(Inv_SY_B!AH48/Inv_SY_B!$BZ48-1,"")</f>
        <v/>
      </c>
      <c r="AI48" s="184" t="str">
        <f>IFERROR(Inv_SY_B!AI48/Inv_SY_B!$BZ48-1,"")</f>
        <v/>
      </c>
      <c r="AJ48" s="184" t="str">
        <f>IFERROR(Inv_SY_B!AJ48/Inv_SY_B!$BZ48-1,"")</f>
        <v/>
      </c>
      <c r="AK48" s="184" t="str">
        <f>IFERROR(Inv_SY_B!AK48/Inv_SY_B!$BZ48-1,"")</f>
        <v/>
      </c>
      <c r="AL48" s="184" t="str">
        <f>IFERROR(Inv_SY_B!AL48/Inv_SY_B!$BZ48-1,"")</f>
        <v/>
      </c>
      <c r="AM48" s="184" t="str">
        <f>IFERROR(Inv_SY_B!AM48/Inv_SY_B!$BZ48-1,"")</f>
        <v/>
      </c>
      <c r="AN48" s="184" t="str">
        <f>IFERROR(Inv_SY_B!AN48/Inv_SY_B!$BZ48-1,"")</f>
        <v/>
      </c>
      <c r="AO48" s="184" t="str">
        <f>IFERROR(Inv_SY_B!AO48/Inv_SY_B!$BZ48-1,"")</f>
        <v/>
      </c>
      <c r="AP48" s="184" t="str">
        <f>IFERROR(Inv_SY_B!AP48/Inv_SY_B!$BZ48-1,"")</f>
        <v/>
      </c>
      <c r="AQ48" s="184" t="str">
        <f>IFERROR(Inv_SY_B!AQ48/Inv_SY_B!$BZ48-1,"")</f>
        <v/>
      </c>
      <c r="AR48" s="184" t="str">
        <f>IFERROR(Inv_SY_B!AR48/Inv_SY_B!$BZ48-1,"")</f>
        <v/>
      </c>
      <c r="AS48" s="184" t="str">
        <f>IFERROR(Inv_SY_B!AS48/Inv_SY_B!$BZ48-1,"")</f>
        <v/>
      </c>
      <c r="AT48" s="184" t="str">
        <f>IFERROR(Inv_SY_B!AT48/Inv_SY_B!$BZ48-1,"")</f>
        <v/>
      </c>
      <c r="AU48" s="184" t="str">
        <f>IFERROR(Inv_SY_B!AU48/Inv_SY_B!$BZ48-1,"")</f>
        <v/>
      </c>
      <c r="AV48" s="184" t="str">
        <f>IFERROR(Inv_SY_B!AV48/Inv_SY_B!$BZ48-1,"")</f>
        <v/>
      </c>
      <c r="AW48" s="184" t="str">
        <f>IFERROR(Inv_SY_B!AW48/Inv_SY_B!$CA48-1,"")</f>
        <v/>
      </c>
      <c r="AX48" s="184" t="str">
        <f>IFERROR(Inv_SY_B!AX48/Inv_SY_B!$CA48-1,"")</f>
        <v/>
      </c>
      <c r="AY48" s="184" t="str">
        <f>IFERROR(Inv_SY_B!AY48/Inv_SY_B!$CA48-1,"")</f>
        <v/>
      </c>
      <c r="AZ48" s="184" t="str">
        <f>IFERROR(Inv_SY_B!AZ48/Inv_SY_B!$CA48-1,"")</f>
        <v/>
      </c>
      <c r="BA48" s="184" t="str">
        <f>IFERROR(Inv_SY_B!BA48/Inv_SY_B!$CA48-1,"")</f>
        <v/>
      </c>
      <c r="BB48" s="184" t="str">
        <f>IFERROR(Inv_SY_B!BB48/Inv_SY_B!$CA48-1,"")</f>
        <v/>
      </c>
      <c r="BC48" s="184" t="str">
        <f>IFERROR(Inv_SY_B!BC48/Inv_SY_B!$CA48-1,"")</f>
        <v/>
      </c>
      <c r="BD48" s="184" t="str">
        <f>IFERROR(Inv_SY_B!BD48/Inv_SY_B!$CA48-1,"")</f>
        <v/>
      </c>
      <c r="BE48" s="184" t="str">
        <f>IFERROR(Inv_SY_B!BE48/Inv_SY_B!$CA48-1,"")</f>
        <v/>
      </c>
      <c r="BF48" s="184" t="str">
        <f>IFERROR(Inv_SY_B!BF48/Inv_SY_B!$CA48-1,"")</f>
        <v/>
      </c>
      <c r="BG48" s="184" t="str">
        <f>IFERROR(Inv_SY_B!BG48/Inv_SY_B!$CA48-1,"")</f>
        <v/>
      </c>
      <c r="BH48" s="184" t="str">
        <f>IFERROR(Inv_SY_B!BH48/Inv_SY_B!$CA48-1,"")</f>
        <v/>
      </c>
      <c r="BI48" s="184" t="str">
        <f>IFERROR(Inv_SY_B!BI48/Inv_SY_B!$CA48-1,"")</f>
        <v/>
      </c>
      <c r="BJ48" s="184" t="str">
        <f>IFERROR(Inv_SY_B!BJ48/Inv_SY_B!$CA48-1,"")</f>
        <v/>
      </c>
      <c r="BK48" s="184" t="str">
        <f>IFERROR(Inv_SY_B!BK48/Inv_SY_B!$CA48-1,"")</f>
        <v/>
      </c>
      <c r="BL48" s="184" t="str">
        <f>IFERROR(Inv_SY_B!BL48/Inv_SY_B!$CA48-1,"")</f>
        <v/>
      </c>
      <c r="BM48" s="184" t="str">
        <f>IFERROR(Inv_SY_B!BM48/Inv_SY_B!$CA48-1,"")</f>
        <v/>
      </c>
      <c r="BN48" s="184" t="str">
        <f>IFERROR(Inv_SY_B!BN48/Inv_SY_B!$CA48-1,"")</f>
        <v/>
      </c>
      <c r="BO48" s="184" t="str">
        <f>IFERROR(Inv_SY_B!BO48/Inv_SY_B!$CA48-1,"")</f>
        <v/>
      </c>
      <c r="BP48" s="184" t="str">
        <f>IFERROR(Inv_SY_B!BP48/Inv_SY_B!$CA48-1,"")</f>
        <v/>
      </c>
      <c r="BQ48" s="184" t="str">
        <f>IFERROR(Inv_SY_B!BQ48/Inv_SY_B!$CA48-1,"")</f>
        <v/>
      </c>
      <c r="BR48" s="184" t="str">
        <f>IFERROR(Inv_SY_B!BR48/Inv_SY_B!$CA48-1,"")</f>
        <v/>
      </c>
      <c r="BS48" s="184" t="str">
        <f>IFERROR(Inv_SY_B!BS48/Inv_SY_B!$CA48-1,"")</f>
        <v/>
      </c>
      <c r="BT48" s="184" t="str">
        <f>IFERROR(Inv_SY_B!BT48/Inv_SY_B!$CA48-1,"")</f>
        <v/>
      </c>
      <c r="BU48" s="184" t="str">
        <f>IFERROR(Inv_SY_B!BU48/Inv_SY_B!$CA48-1,"")</f>
        <v/>
      </c>
      <c r="BV48" s="184" t="str">
        <f>IFERROR(Inv_SY_B!BV48/Inv_SY_B!$CA48-1,"")</f>
        <v/>
      </c>
      <c r="BW48" s="184" t="str">
        <f>IFERROR(Inv_SY_B!BW48/Inv_SY_B!$CA48-1,"")</f>
        <v/>
      </c>
      <c r="BX48" s="184" t="str">
        <f>IFERROR(Inv_SY_B!BX48/Inv_SY_B!$CA48-1,"")</f>
        <v/>
      </c>
    </row>
    <row r="49" spans="2:76">
      <c r="B49" s="179">
        <f t="shared" si="2"/>
        <v>45873</v>
      </c>
      <c r="C49" s="184" t="str">
        <f>IFERROR(Inv_SY_B!C49/Inv_SY_B!$BY49-1,"")</f>
        <v/>
      </c>
      <c r="D49" s="184" t="str">
        <f>IFERROR(Inv_SY_B!D49/Inv_SY_B!$BY49-1,"")</f>
        <v/>
      </c>
      <c r="E49" s="184" t="str">
        <f>IFERROR(Inv_SY_B!E49/Inv_SY_B!$BY49-1,"")</f>
        <v/>
      </c>
      <c r="F49" s="184" t="str">
        <f>IFERROR(Inv_SY_B!F49/Inv_SY_B!$BY49-1,"")</f>
        <v/>
      </c>
      <c r="G49" s="184" t="str">
        <f>IFERROR(Inv_SY_B!G49/Inv_SY_B!$BY49-1,"")</f>
        <v/>
      </c>
      <c r="H49" s="184" t="str">
        <f>IFERROR(Inv_SY_B!H49/Inv_SY_B!$BY49-1,"")</f>
        <v/>
      </c>
      <c r="I49" s="184" t="str">
        <f>IFERROR(Inv_SY_B!I49/Inv_SY_B!$BY49-1,"")</f>
        <v/>
      </c>
      <c r="J49" s="184" t="str">
        <f>IFERROR(Inv_SY_B!J49/Inv_SY_B!$BY49-1,"")</f>
        <v/>
      </c>
      <c r="K49" s="184" t="str">
        <f>IFERROR(Inv_SY_B!K49/Inv_SY_B!$BY49-1,"")</f>
        <v/>
      </c>
      <c r="L49" s="184" t="str">
        <f>IFERROR(Inv_SY_B!L49/Inv_SY_B!$BY49-1,"")</f>
        <v/>
      </c>
      <c r="M49" s="184" t="str">
        <f>IFERROR(Inv_SY_B!M49/Inv_SY_B!$BY49-1,"")</f>
        <v/>
      </c>
      <c r="N49" s="184" t="str">
        <f>IFERROR(Inv_SY_B!N49/Inv_SY_B!$BY49-1,"")</f>
        <v/>
      </c>
      <c r="O49" s="184" t="str">
        <f>IFERROR(Inv_SY_B!O49/Inv_SY_B!$BY49-1,"")</f>
        <v/>
      </c>
      <c r="P49" s="184" t="str">
        <f>IFERROR(Inv_SY_B!P49/Inv_SY_B!$BY49-1,"")</f>
        <v/>
      </c>
      <c r="Q49" s="184" t="str">
        <f>IFERROR(Inv_SY_B!Q49/Inv_SY_B!$BY49-1,"")</f>
        <v/>
      </c>
      <c r="R49" s="184" t="str">
        <f>IFERROR(Inv_SY_B!R49/Inv_SY_B!$BY49-1,"")</f>
        <v/>
      </c>
      <c r="S49" s="184" t="str">
        <f>IFERROR(Inv_SY_B!S49/Inv_SY_B!$BY49-1,"")</f>
        <v/>
      </c>
      <c r="T49" s="184" t="str">
        <f>IFERROR(Inv_SY_B!T49/Inv_SY_B!$BY49-1,"")</f>
        <v/>
      </c>
      <c r="U49" s="184" t="str">
        <f>IFERROR(Inv_SY_B!U49/Inv_SY_B!$BY49-1,"")</f>
        <v/>
      </c>
      <c r="V49" s="184" t="str">
        <f>IFERROR(Inv_SY_B!V49/Inv_SY_B!$BY49-1,"")</f>
        <v/>
      </c>
      <c r="W49" s="184" t="str">
        <f>IFERROR(Inv_SY_B!W49/Inv_SY_B!$BY49-1,"")</f>
        <v/>
      </c>
      <c r="X49" s="184" t="str">
        <f>IFERROR(Inv_SY_B!X49/Inv_SY_B!$BY49-1,"")</f>
        <v/>
      </c>
      <c r="Y49" s="184" t="str">
        <f>IFERROR(Inv_SY_B!Y49/Inv_SY_B!$BY49-1,"")</f>
        <v/>
      </c>
      <c r="Z49" s="184" t="str">
        <f>IFERROR(Inv_SY_B!Z49/Inv_SY_B!$BY49-1,"")</f>
        <v/>
      </c>
      <c r="AA49" s="184" t="str">
        <f>IFERROR(Inv_SY_B!AA49/Inv_SY_B!$BY49-1,"")</f>
        <v/>
      </c>
      <c r="AB49" s="184" t="str">
        <f>IFERROR(Inv_SY_B!AB49/Inv_SY_B!$BY49-1,"")</f>
        <v/>
      </c>
      <c r="AC49" s="184" t="str">
        <f>IFERROR(Inv_SY_B!AC49/Inv_SY_B!$BY49-1,"")</f>
        <v/>
      </c>
      <c r="AD49" s="184" t="str">
        <f>IFERROR(Inv_SY_B!AD49/Inv_SY_B!$BY49-1,"")</f>
        <v/>
      </c>
      <c r="AE49" s="184" t="str">
        <f>IFERROR(Inv_SY_B!AE49/Inv_SY_B!$BZ49-1,"")</f>
        <v/>
      </c>
      <c r="AF49" s="184" t="str">
        <f>IFERROR(Inv_SY_B!AF49/Inv_SY_B!$BZ49-1,"")</f>
        <v/>
      </c>
      <c r="AG49" s="184" t="str">
        <f>IFERROR(Inv_SY_B!AG49/Inv_SY_B!$BZ49-1,"")</f>
        <v/>
      </c>
      <c r="AH49" s="184" t="str">
        <f>IFERROR(Inv_SY_B!AH49/Inv_SY_B!$BZ49-1,"")</f>
        <v/>
      </c>
      <c r="AI49" s="184" t="str">
        <f>IFERROR(Inv_SY_B!AI49/Inv_SY_B!$BZ49-1,"")</f>
        <v/>
      </c>
      <c r="AJ49" s="184" t="str">
        <f>IFERROR(Inv_SY_B!AJ49/Inv_SY_B!$BZ49-1,"")</f>
        <v/>
      </c>
      <c r="AK49" s="184" t="str">
        <f>IFERROR(Inv_SY_B!AK49/Inv_SY_B!$BZ49-1,"")</f>
        <v/>
      </c>
      <c r="AL49" s="184" t="str">
        <f>IFERROR(Inv_SY_B!AL49/Inv_SY_B!$BZ49-1,"")</f>
        <v/>
      </c>
      <c r="AM49" s="184" t="str">
        <f>IFERROR(Inv_SY_B!AM49/Inv_SY_B!$BZ49-1,"")</f>
        <v/>
      </c>
      <c r="AN49" s="184" t="str">
        <f>IFERROR(Inv_SY_B!AN49/Inv_SY_B!$BZ49-1,"")</f>
        <v/>
      </c>
      <c r="AO49" s="184" t="str">
        <f>IFERROR(Inv_SY_B!AO49/Inv_SY_B!$BZ49-1,"")</f>
        <v/>
      </c>
      <c r="AP49" s="184" t="str">
        <f>IFERROR(Inv_SY_B!AP49/Inv_SY_B!$BZ49-1,"")</f>
        <v/>
      </c>
      <c r="AQ49" s="184" t="str">
        <f>IFERROR(Inv_SY_B!AQ49/Inv_SY_B!$BZ49-1,"")</f>
        <v/>
      </c>
      <c r="AR49" s="184" t="str">
        <f>IFERROR(Inv_SY_B!AR49/Inv_SY_B!$BZ49-1,"")</f>
        <v/>
      </c>
      <c r="AS49" s="184" t="str">
        <f>IFERROR(Inv_SY_B!AS49/Inv_SY_B!$BZ49-1,"")</f>
        <v/>
      </c>
      <c r="AT49" s="184" t="str">
        <f>IFERROR(Inv_SY_B!AT49/Inv_SY_B!$BZ49-1,"")</f>
        <v/>
      </c>
      <c r="AU49" s="184" t="str">
        <f>IFERROR(Inv_SY_B!AU49/Inv_SY_B!$BZ49-1,"")</f>
        <v/>
      </c>
      <c r="AV49" s="184" t="str">
        <f>IFERROR(Inv_SY_B!AV49/Inv_SY_B!$BZ49-1,"")</f>
        <v/>
      </c>
      <c r="AW49" s="184" t="str">
        <f>IFERROR(Inv_SY_B!AW49/Inv_SY_B!$CA49-1,"")</f>
        <v/>
      </c>
      <c r="AX49" s="184" t="str">
        <f>IFERROR(Inv_SY_B!AX49/Inv_SY_B!$CA49-1,"")</f>
        <v/>
      </c>
      <c r="AY49" s="184" t="str">
        <f>IFERROR(Inv_SY_B!AY49/Inv_SY_B!$CA49-1,"")</f>
        <v/>
      </c>
      <c r="AZ49" s="184" t="str">
        <f>IFERROR(Inv_SY_B!AZ49/Inv_SY_B!$CA49-1,"")</f>
        <v/>
      </c>
      <c r="BA49" s="184" t="str">
        <f>IFERROR(Inv_SY_B!BA49/Inv_SY_B!$CA49-1,"")</f>
        <v/>
      </c>
      <c r="BB49" s="184" t="str">
        <f>IFERROR(Inv_SY_B!BB49/Inv_SY_B!$CA49-1,"")</f>
        <v/>
      </c>
      <c r="BC49" s="184" t="str">
        <f>IFERROR(Inv_SY_B!BC49/Inv_SY_B!$CA49-1,"")</f>
        <v/>
      </c>
      <c r="BD49" s="184" t="str">
        <f>IFERROR(Inv_SY_B!BD49/Inv_SY_B!$CA49-1,"")</f>
        <v/>
      </c>
      <c r="BE49" s="184" t="str">
        <f>IFERROR(Inv_SY_B!BE49/Inv_SY_B!$CA49-1,"")</f>
        <v/>
      </c>
      <c r="BF49" s="184" t="str">
        <f>IFERROR(Inv_SY_B!BF49/Inv_SY_B!$CA49-1,"")</f>
        <v/>
      </c>
      <c r="BG49" s="184" t="str">
        <f>IFERROR(Inv_SY_B!BG49/Inv_SY_B!$CA49-1,"")</f>
        <v/>
      </c>
      <c r="BH49" s="184" t="str">
        <f>IFERROR(Inv_SY_B!BH49/Inv_SY_B!$CA49-1,"")</f>
        <v/>
      </c>
      <c r="BI49" s="184" t="str">
        <f>IFERROR(Inv_SY_B!BI49/Inv_SY_B!$CA49-1,"")</f>
        <v/>
      </c>
      <c r="BJ49" s="184" t="str">
        <f>IFERROR(Inv_SY_B!BJ49/Inv_SY_B!$CA49-1,"")</f>
        <v/>
      </c>
      <c r="BK49" s="184" t="str">
        <f>IFERROR(Inv_SY_B!BK49/Inv_SY_B!$CA49-1,"")</f>
        <v/>
      </c>
      <c r="BL49" s="184" t="str">
        <f>IFERROR(Inv_SY_B!BL49/Inv_SY_B!$CA49-1,"")</f>
        <v/>
      </c>
      <c r="BM49" s="184" t="str">
        <f>IFERROR(Inv_SY_B!BM49/Inv_SY_B!$CA49-1,"")</f>
        <v/>
      </c>
      <c r="BN49" s="184" t="str">
        <f>IFERROR(Inv_SY_B!BN49/Inv_SY_B!$CA49-1,"")</f>
        <v/>
      </c>
      <c r="BO49" s="184" t="str">
        <f>IFERROR(Inv_SY_B!BO49/Inv_SY_B!$CA49-1,"")</f>
        <v/>
      </c>
      <c r="BP49" s="184" t="str">
        <f>IFERROR(Inv_SY_B!BP49/Inv_SY_B!$CA49-1,"")</f>
        <v/>
      </c>
      <c r="BQ49" s="184" t="str">
        <f>IFERROR(Inv_SY_B!BQ49/Inv_SY_B!$CA49-1,"")</f>
        <v/>
      </c>
      <c r="BR49" s="184" t="str">
        <f>IFERROR(Inv_SY_B!BR49/Inv_SY_B!$CA49-1,"")</f>
        <v/>
      </c>
      <c r="BS49" s="184" t="str">
        <f>IFERROR(Inv_SY_B!BS49/Inv_SY_B!$CA49-1,"")</f>
        <v/>
      </c>
      <c r="BT49" s="184" t="str">
        <f>IFERROR(Inv_SY_B!BT49/Inv_SY_B!$CA49-1,"")</f>
        <v/>
      </c>
      <c r="BU49" s="184" t="str">
        <f>IFERROR(Inv_SY_B!BU49/Inv_SY_B!$CA49-1,"")</f>
        <v/>
      </c>
      <c r="BV49" s="184" t="str">
        <f>IFERROR(Inv_SY_B!BV49/Inv_SY_B!$CA49-1,"")</f>
        <v/>
      </c>
      <c r="BW49" s="184" t="str">
        <f>IFERROR(Inv_SY_B!BW49/Inv_SY_B!$CA49-1,"")</f>
        <v/>
      </c>
      <c r="BX49" s="184" t="str">
        <f>IFERROR(Inv_SY_B!BX49/Inv_SY_B!$CA49-1,"")</f>
        <v/>
      </c>
    </row>
    <row r="50" spans="2:76">
      <c r="B50" s="179">
        <f t="shared" si="2"/>
        <v>45874</v>
      </c>
      <c r="C50" s="184" t="str">
        <f>IFERROR(Inv_SY_B!C50/Inv_SY_B!$BY50-1,"")</f>
        <v/>
      </c>
      <c r="D50" s="184" t="str">
        <f>IFERROR(Inv_SY_B!D50/Inv_SY_B!$BY50-1,"")</f>
        <v/>
      </c>
      <c r="E50" s="184" t="str">
        <f>IFERROR(Inv_SY_B!E50/Inv_SY_B!$BY50-1,"")</f>
        <v/>
      </c>
      <c r="F50" s="184" t="str">
        <f>IFERROR(Inv_SY_B!F50/Inv_SY_B!$BY50-1,"")</f>
        <v/>
      </c>
      <c r="G50" s="184" t="str">
        <f>IFERROR(Inv_SY_B!G50/Inv_SY_B!$BY50-1,"")</f>
        <v/>
      </c>
      <c r="H50" s="184" t="str">
        <f>IFERROR(Inv_SY_B!H50/Inv_SY_B!$BY50-1,"")</f>
        <v/>
      </c>
      <c r="I50" s="184" t="str">
        <f>IFERROR(Inv_SY_B!I50/Inv_SY_B!$BY50-1,"")</f>
        <v/>
      </c>
      <c r="J50" s="184" t="str">
        <f>IFERROR(Inv_SY_B!J50/Inv_SY_B!$BY50-1,"")</f>
        <v/>
      </c>
      <c r="K50" s="184" t="str">
        <f>IFERROR(Inv_SY_B!K50/Inv_SY_B!$BY50-1,"")</f>
        <v/>
      </c>
      <c r="L50" s="184" t="str">
        <f>IFERROR(Inv_SY_B!L50/Inv_SY_B!$BY50-1,"")</f>
        <v/>
      </c>
      <c r="M50" s="184" t="str">
        <f>IFERROR(Inv_SY_B!M50/Inv_SY_B!$BY50-1,"")</f>
        <v/>
      </c>
      <c r="N50" s="184" t="str">
        <f>IFERROR(Inv_SY_B!N50/Inv_SY_B!$BY50-1,"")</f>
        <v/>
      </c>
      <c r="O50" s="184" t="str">
        <f>IFERROR(Inv_SY_B!O50/Inv_SY_B!$BY50-1,"")</f>
        <v/>
      </c>
      <c r="P50" s="184" t="str">
        <f>IFERROR(Inv_SY_B!P50/Inv_SY_B!$BY50-1,"")</f>
        <v/>
      </c>
      <c r="Q50" s="184" t="str">
        <f>IFERROR(Inv_SY_B!Q50/Inv_SY_B!$BY50-1,"")</f>
        <v/>
      </c>
      <c r="R50" s="184" t="str">
        <f>IFERROR(Inv_SY_B!R50/Inv_SY_B!$BY50-1,"")</f>
        <v/>
      </c>
      <c r="S50" s="184" t="str">
        <f>IFERROR(Inv_SY_B!S50/Inv_SY_B!$BY50-1,"")</f>
        <v/>
      </c>
      <c r="T50" s="184" t="str">
        <f>IFERROR(Inv_SY_B!T50/Inv_SY_B!$BY50-1,"")</f>
        <v/>
      </c>
      <c r="U50" s="184" t="str">
        <f>IFERROR(Inv_SY_B!U50/Inv_SY_B!$BY50-1,"")</f>
        <v/>
      </c>
      <c r="V50" s="184" t="str">
        <f>IFERROR(Inv_SY_B!V50/Inv_SY_B!$BY50-1,"")</f>
        <v/>
      </c>
      <c r="W50" s="184" t="str">
        <f>IFERROR(Inv_SY_B!W50/Inv_SY_B!$BY50-1,"")</f>
        <v/>
      </c>
      <c r="X50" s="184" t="str">
        <f>IFERROR(Inv_SY_B!X50/Inv_SY_B!$BY50-1,"")</f>
        <v/>
      </c>
      <c r="Y50" s="184" t="str">
        <f>IFERROR(Inv_SY_B!Y50/Inv_SY_B!$BY50-1,"")</f>
        <v/>
      </c>
      <c r="Z50" s="184" t="str">
        <f>IFERROR(Inv_SY_B!Z50/Inv_SY_B!$BY50-1,"")</f>
        <v/>
      </c>
      <c r="AA50" s="184" t="str">
        <f>IFERROR(Inv_SY_B!AA50/Inv_SY_B!$BY50-1,"")</f>
        <v/>
      </c>
      <c r="AB50" s="184" t="str">
        <f>IFERROR(Inv_SY_B!AB50/Inv_SY_B!$BY50-1,"")</f>
        <v/>
      </c>
      <c r="AC50" s="184" t="str">
        <f>IFERROR(Inv_SY_B!AC50/Inv_SY_B!$BY50-1,"")</f>
        <v/>
      </c>
      <c r="AD50" s="184" t="str">
        <f>IFERROR(Inv_SY_B!AD50/Inv_SY_B!$BY50-1,"")</f>
        <v/>
      </c>
      <c r="AE50" s="184" t="str">
        <f>IFERROR(Inv_SY_B!AE50/Inv_SY_B!$BZ50-1,"")</f>
        <v/>
      </c>
      <c r="AF50" s="184" t="str">
        <f>IFERROR(Inv_SY_B!AF50/Inv_SY_B!$BZ50-1,"")</f>
        <v/>
      </c>
      <c r="AG50" s="184" t="str">
        <f>IFERROR(Inv_SY_B!AG50/Inv_SY_B!$BZ50-1,"")</f>
        <v/>
      </c>
      <c r="AH50" s="184" t="str">
        <f>IFERROR(Inv_SY_B!AH50/Inv_SY_B!$BZ50-1,"")</f>
        <v/>
      </c>
      <c r="AI50" s="184" t="str">
        <f>IFERROR(Inv_SY_B!AI50/Inv_SY_B!$BZ50-1,"")</f>
        <v/>
      </c>
      <c r="AJ50" s="184" t="str">
        <f>IFERROR(Inv_SY_B!AJ50/Inv_SY_B!$BZ50-1,"")</f>
        <v/>
      </c>
      <c r="AK50" s="184" t="str">
        <f>IFERROR(Inv_SY_B!AK50/Inv_SY_B!$BZ50-1,"")</f>
        <v/>
      </c>
      <c r="AL50" s="184" t="str">
        <f>IFERROR(Inv_SY_B!AL50/Inv_SY_B!$BZ50-1,"")</f>
        <v/>
      </c>
      <c r="AM50" s="184" t="str">
        <f>IFERROR(Inv_SY_B!AM50/Inv_SY_B!$BZ50-1,"")</f>
        <v/>
      </c>
      <c r="AN50" s="184" t="str">
        <f>IFERROR(Inv_SY_B!AN50/Inv_SY_B!$BZ50-1,"")</f>
        <v/>
      </c>
      <c r="AO50" s="184" t="str">
        <f>IFERROR(Inv_SY_B!AO50/Inv_SY_B!$BZ50-1,"")</f>
        <v/>
      </c>
      <c r="AP50" s="184" t="str">
        <f>IFERROR(Inv_SY_B!AP50/Inv_SY_B!$BZ50-1,"")</f>
        <v/>
      </c>
      <c r="AQ50" s="184" t="str">
        <f>IFERROR(Inv_SY_B!AQ50/Inv_SY_B!$BZ50-1,"")</f>
        <v/>
      </c>
      <c r="AR50" s="184" t="str">
        <f>IFERROR(Inv_SY_B!AR50/Inv_SY_B!$BZ50-1,"")</f>
        <v/>
      </c>
      <c r="AS50" s="184" t="str">
        <f>IFERROR(Inv_SY_B!AS50/Inv_SY_B!$BZ50-1,"")</f>
        <v/>
      </c>
      <c r="AT50" s="184" t="str">
        <f>IFERROR(Inv_SY_B!AT50/Inv_SY_B!$BZ50-1,"")</f>
        <v/>
      </c>
      <c r="AU50" s="184" t="str">
        <f>IFERROR(Inv_SY_B!AU50/Inv_SY_B!$BZ50-1,"")</f>
        <v/>
      </c>
      <c r="AV50" s="184" t="str">
        <f>IFERROR(Inv_SY_B!AV50/Inv_SY_B!$BZ50-1,"")</f>
        <v/>
      </c>
      <c r="AW50" s="184" t="str">
        <f>IFERROR(Inv_SY_B!AW50/Inv_SY_B!$CA50-1,"")</f>
        <v/>
      </c>
      <c r="AX50" s="184" t="str">
        <f>IFERROR(Inv_SY_B!AX50/Inv_SY_B!$CA50-1,"")</f>
        <v/>
      </c>
      <c r="AY50" s="184" t="str">
        <f>IFERROR(Inv_SY_B!AY50/Inv_SY_B!$CA50-1,"")</f>
        <v/>
      </c>
      <c r="AZ50" s="184" t="str">
        <f>IFERROR(Inv_SY_B!AZ50/Inv_SY_B!$CA50-1,"")</f>
        <v/>
      </c>
      <c r="BA50" s="184" t="str">
        <f>IFERROR(Inv_SY_B!BA50/Inv_SY_B!$CA50-1,"")</f>
        <v/>
      </c>
      <c r="BB50" s="184" t="str">
        <f>IFERROR(Inv_SY_B!BB50/Inv_SY_B!$CA50-1,"")</f>
        <v/>
      </c>
      <c r="BC50" s="184" t="str">
        <f>IFERROR(Inv_SY_B!BC50/Inv_SY_B!$CA50-1,"")</f>
        <v/>
      </c>
      <c r="BD50" s="184" t="str">
        <f>IFERROR(Inv_SY_B!BD50/Inv_SY_B!$CA50-1,"")</f>
        <v/>
      </c>
      <c r="BE50" s="184" t="str">
        <f>IFERROR(Inv_SY_B!BE50/Inv_SY_B!$CA50-1,"")</f>
        <v/>
      </c>
      <c r="BF50" s="184" t="str">
        <f>IFERROR(Inv_SY_B!BF50/Inv_SY_B!$CA50-1,"")</f>
        <v/>
      </c>
      <c r="BG50" s="184" t="str">
        <f>IFERROR(Inv_SY_B!BG50/Inv_SY_B!$CA50-1,"")</f>
        <v/>
      </c>
      <c r="BH50" s="184" t="str">
        <f>IFERROR(Inv_SY_B!BH50/Inv_SY_B!$CA50-1,"")</f>
        <v/>
      </c>
      <c r="BI50" s="184" t="str">
        <f>IFERROR(Inv_SY_B!BI50/Inv_SY_B!$CA50-1,"")</f>
        <v/>
      </c>
      <c r="BJ50" s="184" t="str">
        <f>IFERROR(Inv_SY_B!BJ50/Inv_SY_B!$CA50-1,"")</f>
        <v/>
      </c>
      <c r="BK50" s="184" t="str">
        <f>IFERROR(Inv_SY_B!BK50/Inv_SY_B!$CA50-1,"")</f>
        <v/>
      </c>
      <c r="BL50" s="184" t="str">
        <f>IFERROR(Inv_SY_B!BL50/Inv_SY_B!$CA50-1,"")</f>
        <v/>
      </c>
      <c r="BM50" s="184" t="str">
        <f>IFERROR(Inv_SY_B!BM50/Inv_SY_B!$CA50-1,"")</f>
        <v/>
      </c>
      <c r="BN50" s="184" t="str">
        <f>IFERROR(Inv_SY_B!BN50/Inv_SY_B!$CA50-1,"")</f>
        <v/>
      </c>
      <c r="BO50" s="184" t="str">
        <f>IFERROR(Inv_SY_B!BO50/Inv_SY_B!$CA50-1,"")</f>
        <v/>
      </c>
      <c r="BP50" s="184" t="str">
        <f>IFERROR(Inv_SY_B!BP50/Inv_SY_B!$CA50-1,"")</f>
        <v/>
      </c>
      <c r="BQ50" s="184" t="str">
        <f>IFERROR(Inv_SY_B!BQ50/Inv_SY_B!$CA50-1,"")</f>
        <v/>
      </c>
      <c r="BR50" s="184" t="str">
        <f>IFERROR(Inv_SY_B!BR50/Inv_SY_B!$CA50-1,"")</f>
        <v/>
      </c>
      <c r="BS50" s="184" t="str">
        <f>IFERROR(Inv_SY_B!BS50/Inv_SY_B!$CA50-1,"")</f>
        <v/>
      </c>
      <c r="BT50" s="184" t="str">
        <f>IFERROR(Inv_SY_B!BT50/Inv_SY_B!$CA50-1,"")</f>
        <v/>
      </c>
      <c r="BU50" s="184" t="str">
        <f>IFERROR(Inv_SY_B!BU50/Inv_SY_B!$CA50-1,"")</f>
        <v/>
      </c>
      <c r="BV50" s="184" t="str">
        <f>IFERROR(Inv_SY_B!BV50/Inv_SY_B!$CA50-1,"")</f>
        <v/>
      </c>
      <c r="BW50" s="184" t="str">
        <f>IFERROR(Inv_SY_B!BW50/Inv_SY_B!$CA50-1,"")</f>
        <v/>
      </c>
      <c r="BX50" s="184" t="str">
        <f>IFERROR(Inv_SY_B!BX50/Inv_SY_B!$CA50-1,"")</f>
        <v/>
      </c>
    </row>
    <row r="51" spans="2:76">
      <c r="B51" s="179">
        <f t="shared" si="2"/>
        <v>45875</v>
      </c>
      <c r="C51" s="184" t="str">
        <f>IFERROR(Inv_SY_B!C51/Inv_SY_B!$BY51-1,"")</f>
        <v/>
      </c>
      <c r="D51" s="184" t="str">
        <f>IFERROR(Inv_SY_B!D51/Inv_SY_B!$BY51-1,"")</f>
        <v/>
      </c>
      <c r="E51" s="184" t="str">
        <f>IFERROR(Inv_SY_B!E51/Inv_SY_B!$BY51-1,"")</f>
        <v/>
      </c>
      <c r="F51" s="184" t="str">
        <f>IFERROR(Inv_SY_B!F51/Inv_SY_B!$BY51-1,"")</f>
        <v/>
      </c>
      <c r="G51" s="184" t="str">
        <f>IFERROR(Inv_SY_B!G51/Inv_SY_B!$BY51-1,"")</f>
        <v/>
      </c>
      <c r="H51" s="184" t="str">
        <f>IFERROR(Inv_SY_B!H51/Inv_SY_B!$BY51-1,"")</f>
        <v/>
      </c>
      <c r="I51" s="184" t="str">
        <f>IFERROR(Inv_SY_B!I51/Inv_SY_B!$BY51-1,"")</f>
        <v/>
      </c>
      <c r="J51" s="184" t="str">
        <f>IFERROR(Inv_SY_B!J51/Inv_SY_B!$BY51-1,"")</f>
        <v/>
      </c>
      <c r="K51" s="184" t="str">
        <f>IFERROR(Inv_SY_B!K51/Inv_SY_B!$BY51-1,"")</f>
        <v/>
      </c>
      <c r="L51" s="184" t="str">
        <f>IFERROR(Inv_SY_B!L51/Inv_SY_B!$BY51-1,"")</f>
        <v/>
      </c>
      <c r="M51" s="184" t="str">
        <f>IFERROR(Inv_SY_B!M51/Inv_SY_B!$BY51-1,"")</f>
        <v/>
      </c>
      <c r="N51" s="184" t="str">
        <f>IFERROR(Inv_SY_B!N51/Inv_SY_B!$BY51-1,"")</f>
        <v/>
      </c>
      <c r="O51" s="184" t="str">
        <f>IFERROR(Inv_SY_B!O51/Inv_SY_B!$BY51-1,"")</f>
        <v/>
      </c>
      <c r="P51" s="184" t="str">
        <f>IFERROR(Inv_SY_B!P51/Inv_SY_B!$BY51-1,"")</f>
        <v/>
      </c>
      <c r="Q51" s="184" t="str">
        <f>IFERROR(Inv_SY_B!Q51/Inv_SY_B!$BY51-1,"")</f>
        <v/>
      </c>
      <c r="R51" s="184" t="str">
        <f>IFERROR(Inv_SY_B!R51/Inv_SY_B!$BY51-1,"")</f>
        <v/>
      </c>
      <c r="S51" s="184" t="str">
        <f>IFERROR(Inv_SY_B!S51/Inv_SY_B!$BY51-1,"")</f>
        <v/>
      </c>
      <c r="T51" s="184" t="str">
        <f>IFERROR(Inv_SY_B!T51/Inv_SY_B!$BY51-1,"")</f>
        <v/>
      </c>
      <c r="U51" s="184" t="str">
        <f>IFERROR(Inv_SY_B!U51/Inv_SY_B!$BY51-1,"")</f>
        <v/>
      </c>
      <c r="V51" s="184" t="str">
        <f>IFERROR(Inv_SY_B!V51/Inv_SY_B!$BY51-1,"")</f>
        <v/>
      </c>
      <c r="W51" s="184" t="str">
        <f>IFERROR(Inv_SY_B!W51/Inv_SY_B!$BY51-1,"")</f>
        <v/>
      </c>
      <c r="X51" s="184" t="str">
        <f>IFERROR(Inv_SY_B!X51/Inv_SY_B!$BY51-1,"")</f>
        <v/>
      </c>
      <c r="Y51" s="184" t="str">
        <f>IFERROR(Inv_SY_B!Y51/Inv_SY_B!$BY51-1,"")</f>
        <v/>
      </c>
      <c r="Z51" s="184" t="str">
        <f>IFERROR(Inv_SY_B!Z51/Inv_SY_B!$BY51-1,"")</f>
        <v/>
      </c>
      <c r="AA51" s="184" t="str">
        <f>IFERROR(Inv_SY_B!AA51/Inv_SY_B!$BY51-1,"")</f>
        <v/>
      </c>
      <c r="AB51" s="184" t="str">
        <f>IFERROR(Inv_SY_B!AB51/Inv_SY_B!$BY51-1,"")</f>
        <v/>
      </c>
      <c r="AC51" s="184" t="str">
        <f>IFERROR(Inv_SY_B!AC51/Inv_SY_B!$BY51-1,"")</f>
        <v/>
      </c>
      <c r="AD51" s="184" t="str">
        <f>IFERROR(Inv_SY_B!AD51/Inv_SY_B!$BY51-1,"")</f>
        <v/>
      </c>
      <c r="AE51" s="184" t="str">
        <f>IFERROR(Inv_SY_B!AE51/Inv_SY_B!$BZ51-1,"")</f>
        <v/>
      </c>
      <c r="AF51" s="184" t="str">
        <f>IFERROR(Inv_SY_B!AF51/Inv_SY_B!$BZ51-1,"")</f>
        <v/>
      </c>
      <c r="AG51" s="184" t="str">
        <f>IFERROR(Inv_SY_B!AG51/Inv_SY_B!$BZ51-1,"")</f>
        <v/>
      </c>
      <c r="AH51" s="184" t="str">
        <f>IFERROR(Inv_SY_B!AH51/Inv_SY_B!$BZ51-1,"")</f>
        <v/>
      </c>
      <c r="AI51" s="184" t="str">
        <f>IFERROR(Inv_SY_B!AI51/Inv_SY_B!$BZ51-1,"")</f>
        <v/>
      </c>
      <c r="AJ51" s="184" t="str">
        <f>IFERROR(Inv_SY_B!AJ51/Inv_SY_B!$BZ51-1,"")</f>
        <v/>
      </c>
      <c r="AK51" s="184" t="str">
        <f>IFERROR(Inv_SY_B!AK51/Inv_SY_B!$BZ51-1,"")</f>
        <v/>
      </c>
      <c r="AL51" s="184" t="str">
        <f>IFERROR(Inv_SY_B!AL51/Inv_SY_B!$BZ51-1,"")</f>
        <v/>
      </c>
      <c r="AM51" s="184" t="str">
        <f>IFERROR(Inv_SY_B!AM51/Inv_SY_B!$BZ51-1,"")</f>
        <v/>
      </c>
      <c r="AN51" s="184" t="str">
        <f>IFERROR(Inv_SY_B!AN51/Inv_SY_B!$BZ51-1,"")</f>
        <v/>
      </c>
      <c r="AO51" s="184" t="str">
        <f>IFERROR(Inv_SY_B!AO51/Inv_SY_B!$BZ51-1,"")</f>
        <v/>
      </c>
      <c r="AP51" s="184" t="str">
        <f>IFERROR(Inv_SY_B!AP51/Inv_SY_B!$BZ51-1,"")</f>
        <v/>
      </c>
      <c r="AQ51" s="184" t="str">
        <f>IFERROR(Inv_SY_B!AQ51/Inv_SY_B!$BZ51-1,"")</f>
        <v/>
      </c>
      <c r="AR51" s="184" t="str">
        <f>IFERROR(Inv_SY_B!AR51/Inv_SY_B!$BZ51-1,"")</f>
        <v/>
      </c>
      <c r="AS51" s="184" t="str">
        <f>IFERROR(Inv_SY_B!AS51/Inv_SY_B!$BZ51-1,"")</f>
        <v/>
      </c>
      <c r="AT51" s="184" t="str">
        <f>IFERROR(Inv_SY_B!AT51/Inv_SY_B!$BZ51-1,"")</f>
        <v/>
      </c>
      <c r="AU51" s="184" t="str">
        <f>IFERROR(Inv_SY_B!AU51/Inv_SY_B!$BZ51-1,"")</f>
        <v/>
      </c>
      <c r="AV51" s="184" t="str">
        <f>IFERROR(Inv_SY_B!AV51/Inv_SY_B!$BZ51-1,"")</f>
        <v/>
      </c>
      <c r="AW51" s="184" t="str">
        <f>IFERROR(Inv_SY_B!AW51/Inv_SY_B!$CA51-1,"")</f>
        <v/>
      </c>
      <c r="AX51" s="184" t="str">
        <f>IFERROR(Inv_SY_B!AX51/Inv_SY_B!$CA51-1,"")</f>
        <v/>
      </c>
      <c r="AY51" s="184" t="str">
        <f>IFERROR(Inv_SY_B!AY51/Inv_SY_B!$CA51-1,"")</f>
        <v/>
      </c>
      <c r="AZ51" s="184" t="str">
        <f>IFERROR(Inv_SY_B!AZ51/Inv_SY_B!$CA51-1,"")</f>
        <v/>
      </c>
      <c r="BA51" s="184" t="str">
        <f>IFERROR(Inv_SY_B!BA51/Inv_SY_B!$CA51-1,"")</f>
        <v/>
      </c>
      <c r="BB51" s="184" t="str">
        <f>IFERROR(Inv_SY_B!BB51/Inv_SY_B!$CA51-1,"")</f>
        <v/>
      </c>
      <c r="BC51" s="184" t="str">
        <f>IFERROR(Inv_SY_B!BC51/Inv_SY_B!$CA51-1,"")</f>
        <v/>
      </c>
      <c r="BD51" s="184" t="str">
        <f>IFERROR(Inv_SY_B!BD51/Inv_SY_B!$CA51-1,"")</f>
        <v/>
      </c>
      <c r="BE51" s="184" t="str">
        <f>IFERROR(Inv_SY_B!BE51/Inv_SY_B!$CA51-1,"")</f>
        <v/>
      </c>
      <c r="BF51" s="184" t="str">
        <f>IFERROR(Inv_SY_B!BF51/Inv_SY_B!$CA51-1,"")</f>
        <v/>
      </c>
      <c r="BG51" s="184" t="str">
        <f>IFERROR(Inv_SY_B!BG51/Inv_SY_B!$CA51-1,"")</f>
        <v/>
      </c>
      <c r="BH51" s="184" t="str">
        <f>IFERROR(Inv_SY_B!BH51/Inv_SY_B!$CA51-1,"")</f>
        <v/>
      </c>
      <c r="BI51" s="184" t="str">
        <f>IFERROR(Inv_SY_B!BI51/Inv_SY_B!$CA51-1,"")</f>
        <v/>
      </c>
      <c r="BJ51" s="184" t="str">
        <f>IFERROR(Inv_SY_B!BJ51/Inv_SY_B!$CA51-1,"")</f>
        <v/>
      </c>
      <c r="BK51" s="184" t="str">
        <f>IFERROR(Inv_SY_B!BK51/Inv_SY_B!$CA51-1,"")</f>
        <v/>
      </c>
      <c r="BL51" s="184" t="str">
        <f>IFERROR(Inv_SY_B!BL51/Inv_SY_B!$CA51-1,"")</f>
        <v/>
      </c>
      <c r="BM51" s="184" t="str">
        <f>IFERROR(Inv_SY_B!BM51/Inv_SY_B!$CA51-1,"")</f>
        <v/>
      </c>
      <c r="BN51" s="184" t="str">
        <f>IFERROR(Inv_SY_B!BN51/Inv_SY_B!$CA51-1,"")</f>
        <v/>
      </c>
      <c r="BO51" s="184" t="str">
        <f>IFERROR(Inv_SY_B!BO51/Inv_SY_B!$CA51-1,"")</f>
        <v/>
      </c>
      <c r="BP51" s="184" t="str">
        <f>IFERROR(Inv_SY_B!BP51/Inv_SY_B!$CA51-1,"")</f>
        <v/>
      </c>
      <c r="BQ51" s="184" t="str">
        <f>IFERROR(Inv_SY_B!BQ51/Inv_SY_B!$CA51-1,"")</f>
        <v/>
      </c>
      <c r="BR51" s="184" t="str">
        <f>IFERROR(Inv_SY_B!BR51/Inv_SY_B!$CA51-1,"")</f>
        <v/>
      </c>
      <c r="BS51" s="184" t="str">
        <f>IFERROR(Inv_SY_B!BS51/Inv_SY_B!$CA51-1,"")</f>
        <v/>
      </c>
      <c r="BT51" s="184" t="str">
        <f>IFERROR(Inv_SY_B!BT51/Inv_SY_B!$CA51-1,"")</f>
        <v/>
      </c>
      <c r="BU51" s="184" t="str">
        <f>IFERROR(Inv_SY_B!BU51/Inv_SY_B!$CA51-1,"")</f>
        <v/>
      </c>
      <c r="BV51" s="184" t="str">
        <f>IFERROR(Inv_SY_B!BV51/Inv_SY_B!$CA51-1,"")</f>
        <v/>
      </c>
      <c r="BW51" s="184" t="str">
        <f>IFERROR(Inv_SY_B!BW51/Inv_SY_B!$CA51-1,"")</f>
        <v/>
      </c>
      <c r="BX51" s="184" t="str">
        <f>IFERROR(Inv_SY_B!BX51/Inv_SY_B!$CA51-1,"")</f>
        <v/>
      </c>
    </row>
    <row r="52" spans="2:76">
      <c r="B52" s="179">
        <f t="shared" si="2"/>
        <v>45876</v>
      </c>
      <c r="C52" s="184" t="str">
        <f>IFERROR(Inv_SY_B!C52/Inv_SY_B!$BY52-1,"")</f>
        <v/>
      </c>
      <c r="D52" s="184" t="str">
        <f>IFERROR(Inv_SY_B!D52/Inv_SY_B!$BY52-1,"")</f>
        <v/>
      </c>
      <c r="E52" s="184" t="str">
        <f>IFERROR(Inv_SY_B!E52/Inv_SY_B!$BY52-1,"")</f>
        <v/>
      </c>
      <c r="F52" s="184" t="str">
        <f>IFERROR(Inv_SY_B!F52/Inv_SY_B!$BY52-1,"")</f>
        <v/>
      </c>
      <c r="G52" s="184" t="str">
        <f>IFERROR(Inv_SY_B!G52/Inv_SY_B!$BY52-1,"")</f>
        <v/>
      </c>
      <c r="H52" s="184" t="str">
        <f>IFERROR(Inv_SY_B!H52/Inv_SY_B!$BY52-1,"")</f>
        <v/>
      </c>
      <c r="I52" s="184" t="str">
        <f>IFERROR(Inv_SY_B!I52/Inv_SY_B!$BY52-1,"")</f>
        <v/>
      </c>
      <c r="J52" s="184" t="str">
        <f>IFERROR(Inv_SY_B!J52/Inv_SY_B!$BY52-1,"")</f>
        <v/>
      </c>
      <c r="K52" s="184" t="str">
        <f>IFERROR(Inv_SY_B!K52/Inv_SY_B!$BY52-1,"")</f>
        <v/>
      </c>
      <c r="L52" s="184" t="str">
        <f>IFERROR(Inv_SY_B!L52/Inv_SY_B!$BY52-1,"")</f>
        <v/>
      </c>
      <c r="M52" s="184" t="str">
        <f>IFERROR(Inv_SY_B!M52/Inv_SY_B!$BY52-1,"")</f>
        <v/>
      </c>
      <c r="N52" s="184" t="str">
        <f>IFERROR(Inv_SY_B!N52/Inv_SY_B!$BY52-1,"")</f>
        <v/>
      </c>
      <c r="O52" s="184" t="str">
        <f>IFERROR(Inv_SY_B!O52/Inv_SY_B!$BY52-1,"")</f>
        <v/>
      </c>
      <c r="P52" s="184" t="str">
        <f>IFERROR(Inv_SY_B!P52/Inv_SY_B!$BY52-1,"")</f>
        <v/>
      </c>
      <c r="Q52" s="184" t="str">
        <f>IFERROR(Inv_SY_B!Q52/Inv_SY_B!$BY52-1,"")</f>
        <v/>
      </c>
      <c r="R52" s="184" t="str">
        <f>IFERROR(Inv_SY_B!R52/Inv_SY_B!$BY52-1,"")</f>
        <v/>
      </c>
      <c r="S52" s="184" t="str">
        <f>IFERROR(Inv_SY_B!S52/Inv_SY_B!$BY52-1,"")</f>
        <v/>
      </c>
      <c r="T52" s="184" t="str">
        <f>IFERROR(Inv_SY_B!T52/Inv_SY_B!$BY52-1,"")</f>
        <v/>
      </c>
      <c r="U52" s="184" t="str">
        <f>IFERROR(Inv_SY_B!U52/Inv_SY_B!$BY52-1,"")</f>
        <v/>
      </c>
      <c r="V52" s="184" t="str">
        <f>IFERROR(Inv_SY_B!V52/Inv_SY_B!$BY52-1,"")</f>
        <v/>
      </c>
      <c r="W52" s="184" t="str">
        <f>IFERROR(Inv_SY_B!W52/Inv_SY_B!$BY52-1,"")</f>
        <v/>
      </c>
      <c r="X52" s="184" t="str">
        <f>IFERROR(Inv_SY_B!X52/Inv_SY_B!$BY52-1,"")</f>
        <v/>
      </c>
      <c r="Y52" s="184" t="str">
        <f>IFERROR(Inv_SY_B!Y52/Inv_SY_B!$BY52-1,"")</f>
        <v/>
      </c>
      <c r="Z52" s="184" t="str">
        <f>IFERROR(Inv_SY_B!Z52/Inv_SY_B!$BY52-1,"")</f>
        <v/>
      </c>
      <c r="AA52" s="184" t="str">
        <f>IFERROR(Inv_SY_B!AA52/Inv_SY_B!$BY52-1,"")</f>
        <v/>
      </c>
      <c r="AB52" s="184" t="str">
        <f>IFERROR(Inv_SY_B!AB52/Inv_SY_B!$BY52-1,"")</f>
        <v/>
      </c>
      <c r="AC52" s="184" t="str">
        <f>IFERROR(Inv_SY_B!AC52/Inv_SY_B!$BY52-1,"")</f>
        <v/>
      </c>
      <c r="AD52" s="184" t="str">
        <f>IFERROR(Inv_SY_B!AD52/Inv_SY_B!$BY52-1,"")</f>
        <v/>
      </c>
      <c r="AE52" s="184" t="str">
        <f>IFERROR(Inv_SY_B!AE52/Inv_SY_B!$BZ52-1,"")</f>
        <v/>
      </c>
      <c r="AF52" s="184" t="str">
        <f>IFERROR(Inv_SY_B!AF52/Inv_SY_B!$BZ52-1,"")</f>
        <v/>
      </c>
      <c r="AG52" s="184" t="str">
        <f>IFERROR(Inv_SY_B!AG52/Inv_SY_B!$BZ52-1,"")</f>
        <v/>
      </c>
      <c r="AH52" s="184" t="str">
        <f>IFERROR(Inv_SY_B!AH52/Inv_SY_B!$BZ52-1,"")</f>
        <v/>
      </c>
      <c r="AI52" s="184" t="str">
        <f>IFERROR(Inv_SY_B!AI52/Inv_SY_B!$BZ52-1,"")</f>
        <v/>
      </c>
      <c r="AJ52" s="184" t="str">
        <f>IFERROR(Inv_SY_B!AJ52/Inv_SY_B!$BZ52-1,"")</f>
        <v/>
      </c>
      <c r="AK52" s="184" t="str">
        <f>IFERROR(Inv_SY_B!AK52/Inv_SY_B!$BZ52-1,"")</f>
        <v/>
      </c>
      <c r="AL52" s="184" t="str">
        <f>IFERROR(Inv_SY_B!AL52/Inv_SY_B!$BZ52-1,"")</f>
        <v/>
      </c>
      <c r="AM52" s="184" t="str">
        <f>IFERROR(Inv_SY_B!AM52/Inv_SY_B!$BZ52-1,"")</f>
        <v/>
      </c>
      <c r="AN52" s="184" t="str">
        <f>IFERROR(Inv_SY_B!AN52/Inv_SY_B!$BZ52-1,"")</f>
        <v/>
      </c>
      <c r="AO52" s="184" t="str">
        <f>IFERROR(Inv_SY_B!AO52/Inv_SY_B!$BZ52-1,"")</f>
        <v/>
      </c>
      <c r="AP52" s="184" t="str">
        <f>IFERROR(Inv_SY_B!AP52/Inv_SY_B!$BZ52-1,"")</f>
        <v/>
      </c>
      <c r="AQ52" s="184" t="str">
        <f>IFERROR(Inv_SY_B!AQ52/Inv_SY_B!$BZ52-1,"")</f>
        <v/>
      </c>
      <c r="AR52" s="184" t="str">
        <f>IFERROR(Inv_SY_B!AR52/Inv_SY_B!$BZ52-1,"")</f>
        <v/>
      </c>
      <c r="AS52" s="184" t="str">
        <f>IFERROR(Inv_SY_B!AS52/Inv_SY_B!$BZ52-1,"")</f>
        <v/>
      </c>
      <c r="AT52" s="184" t="str">
        <f>IFERROR(Inv_SY_B!AT52/Inv_SY_B!$BZ52-1,"")</f>
        <v/>
      </c>
      <c r="AU52" s="184" t="str">
        <f>IFERROR(Inv_SY_B!AU52/Inv_SY_B!$BZ52-1,"")</f>
        <v/>
      </c>
      <c r="AV52" s="184" t="str">
        <f>IFERROR(Inv_SY_B!AV52/Inv_SY_B!$BZ52-1,"")</f>
        <v/>
      </c>
      <c r="AW52" s="184" t="str">
        <f>IFERROR(Inv_SY_B!AW52/Inv_SY_B!$CA52-1,"")</f>
        <v/>
      </c>
      <c r="AX52" s="184" t="str">
        <f>IFERROR(Inv_SY_B!AX52/Inv_SY_B!$CA52-1,"")</f>
        <v/>
      </c>
      <c r="AY52" s="184" t="str">
        <f>IFERROR(Inv_SY_B!AY52/Inv_SY_B!$CA52-1,"")</f>
        <v/>
      </c>
      <c r="AZ52" s="184" t="str">
        <f>IFERROR(Inv_SY_B!AZ52/Inv_SY_B!$CA52-1,"")</f>
        <v/>
      </c>
      <c r="BA52" s="184" t="str">
        <f>IFERROR(Inv_SY_B!BA52/Inv_SY_B!$CA52-1,"")</f>
        <v/>
      </c>
      <c r="BB52" s="184" t="str">
        <f>IFERROR(Inv_SY_B!BB52/Inv_SY_B!$CA52-1,"")</f>
        <v/>
      </c>
      <c r="BC52" s="184" t="str">
        <f>IFERROR(Inv_SY_B!BC52/Inv_SY_B!$CA52-1,"")</f>
        <v/>
      </c>
      <c r="BD52" s="184" t="str">
        <f>IFERROR(Inv_SY_B!BD52/Inv_SY_B!$CA52-1,"")</f>
        <v/>
      </c>
      <c r="BE52" s="184" t="str">
        <f>IFERROR(Inv_SY_B!BE52/Inv_SY_B!$CA52-1,"")</f>
        <v/>
      </c>
      <c r="BF52" s="184" t="str">
        <f>IFERROR(Inv_SY_B!BF52/Inv_SY_B!$CA52-1,"")</f>
        <v/>
      </c>
      <c r="BG52" s="184" t="str">
        <f>IFERROR(Inv_SY_B!BG52/Inv_SY_B!$CA52-1,"")</f>
        <v/>
      </c>
      <c r="BH52" s="184" t="str">
        <f>IFERROR(Inv_SY_B!BH52/Inv_SY_B!$CA52-1,"")</f>
        <v/>
      </c>
      <c r="BI52" s="184" t="str">
        <f>IFERROR(Inv_SY_B!BI52/Inv_SY_B!$CA52-1,"")</f>
        <v/>
      </c>
      <c r="BJ52" s="184" t="str">
        <f>IFERROR(Inv_SY_B!BJ52/Inv_SY_B!$CA52-1,"")</f>
        <v/>
      </c>
      <c r="BK52" s="184" t="str">
        <f>IFERROR(Inv_SY_B!BK52/Inv_SY_B!$CA52-1,"")</f>
        <v/>
      </c>
      <c r="BL52" s="184" t="str">
        <f>IFERROR(Inv_SY_B!BL52/Inv_SY_B!$CA52-1,"")</f>
        <v/>
      </c>
      <c r="BM52" s="184" t="str">
        <f>IFERROR(Inv_SY_B!BM52/Inv_SY_B!$CA52-1,"")</f>
        <v/>
      </c>
      <c r="BN52" s="184" t="str">
        <f>IFERROR(Inv_SY_B!BN52/Inv_SY_B!$CA52-1,"")</f>
        <v/>
      </c>
      <c r="BO52" s="184" t="str">
        <f>IFERROR(Inv_SY_B!BO52/Inv_SY_B!$CA52-1,"")</f>
        <v/>
      </c>
      <c r="BP52" s="184" t="str">
        <f>IFERROR(Inv_SY_B!BP52/Inv_SY_B!$CA52-1,"")</f>
        <v/>
      </c>
      <c r="BQ52" s="184" t="str">
        <f>IFERROR(Inv_SY_B!BQ52/Inv_SY_B!$CA52-1,"")</f>
        <v/>
      </c>
      <c r="BR52" s="184" t="str">
        <f>IFERROR(Inv_SY_B!BR52/Inv_SY_B!$CA52-1,"")</f>
        <v/>
      </c>
      <c r="BS52" s="184" t="str">
        <f>IFERROR(Inv_SY_B!BS52/Inv_SY_B!$CA52-1,"")</f>
        <v/>
      </c>
      <c r="BT52" s="184" t="str">
        <f>IFERROR(Inv_SY_B!BT52/Inv_SY_B!$CA52-1,"")</f>
        <v/>
      </c>
      <c r="BU52" s="184" t="str">
        <f>IFERROR(Inv_SY_B!BU52/Inv_SY_B!$CA52-1,"")</f>
        <v/>
      </c>
      <c r="BV52" s="184" t="str">
        <f>IFERROR(Inv_SY_B!BV52/Inv_SY_B!$CA52-1,"")</f>
        <v/>
      </c>
      <c r="BW52" s="184" t="str">
        <f>IFERROR(Inv_SY_B!BW52/Inv_SY_B!$CA52-1,"")</f>
        <v/>
      </c>
      <c r="BX52" s="184" t="str">
        <f>IFERROR(Inv_SY_B!BX52/Inv_SY_B!$CA52-1,"")</f>
        <v/>
      </c>
    </row>
    <row r="53" spans="2:76">
      <c r="B53" s="179">
        <f t="shared" si="2"/>
        <v>45877</v>
      </c>
      <c r="C53" s="184" t="str">
        <f>IFERROR(Inv_SY_B!C53/Inv_SY_B!$BY53-1,"")</f>
        <v/>
      </c>
      <c r="D53" s="184" t="str">
        <f>IFERROR(Inv_SY_B!D53/Inv_SY_B!$BY53-1,"")</f>
        <v/>
      </c>
      <c r="E53" s="184" t="str">
        <f>IFERROR(Inv_SY_B!E53/Inv_SY_B!$BY53-1,"")</f>
        <v/>
      </c>
      <c r="F53" s="184" t="str">
        <f>IFERROR(Inv_SY_B!F53/Inv_SY_B!$BY53-1,"")</f>
        <v/>
      </c>
      <c r="G53" s="184" t="str">
        <f>IFERROR(Inv_SY_B!G53/Inv_SY_B!$BY53-1,"")</f>
        <v/>
      </c>
      <c r="H53" s="184" t="str">
        <f>IFERROR(Inv_SY_B!H53/Inv_SY_B!$BY53-1,"")</f>
        <v/>
      </c>
      <c r="I53" s="184" t="str">
        <f>IFERROR(Inv_SY_B!I53/Inv_SY_B!$BY53-1,"")</f>
        <v/>
      </c>
      <c r="J53" s="184" t="str">
        <f>IFERROR(Inv_SY_B!J53/Inv_SY_B!$BY53-1,"")</f>
        <v/>
      </c>
      <c r="K53" s="184" t="str">
        <f>IFERROR(Inv_SY_B!K53/Inv_SY_B!$BY53-1,"")</f>
        <v/>
      </c>
      <c r="L53" s="184" t="str">
        <f>IFERROR(Inv_SY_B!L53/Inv_SY_B!$BY53-1,"")</f>
        <v/>
      </c>
      <c r="M53" s="184" t="str">
        <f>IFERROR(Inv_SY_B!M53/Inv_SY_B!$BY53-1,"")</f>
        <v/>
      </c>
      <c r="N53" s="184" t="str">
        <f>IFERROR(Inv_SY_B!N53/Inv_SY_B!$BY53-1,"")</f>
        <v/>
      </c>
      <c r="O53" s="184" t="str">
        <f>IFERROR(Inv_SY_B!O53/Inv_SY_B!$BY53-1,"")</f>
        <v/>
      </c>
      <c r="P53" s="184" t="str">
        <f>IFERROR(Inv_SY_B!P53/Inv_SY_B!$BY53-1,"")</f>
        <v/>
      </c>
      <c r="Q53" s="184" t="str">
        <f>IFERROR(Inv_SY_B!Q53/Inv_SY_B!$BY53-1,"")</f>
        <v/>
      </c>
      <c r="R53" s="184" t="str">
        <f>IFERROR(Inv_SY_B!R53/Inv_SY_B!$BY53-1,"")</f>
        <v/>
      </c>
      <c r="S53" s="184" t="str">
        <f>IFERROR(Inv_SY_B!S53/Inv_SY_B!$BY53-1,"")</f>
        <v/>
      </c>
      <c r="T53" s="184" t="str">
        <f>IFERROR(Inv_SY_B!T53/Inv_SY_B!$BY53-1,"")</f>
        <v/>
      </c>
      <c r="U53" s="184" t="str">
        <f>IFERROR(Inv_SY_B!U53/Inv_SY_B!$BY53-1,"")</f>
        <v/>
      </c>
      <c r="V53" s="184" t="str">
        <f>IFERROR(Inv_SY_B!V53/Inv_SY_B!$BY53-1,"")</f>
        <v/>
      </c>
      <c r="W53" s="184" t="str">
        <f>IFERROR(Inv_SY_B!W53/Inv_SY_B!$BY53-1,"")</f>
        <v/>
      </c>
      <c r="X53" s="184" t="str">
        <f>IFERROR(Inv_SY_B!X53/Inv_SY_B!$BY53-1,"")</f>
        <v/>
      </c>
      <c r="Y53" s="184" t="str">
        <f>IFERROR(Inv_SY_B!Y53/Inv_SY_B!$BY53-1,"")</f>
        <v/>
      </c>
      <c r="Z53" s="184" t="str">
        <f>IFERROR(Inv_SY_B!Z53/Inv_SY_B!$BY53-1,"")</f>
        <v/>
      </c>
      <c r="AA53" s="184" t="str">
        <f>IFERROR(Inv_SY_B!AA53/Inv_SY_B!$BY53-1,"")</f>
        <v/>
      </c>
      <c r="AB53" s="184" t="str">
        <f>IFERROR(Inv_SY_B!AB53/Inv_SY_B!$BY53-1,"")</f>
        <v/>
      </c>
      <c r="AC53" s="184" t="str">
        <f>IFERROR(Inv_SY_B!AC53/Inv_SY_B!$BY53-1,"")</f>
        <v/>
      </c>
      <c r="AD53" s="184" t="str">
        <f>IFERROR(Inv_SY_B!AD53/Inv_SY_B!$BY53-1,"")</f>
        <v/>
      </c>
      <c r="AE53" s="184" t="str">
        <f>IFERROR(Inv_SY_B!AE53/Inv_SY_B!$BZ53-1,"")</f>
        <v/>
      </c>
      <c r="AF53" s="184" t="str">
        <f>IFERROR(Inv_SY_B!AF53/Inv_SY_B!$BZ53-1,"")</f>
        <v/>
      </c>
      <c r="AG53" s="184" t="str">
        <f>IFERROR(Inv_SY_B!AG53/Inv_SY_B!$BZ53-1,"")</f>
        <v/>
      </c>
      <c r="AH53" s="184" t="str">
        <f>IFERROR(Inv_SY_B!AH53/Inv_SY_B!$BZ53-1,"")</f>
        <v/>
      </c>
      <c r="AI53" s="184" t="str">
        <f>IFERROR(Inv_SY_B!AI53/Inv_SY_B!$BZ53-1,"")</f>
        <v/>
      </c>
      <c r="AJ53" s="184" t="str">
        <f>IFERROR(Inv_SY_B!AJ53/Inv_SY_B!$BZ53-1,"")</f>
        <v/>
      </c>
      <c r="AK53" s="184" t="str">
        <f>IFERROR(Inv_SY_B!AK53/Inv_SY_B!$BZ53-1,"")</f>
        <v/>
      </c>
      <c r="AL53" s="184" t="str">
        <f>IFERROR(Inv_SY_B!AL53/Inv_SY_B!$BZ53-1,"")</f>
        <v/>
      </c>
      <c r="AM53" s="184" t="str">
        <f>IFERROR(Inv_SY_B!AM53/Inv_SY_B!$BZ53-1,"")</f>
        <v/>
      </c>
      <c r="AN53" s="184" t="str">
        <f>IFERROR(Inv_SY_B!AN53/Inv_SY_B!$BZ53-1,"")</f>
        <v/>
      </c>
      <c r="AO53" s="184" t="str">
        <f>IFERROR(Inv_SY_B!AO53/Inv_SY_B!$BZ53-1,"")</f>
        <v/>
      </c>
      <c r="AP53" s="184" t="str">
        <f>IFERROR(Inv_SY_B!AP53/Inv_SY_B!$BZ53-1,"")</f>
        <v/>
      </c>
      <c r="AQ53" s="184" t="str">
        <f>IFERROR(Inv_SY_B!AQ53/Inv_SY_B!$BZ53-1,"")</f>
        <v/>
      </c>
      <c r="AR53" s="184" t="str">
        <f>IFERROR(Inv_SY_B!AR53/Inv_SY_B!$BZ53-1,"")</f>
        <v/>
      </c>
      <c r="AS53" s="184" t="str">
        <f>IFERROR(Inv_SY_B!AS53/Inv_SY_B!$BZ53-1,"")</f>
        <v/>
      </c>
      <c r="AT53" s="184" t="str">
        <f>IFERROR(Inv_SY_B!AT53/Inv_SY_B!$BZ53-1,"")</f>
        <v/>
      </c>
      <c r="AU53" s="184" t="str">
        <f>IFERROR(Inv_SY_B!AU53/Inv_SY_B!$BZ53-1,"")</f>
        <v/>
      </c>
      <c r="AV53" s="184" t="str">
        <f>IFERROR(Inv_SY_B!AV53/Inv_SY_B!$BZ53-1,"")</f>
        <v/>
      </c>
      <c r="AW53" s="184" t="str">
        <f>IFERROR(Inv_SY_B!AW53/Inv_SY_B!$CA53-1,"")</f>
        <v/>
      </c>
      <c r="AX53" s="184" t="str">
        <f>IFERROR(Inv_SY_B!AX53/Inv_SY_B!$CA53-1,"")</f>
        <v/>
      </c>
      <c r="AY53" s="184" t="str">
        <f>IFERROR(Inv_SY_B!AY53/Inv_SY_B!$CA53-1,"")</f>
        <v/>
      </c>
      <c r="AZ53" s="184" t="str">
        <f>IFERROR(Inv_SY_B!AZ53/Inv_SY_B!$CA53-1,"")</f>
        <v/>
      </c>
      <c r="BA53" s="184" t="str">
        <f>IFERROR(Inv_SY_B!BA53/Inv_SY_B!$CA53-1,"")</f>
        <v/>
      </c>
      <c r="BB53" s="184" t="str">
        <f>IFERROR(Inv_SY_B!BB53/Inv_SY_B!$CA53-1,"")</f>
        <v/>
      </c>
      <c r="BC53" s="184" t="str">
        <f>IFERROR(Inv_SY_B!BC53/Inv_SY_B!$CA53-1,"")</f>
        <v/>
      </c>
      <c r="BD53" s="184" t="str">
        <f>IFERROR(Inv_SY_B!BD53/Inv_SY_B!$CA53-1,"")</f>
        <v/>
      </c>
      <c r="BE53" s="184" t="str">
        <f>IFERROR(Inv_SY_B!BE53/Inv_SY_B!$CA53-1,"")</f>
        <v/>
      </c>
      <c r="BF53" s="184" t="str">
        <f>IFERROR(Inv_SY_B!BF53/Inv_SY_B!$CA53-1,"")</f>
        <v/>
      </c>
      <c r="BG53" s="184" t="str">
        <f>IFERROR(Inv_SY_B!BG53/Inv_SY_B!$CA53-1,"")</f>
        <v/>
      </c>
      <c r="BH53" s="184" t="str">
        <f>IFERROR(Inv_SY_B!BH53/Inv_SY_B!$CA53-1,"")</f>
        <v/>
      </c>
      <c r="BI53" s="184" t="str">
        <f>IFERROR(Inv_SY_B!BI53/Inv_SY_B!$CA53-1,"")</f>
        <v/>
      </c>
      <c r="BJ53" s="184" t="str">
        <f>IFERROR(Inv_SY_B!BJ53/Inv_SY_B!$CA53-1,"")</f>
        <v/>
      </c>
      <c r="BK53" s="184" t="str">
        <f>IFERROR(Inv_SY_B!BK53/Inv_SY_B!$CA53-1,"")</f>
        <v/>
      </c>
      <c r="BL53" s="184" t="str">
        <f>IFERROR(Inv_SY_B!BL53/Inv_SY_B!$CA53-1,"")</f>
        <v/>
      </c>
      <c r="BM53" s="184" t="str">
        <f>IFERROR(Inv_SY_B!BM53/Inv_SY_B!$CA53-1,"")</f>
        <v/>
      </c>
      <c r="BN53" s="184" t="str">
        <f>IFERROR(Inv_SY_B!BN53/Inv_SY_B!$CA53-1,"")</f>
        <v/>
      </c>
      <c r="BO53" s="184" t="str">
        <f>IFERROR(Inv_SY_B!BO53/Inv_SY_B!$CA53-1,"")</f>
        <v/>
      </c>
      <c r="BP53" s="184" t="str">
        <f>IFERROR(Inv_SY_B!BP53/Inv_SY_B!$CA53-1,"")</f>
        <v/>
      </c>
      <c r="BQ53" s="184" t="str">
        <f>IFERROR(Inv_SY_B!BQ53/Inv_SY_B!$CA53-1,"")</f>
        <v/>
      </c>
      <c r="BR53" s="184" t="str">
        <f>IFERROR(Inv_SY_B!BR53/Inv_SY_B!$CA53-1,"")</f>
        <v/>
      </c>
      <c r="BS53" s="184" t="str">
        <f>IFERROR(Inv_SY_B!BS53/Inv_SY_B!$CA53-1,"")</f>
        <v/>
      </c>
      <c r="BT53" s="184" t="str">
        <f>IFERROR(Inv_SY_B!BT53/Inv_SY_B!$CA53-1,"")</f>
        <v/>
      </c>
      <c r="BU53" s="184" t="str">
        <f>IFERROR(Inv_SY_B!BU53/Inv_SY_B!$CA53-1,"")</f>
        <v/>
      </c>
      <c r="BV53" s="184" t="str">
        <f>IFERROR(Inv_SY_B!BV53/Inv_SY_B!$CA53-1,"")</f>
        <v/>
      </c>
      <c r="BW53" s="184" t="str">
        <f>IFERROR(Inv_SY_B!BW53/Inv_SY_B!$CA53-1,"")</f>
        <v/>
      </c>
      <c r="BX53" s="184" t="str">
        <f>IFERROR(Inv_SY_B!BX53/Inv_SY_B!$CA53-1,"")</f>
        <v/>
      </c>
    </row>
    <row r="54" spans="2:76">
      <c r="B54" s="179">
        <f t="shared" si="2"/>
        <v>45878</v>
      </c>
      <c r="C54" s="184" t="str">
        <f>IFERROR(Inv_SY_B!C54/Inv_SY_B!$BY54-1,"")</f>
        <v/>
      </c>
      <c r="D54" s="184" t="str">
        <f>IFERROR(Inv_SY_B!D54/Inv_SY_B!$BY54-1,"")</f>
        <v/>
      </c>
      <c r="E54" s="184" t="str">
        <f>IFERROR(Inv_SY_B!E54/Inv_SY_B!$BY54-1,"")</f>
        <v/>
      </c>
      <c r="F54" s="184" t="str">
        <f>IFERROR(Inv_SY_B!F54/Inv_SY_B!$BY54-1,"")</f>
        <v/>
      </c>
      <c r="G54" s="184" t="str">
        <f>IFERROR(Inv_SY_B!G54/Inv_SY_B!$BY54-1,"")</f>
        <v/>
      </c>
      <c r="H54" s="184" t="str">
        <f>IFERROR(Inv_SY_B!H54/Inv_SY_B!$BY54-1,"")</f>
        <v/>
      </c>
      <c r="I54" s="184" t="str">
        <f>IFERROR(Inv_SY_B!I54/Inv_SY_B!$BY54-1,"")</f>
        <v/>
      </c>
      <c r="J54" s="184" t="str">
        <f>IFERROR(Inv_SY_B!J54/Inv_SY_B!$BY54-1,"")</f>
        <v/>
      </c>
      <c r="K54" s="184" t="str">
        <f>IFERROR(Inv_SY_B!K54/Inv_SY_B!$BY54-1,"")</f>
        <v/>
      </c>
      <c r="L54" s="184" t="str">
        <f>IFERROR(Inv_SY_B!L54/Inv_SY_B!$BY54-1,"")</f>
        <v/>
      </c>
      <c r="M54" s="184" t="str">
        <f>IFERROR(Inv_SY_B!M54/Inv_SY_B!$BY54-1,"")</f>
        <v/>
      </c>
      <c r="N54" s="184" t="str">
        <f>IFERROR(Inv_SY_B!N54/Inv_SY_B!$BY54-1,"")</f>
        <v/>
      </c>
      <c r="O54" s="184" t="str">
        <f>IFERROR(Inv_SY_B!O54/Inv_SY_B!$BY54-1,"")</f>
        <v/>
      </c>
      <c r="P54" s="184" t="str">
        <f>IFERROR(Inv_SY_B!P54/Inv_SY_B!$BY54-1,"")</f>
        <v/>
      </c>
      <c r="Q54" s="184" t="str">
        <f>IFERROR(Inv_SY_B!Q54/Inv_SY_B!$BY54-1,"")</f>
        <v/>
      </c>
      <c r="R54" s="184" t="str">
        <f>IFERROR(Inv_SY_B!R54/Inv_SY_B!$BY54-1,"")</f>
        <v/>
      </c>
      <c r="S54" s="184" t="str">
        <f>IFERROR(Inv_SY_B!S54/Inv_SY_B!$BY54-1,"")</f>
        <v/>
      </c>
      <c r="T54" s="184" t="str">
        <f>IFERROR(Inv_SY_B!T54/Inv_SY_B!$BY54-1,"")</f>
        <v/>
      </c>
      <c r="U54" s="184" t="str">
        <f>IFERROR(Inv_SY_B!U54/Inv_SY_B!$BY54-1,"")</f>
        <v/>
      </c>
      <c r="V54" s="184" t="str">
        <f>IFERROR(Inv_SY_B!V54/Inv_SY_B!$BY54-1,"")</f>
        <v/>
      </c>
      <c r="W54" s="184" t="str">
        <f>IFERROR(Inv_SY_B!W54/Inv_SY_B!$BY54-1,"")</f>
        <v/>
      </c>
      <c r="X54" s="184" t="str">
        <f>IFERROR(Inv_SY_B!X54/Inv_SY_B!$BY54-1,"")</f>
        <v/>
      </c>
      <c r="Y54" s="184" t="str">
        <f>IFERROR(Inv_SY_B!Y54/Inv_SY_B!$BY54-1,"")</f>
        <v/>
      </c>
      <c r="Z54" s="184" t="str">
        <f>IFERROR(Inv_SY_B!Z54/Inv_SY_B!$BY54-1,"")</f>
        <v/>
      </c>
      <c r="AA54" s="184" t="str">
        <f>IFERROR(Inv_SY_B!AA54/Inv_SY_B!$BY54-1,"")</f>
        <v/>
      </c>
      <c r="AB54" s="184" t="str">
        <f>IFERROR(Inv_SY_B!AB54/Inv_SY_B!$BY54-1,"")</f>
        <v/>
      </c>
      <c r="AC54" s="184" t="str">
        <f>IFERROR(Inv_SY_B!AC54/Inv_SY_B!$BY54-1,"")</f>
        <v/>
      </c>
      <c r="AD54" s="184" t="str">
        <f>IFERROR(Inv_SY_B!AD54/Inv_SY_B!$BY54-1,"")</f>
        <v/>
      </c>
      <c r="AE54" s="184" t="str">
        <f>IFERROR(Inv_SY_B!AE54/Inv_SY_B!$BZ54-1,"")</f>
        <v/>
      </c>
      <c r="AF54" s="184" t="str">
        <f>IFERROR(Inv_SY_B!AF54/Inv_SY_B!$BZ54-1,"")</f>
        <v/>
      </c>
      <c r="AG54" s="184" t="str">
        <f>IFERROR(Inv_SY_B!AG54/Inv_SY_B!$BZ54-1,"")</f>
        <v/>
      </c>
      <c r="AH54" s="184" t="str">
        <f>IFERROR(Inv_SY_B!AH54/Inv_SY_B!$BZ54-1,"")</f>
        <v/>
      </c>
      <c r="AI54" s="184" t="str">
        <f>IFERROR(Inv_SY_B!AI54/Inv_SY_B!$BZ54-1,"")</f>
        <v/>
      </c>
      <c r="AJ54" s="184" t="str">
        <f>IFERROR(Inv_SY_B!AJ54/Inv_SY_B!$BZ54-1,"")</f>
        <v/>
      </c>
      <c r="AK54" s="184" t="str">
        <f>IFERROR(Inv_SY_B!AK54/Inv_SY_B!$BZ54-1,"")</f>
        <v/>
      </c>
      <c r="AL54" s="184" t="str">
        <f>IFERROR(Inv_SY_B!AL54/Inv_SY_B!$BZ54-1,"")</f>
        <v/>
      </c>
      <c r="AM54" s="184" t="str">
        <f>IFERROR(Inv_SY_B!AM54/Inv_SY_B!$BZ54-1,"")</f>
        <v/>
      </c>
      <c r="AN54" s="184" t="str">
        <f>IFERROR(Inv_SY_B!AN54/Inv_SY_B!$BZ54-1,"")</f>
        <v/>
      </c>
      <c r="AO54" s="184" t="str">
        <f>IFERROR(Inv_SY_B!AO54/Inv_SY_B!$BZ54-1,"")</f>
        <v/>
      </c>
      <c r="AP54" s="184" t="str">
        <f>IFERROR(Inv_SY_B!AP54/Inv_SY_B!$BZ54-1,"")</f>
        <v/>
      </c>
      <c r="AQ54" s="184" t="str">
        <f>IFERROR(Inv_SY_B!AQ54/Inv_SY_B!$BZ54-1,"")</f>
        <v/>
      </c>
      <c r="AR54" s="184" t="str">
        <f>IFERROR(Inv_SY_B!AR54/Inv_SY_B!$BZ54-1,"")</f>
        <v/>
      </c>
      <c r="AS54" s="184" t="str">
        <f>IFERROR(Inv_SY_B!AS54/Inv_SY_B!$BZ54-1,"")</f>
        <v/>
      </c>
      <c r="AT54" s="184" t="str">
        <f>IFERROR(Inv_SY_B!AT54/Inv_SY_B!$BZ54-1,"")</f>
        <v/>
      </c>
      <c r="AU54" s="184" t="str">
        <f>IFERROR(Inv_SY_B!AU54/Inv_SY_B!$BZ54-1,"")</f>
        <v/>
      </c>
      <c r="AV54" s="184" t="str">
        <f>IFERROR(Inv_SY_B!AV54/Inv_SY_B!$BZ54-1,"")</f>
        <v/>
      </c>
      <c r="AW54" s="184" t="str">
        <f>IFERROR(Inv_SY_B!AW54/Inv_SY_B!$CA54-1,"")</f>
        <v/>
      </c>
      <c r="AX54" s="184" t="str">
        <f>IFERROR(Inv_SY_B!AX54/Inv_SY_B!$CA54-1,"")</f>
        <v/>
      </c>
      <c r="AY54" s="184" t="str">
        <f>IFERROR(Inv_SY_B!AY54/Inv_SY_B!$CA54-1,"")</f>
        <v/>
      </c>
      <c r="AZ54" s="184" t="str">
        <f>IFERROR(Inv_SY_B!AZ54/Inv_SY_B!$CA54-1,"")</f>
        <v/>
      </c>
      <c r="BA54" s="184" t="str">
        <f>IFERROR(Inv_SY_B!BA54/Inv_SY_B!$CA54-1,"")</f>
        <v/>
      </c>
      <c r="BB54" s="184" t="str">
        <f>IFERROR(Inv_SY_B!BB54/Inv_SY_B!$CA54-1,"")</f>
        <v/>
      </c>
      <c r="BC54" s="184" t="str">
        <f>IFERROR(Inv_SY_B!BC54/Inv_SY_B!$CA54-1,"")</f>
        <v/>
      </c>
      <c r="BD54" s="184" t="str">
        <f>IFERROR(Inv_SY_B!BD54/Inv_SY_B!$CA54-1,"")</f>
        <v/>
      </c>
      <c r="BE54" s="184" t="str">
        <f>IFERROR(Inv_SY_B!BE54/Inv_SY_B!$CA54-1,"")</f>
        <v/>
      </c>
      <c r="BF54" s="184" t="str">
        <f>IFERROR(Inv_SY_B!BF54/Inv_SY_B!$CA54-1,"")</f>
        <v/>
      </c>
      <c r="BG54" s="184" t="str">
        <f>IFERROR(Inv_SY_B!BG54/Inv_SY_B!$CA54-1,"")</f>
        <v/>
      </c>
      <c r="BH54" s="184" t="str">
        <f>IFERROR(Inv_SY_B!BH54/Inv_SY_B!$CA54-1,"")</f>
        <v/>
      </c>
      <c r="BI54" s="184" t="str">
        <f>IFERROR(Inv_SY_B!BI54/Inv_SY_B!$CA54-1,"")</f>
        <v/>
      </c>
      <c r="BJ54" s="184" t="str">
        <f>IFERROR(Inv_SY_B!BJ54/Inv_SY_B!$CA54-1,"")</f>
        <v/>
      </c>
      <c r="BK54" s="184" t="str">
        <f>IFERROR(Inv_SY_B!BK54/Inv_SY_B!$CA54-1,"")</f>
        <v/>
      </c>
      <c r="BL54" s="184" t="str">
        <f>IFERROR(Inv_SY_B!BL54/Inv_SY_B!$CA54-1,"")</f>
        <v/>
      </c>
      <c r="BM54" s="184" t="str">
        <f>IFERROR(Inv_SY_B!BM54/Inv_SY_B!$CA54-1,"")</f>
        <v/>
      </c>
      <c r="BN54" s="184" t="str">
        <f>IFERROR(Inv_SY_B!BN54/Inv_SY_B!$CA54-1,"")</f>
        <v/>
      </c>
      <c r="BO54" s="184" t="str">
        <f>IFERROR(Inv_SY_B!BO54/Inv_SY_B!$CA54-1,"")</f>
        <v/>
      </c>
      <c r="BP54" s="184" t="str">
        <f>IFERROR(Inv_SY_B!BP54/Inv_SY_B!$CA54-1,"")</f>
        <v/>
      </c>
      <c r="BQ54" s="184" t="str">
        <f>IFERROR(Inv_SY_B!BQ54/Inv_SY_B!$CA54-1,"")</f>
        <v/>
      </c>
      <c r="BR54" s="184" t="str">
        <f>IFERROR(Inv_SY_B!BR54/Inv_SY_B!$CA54-1,"")</f>
        <v/>
      </c>
      <c r="BS54" s="184" t="str">
        <f>IFERROR(Inv_SY_B!BS54/Inv_SY_B!$CA54-1,"")</f>
        <v/>
      </c>
      <c r="BT54" s="184" t="str">
        <f>IFERROR(Inv_SY_B!BT54/Inv_SY_B!$CA54-1,"")</f>
        <v/>
      </c>
      <c r="BU54" s="184" t="str">
        <f>IFERROR(Inv_SY_B!BU54/Inv_SY_B!$CA54-1,"")</f>
        <v/>
      </c>
      <c r="BV54" s="184" t="str">
        <f>IFERROR(Inv_SY_B!BV54/Inv_SY_B!$CA54-1,"")</f>
        <v/>
      </c>
      <c r="BW54" s="184" t="str">
        <f>IFERROR(Inv_SY_B!BW54/Inv_SY_B!$CA54-1,"")</f>
        <v/>
      </c>
      <c r="BX54" s="184" t="str">
        <f>IFERROR(Inv_SY_B!BX54/Inv_SY_B!$CA54-1,"")</f>
        <v/>
      </c>
    </row>
    <row r="55" spans="2:76">
      <c r="B55" s="179">
        <f t="shared" si="2"/>
        <v>45879</v>
      </c>
      <c r="C55" s="184" t="str">
        <f>IFERROR(Inv_SY_B!C55/Inv_SY_B!$BY55-1,"")</f>
        <v/>
      </c>
      <c r="D55" s="184" t="str">
        <f>IFERROR(Inv_SY_B!D55/Inv_SY_B!$BY55-1,"")</f>
        <v/>
      </c>
      <c r="E55" s="184" t="str">
        <f>IFERROR(Inv_SY_B!E55/Inv_SY_B!$BY55-1,"")</f>
        <v/>
      </c>
      <c r="F55" s="184" t="str">
        <f>IFERROR(Inv_SY_B!F55/Inv_SY_B!$BY55-1,"")</f>
        <v/>
      </c>
      <c r="G55" s="184" t="str">
        <f>IFERROR(Inv_SY_B!G55/Inv_SY_B!$BY55-1,"")</f>
        <v/>
      </c>
      <c r="H55" s="184" t="str">
        <f>IFERROR(Inv_SY_B!H55/Inv_SY_B!$BY55-1,"")</f>
        <v/>
      </c>
      <c r="I55" s="184" t="str">
        <f>IFERROR(Inv_SY_B!I55/Inv_SY_B!$BY55-1,"")</f>
        <v/>
      </c>
      <c r="J55" s="184" t="str">
        <f>IFERROR(Inv_SY_B!J55/Inv_SY_B!$BY55-1,"")</f>
        <v/>
      </c>
      <c r="K55" s="184" t="str">
        <f>IFERROR(Inv_SY_B!K55/Inv_SY_B!$BY55-1,"")</f>
        <v/>
      </c>
      <c r="L55" s="184" t="str">
        <f>IFERROR(Inv_SY_B!L55/Inv_SY_B!$BY55-1,"")</f>
        <v/>
      </c>
      <c r="M55" s="184" t="str">
        <f>IFERROR(Inv_SY_B!M55/Inv_SY_B!$BY55-1,"")</f>
        <v/>
      </c>
      <c r="N55" s="184" t="str">
        <f>IFERROR(Inv_SY_B!N55/Inv_SY_B!$BY55-1,"")</f>
        <v/>
      </c>
      <c r="O55" s="184" t="str">
        <f>IFERROR(Inv_SY_B!O55/Inv_SY_B!$BY55-1,"")</f>
        <v/>
      </c>
      <c r="P55" s="184" t="str">
        <f>IFERROR(Inv_SY_B!P55/Inv_SY_B!$BY55-1,"")</f>
        <v/>
      </c>
      <c r="Q55" s="184" t="str">
        <f>IFERROR(Inv_SY_B!Q55/Inv_SY_B!$BY55-1,"")</f>
        <v/>
      </c>
      <c r="R55" s="184" t="str">
        <f>IFERROR(Inv_SY_B!R55/Inv_SY_B!$BY55-1,"")</f>
        <v/>
      </c>
      <c r="S55" s="184" t="str">
        <f>IFERROR(Inv_SY_B!S55/Inv_SY_B!$BY55-1,"")</f>
        <v/>
      </c>
      <c r="T55" s="184" t="str">
        <f>IFERROR(Inv_SY_B!T55/Inv_SY_B!$BY55-1,"")</f>
        <v/>
      </c>
      <c r="U55" s="184" t="str">
        <f>IFERROR(Inv_SY_B!U55/Inv_SY_B!$BY55-1,"")</f>
        <v/>
      </c>
      <c r="V55" s="184" t="str">
        <f>IFERROR(Inv_SY_B!V55/Inv_SY_B!$BY55-1,"")</f>
        <v/>
      </c>
      <c r="W55" s="184" t="str">
        <f>IFERROR(Inv_SY_B!W55/Inv_SY_B!$BY55-1,"")</f>
        <v/>
      </c>
      <c r="X55" s="184" t="str">
        <f>IFERROR(Inv_SY_B!X55/Inv_SY_B!$BY55-1,"")</f>
        <v/>
      </c>
      <c r="Y55" s="184" t="str">
        <f>IFERROR(Inv_SY_B!Y55/Inv_SY_B!$BY55-1,"")</f>
        <v/>
      </c>
      <c r="Z55" s="184" t="str">
        <f>IFERROR(Inv_SY_B!Z55/Inv_SY_B!$BY55-1,"")</f>
        <v/>
      </c>
      <c r="AA55" s="184" t="str">
        <f>IFERROR(Inv_SY_B!AA55/Inv_SY_B!$BY55-1,"")</f>
        <v/>
      </c>
      <c r="AB55" s="184" t="str">
        <f>IFERROR(Inv_SY_B!AB55/Inv_SY_B!$BY55-1,"")</f>
        <v/>
      </c>
      <c r="AC55" s="184" t="str">
        <f>IFERROR(Inv_SY_B!AC55/Inv_SY_B!$BY55-1,"")</f>
        <v/>
      </c>
      <c r="AD55" s="184" t="str">
        <f>IFERROR(Inv_SY_B!AD55/Inv_SY_B!$BY55-1,"")</f>
        <v/>
      </c>
      <c r="AE55" s="184" t="str">
        <f>IFERROR(Inv_SY_B!AE55/Inv_SY_B!$BZ55-1,"")</f>
        <v/>
      </c>
      <c r="AF55" s="184" t="str">
        <f>IFERROR(Inv_SY_B!AF55/Inv_SY_B!$BZ55-1,"")</f>
        <v/>
      </c>
      <c r="AG55" s="184" t="str">
        <f>IFERROR(Inv_SY_B!AG55/Inv_SY_B!$BZ55-1,"")</f>
        <v/>
      </c>
      <c r="AH55" s="184" t="str">
        <f>IFERROR(Inv_SY_B!AH55/Inv_SY_B!$BZ55-1,"")</f>
        <v/>
      </c>
      <c r="AI55" s="184" t="str">
        <f>IFERROR(Inv_SY_B!AI55/Inv_SY_B!$BZ55-1,"")</f>
        <v/>
      </c>
      <c r="AJ55" s="184" t="str">
        <f>IFERROR(Inv_SY_B!AJ55/Inv_SY_B!$BZ55-1,"")</f>
        <v/>
      </c>
      <c r="AK55" s="184" t="str">
        <f>IFERROR(Inv_SY_B!AK55/Inv_SY_B!$BZ55-1,"")</f>
        <v/>
      </c>
      <c r="AL55" s="184" t="str">
        <f>IFERROR(Inv_SY_B!AL55/Inv_SY_B!$BZ55-1,"")</f>
        <v/>
      </c>
      <c r="AM55" s="184" t="str">
        <f>IFERROR(Inv_SY_B!AM55/Inv_SY_B!$BZ55-1,"")</f>
        <v/>
      </c>
      <c r="AN55" s="184" t="str">
        <f>IFERROR(Inv_SY_B!AN55/Inv_SY_B!$BZ55-1,"")</f>
        <v/>
      </c>
      <c r="AO55" s="184" t="str">
        <f>IFERROR(Inv_SY_B!AO55/Inv_SY_B!$BZ55-1,"")</f>
        <v/>
      </c>
      <c r="AP55" s="184" t="str">
        <f>IFERROR(Inv_SY_B!AP55/Inv_SY_B!$BZ55-1,"")</f>
        <v/>
      </c>
      <c r="AQ55" s="184" t="str">
        <f>IFERROR(Inv_SY_B!AQ55/Inv_SY_B!$BZ55-1,"")</f>
        <v/>
      </c>
      <c r="AR55" s="184" t="str">
        <f>IFERROR(Inv_SY_B!AR55/Inv_SY_B!$BZ55-1,"")</f>
        <v/>
      </c>
      <c r="AS55" s="184" t="str">
        <f>IFERROR(Inv_SY_B!AS55/Inv_SY_B!$BZ55-1,"")</f>
        <v/>
      </c>
      <c r="AT55" s="184" t="str">
        <f>IFERROR(Inv_SY_B!AT55/Inv_SY_B!$BZ55-1,"")</f>
        <v/>
      </c>
      <c r="AU55" s="184" t="str">
        <f>IFERROR(Inv_SY_B!AU55/Inv_SY_B!$BZ55-1,"")</f>
        <v/>
      </c>
      <c r="AV55" s="184" t="str">
        <f>IFERROR(Inv_SY_B!AV55/Inv_SY_B!$BZ55-1,"")</f>
        <v/>
      </c>
      <c r="AW55" s="184" t="str">
        <f>IFERROR(Inv_SY_B!AW55/Inv_SY_B!$CA55-1,"")</f>
        <v/>
      </c>
      <c r="AX55" s="184" t="str">
        <f>IFERROR(Inv_SY_B!AX55/Inv_SY_B!$CA55-1,"")</f>
        <v/>
      </c>
      <c r="AY55" s="184" t="str">
        <f>IFERROR(Inv_SY_B!AY55/Inv_SY_B!$CA55-1,"")</f>
        <v/>
      </c>
      <c r="AZ55" s="184" t="str">
        <f>IFERROR(Inv_SY_B!AZ55/Inv_SY_B!$CA55-1,"")</f>
        <v/>
      </c>
      <c r="BA55" s="184" t="str">
        <f>IFERROR(Inv_SY_B!BA55/Inv_SY_B!$CA55-1,"")</f>
        <v/>
      </c>
      <c r="BB55" s="184" t="str">
        <f>IFERROR(Inv_SY_B!BB55/Inv_SY_B!$CA55-1,"")</f>
        <v/>
      </c>
      <c r="BC55" s="184" t="str">
        <f>IFERROR(Inv_SY_B!BC55/Inv_SY_B!$CA55-1,"")</f>
        <v/>
      </c>
      <c r="BD55" s="184" t="str">
        <f>IFERROR(Inv_SY_B!BD55/Inv_SY_B!$CA55-1,"")</f>
        <v/>
      </c>
      <c r="BE55" s="184" t="str">
        <f>IFERROR(Inv_SY_B!BE55/Inv_SY_B!$CA55-1,"")</f>
        <v/>
      </c>
      <c r="BF55" s="184" t="str">
        <f>IFERROR(Inv_SY_B!BF55/Inv_SY_B!$CA55-1,"")</f>
        <v/>
      </c>
      <c r="BG55" s="184" t="str">
        <f>IFERROR(Inv_SY_B!BG55/Inv_SY_B!$CA55-1,"")</f>
        <v/>
      </c>
      <c r="BH55" s="184" t="str">
        <f>IFERROR(Inv_SY_B!BH55/Inv_SY_B!$CA55-1,"")</f>
        <v/>
      </c>
      <c r="BI55" s="184" t="str">
        <f>IFERROR(Inv_SY_B!BI55/Inv_SY_B!$CA55-1,"")</f>
        <v/>
      </c>
      <c r="BJ55" s="184" t="str">
        <f>IFERROR(Inv_SY_B!BJ55/Inv_SY_B!$CA55-1,"")</f>
        <v/>
      </c>
      <c r="BK55" s="184" t="str">
        <f>IFERROR(Inv_SY_B!BK55/Inv_SY_B!$CA55-1,"")</f>
        <v/>
      </c>
      <c r="BL55" s="184" t="str">
        <f>IFERROR(Inv_SY_B!BL55/Inv_SY_B!$CA55-1,"")</f>
        <v/>
      </c>
      <c r="BM55" s="184" t="str">
        <f>IFERROR(Inv_SY_B!BM55/Inv_SY_B!$CA55-1,"")</f>
        <v/>
      </c>
      <c r="BN55" s="184" t="str">
        <f>IFERROR(Inv_SY_B!BN55/Inv_SY_B!$CA55-1,"")</f>
        <v/>
      </c>
      <c r="BO55" s="184" t="str">
        <f>IFERROR(Inv_SY_B!BO55/Inv_SY_B!$CA55-1,"")</f>
        <v/>
      </c>
      <c r="BP55" s="184" t="str">
        <f>IFERROR(Inv_SY_B!BP55/Inv_SY_B!$CA55-1,"")</f>
        <v/>
      </c>
      <c r="BQ55" s="184" t="str">
        <f>IFERROR(Inv_SY_B!BQ55/Inv_SY_B!$CA55-1,"")</f>
        <v/>
      </c>
      <c r="BR55" s="184" t="str">
        <f>IFERROR(Inv_SY_B!BR55/Inv_SY_B!$CA55-1,"")</f>
        <v/>
      </c>
      <c r="BS55" s="184" t="str">
        <f>IFERROR(Inv_SY_B!BS55/Inv_SY_B!$CA55-1,"")</f>
        <v/>
      </c>
      <c r="BT55" s="184" t="str">
        <f>IFERROR(Inv_SY_B!BT55/Inv_SY_B!$CA55-1,"")</f>
        <v/>
      </c>
      <c r="BU55" s="184" t="str">
        <f>IFERROR(Inv_SY_B!BU55/Inv_SY_B!$CA55-1,"")</f>
        <v/>
      </c>
      <c r="BV55" s="184" t="str">
        <f>IFERROR(Inv_SY_B!BV55/Inv_SY_B!$CA55-1,"")</f>
        <v/>
      </c>
      <c r="BW55" s="184" t="str">
        <f>IFERROR(Inv_SY_B!BW55/Inv_SY_B!$CA55-1,"")</f>
        <v/>
      </c>
      <c r="BX55" s="184" t="str">
        <f>IFERROR(Inv_SY_B!BX55/Inv_SY_B!$CA55-1,"")</f>
        <v/>
      </c>
    </row>
    <row r="56" spans="2:76">
      <c r="B56" s="179">
        <f t="shared" si="2"/>
        <v>45880</v>
      </c>
      <c r="C56" s="184" t="str">
        <f>IFERROR(Inv_SY_B!C56/Inv_SY_B!$BY56-1,"")</f>
        <v/>
      </c>
      <c r="D56" s="184" t="str">
        <f>IFERROR(Inv_SY_B!D56/Inv_SY_B!$BY56-1,"")</f>
        <v/>
      </c>
      <c r="E56" s="184" t="str">
        <f>IFERROR(Inv_SY_B!E56/Inv_SY_B!$BY56-1,"")</f>
        <v/>
      </c>
      <c r="F56" s="184" t="str">
        <f>IFERROR(Inv_SY_B!F56/Inv_SY_B!$BY56-1,"")</f>
        <v/>
      </c>
      <c r="G56" s="184" t="str">
        <f>IFERROR(Inv_SY_B!G56/Inv_SY_B!$BY56-1,"")</f>
        <v/>
      </c>
      <c r="H56" s="184" t="str">
        <f>IFERROR(Inv_SY_B!H56/Inv_SY_B!$BY56-1,"")</f>
        <v/>
      </c>
      <c r="I56" s="184" t="str">
        <f>IFERROR(Inv_SY_B!I56/Inv_SY_B!$BY56-1,"")</f>
        <v/>
      </c>
      <c r="J56" s="184" t="str">
        <f>IFERROR(Inv_SY_B!J56/Inv_SY_B!$BY56-1,"")</f>
        <v/>
      </c>
      <c r="K56" s="184" t="str">
        <f>IFERROR(Inv_SY_B!K56/Inv_SY_B!$BY56-1,"")</f>
        <v/>
      </c>
      <c r="L56" s="184" t="str">
        <f>IFERROR(Inv_SY_B!L56/Inv_SY_B!$BY56-1,"")</f>
        <v/>
      </c>
      <c r="M56" s="184" t="str">
        <f>IFERROR(Inv_SY_B!M56/Inv_SY_B!$BY56-1,"")</f>
        <v/>
      </c>
      <c r="N56" s="184" t="str">
        <f>IFERROR(Inv_SY_B!N56/Inv_SY_B!$BY56-1,"")</f>
        <v/>
      </c>
      <c r="O56" s="184" t="str">
        <f>IFERROR(Inv_SY_B!O56/Inv_SY_B!$BY56-1,"")</f>
        <v/>
      </c>
      <c r="P56" s="184" t="str">
        <f>IFERROR(Inv_SY_B!P56/Inv_SY_B!$BY56-1,"")</f>
        <v/>
      </c>
      <c r="Q56" s="184" t="str">
        <f>IFERROR(Inv_SY_B!Q56/Inv_SY_B!$BY56-1,"")</f>
        <v/>
      </c>
      <c r="R56" s="184" t="str">
        <f>IFERROR(Inv_SY_B!R56/Inv_SY_B!$BY56-1,"")</f>
        <v/>
      </c>
      <c r="S56" s="184" t="str">
        <f>IFERROR(Inv_SY_B!S56/Inv_SY_B!$BY56-1,"")</f>
        <v/>
      </c>
      <c r="T56" s="184" t="str">
        <f>IFERROR(Inv_SY_B!T56/Inv_SY_B!$BY56-1,"")</f>
        <v/>
      </c>
      <c r="U56" s="184" t="str">
        <f>IFERROR(Inv_SY_B!U56/Inv_SY_B!$BY56-1,"")</f>
        <v/>
      </c>
      <c r="V56" s="184" t="str">
        <f>IFERROR(Inv_SY_B!V56/Inv_SY_B!$BY56-1,"")</f>
        <v/>
      </c>
      <c r="W56" s="184" t="str">
        <f>IFERROR(Inv_SY_B!W56/Inv_SY_B!$BY56-1,"")</f>
        <v/>
      </c>
      <c r="X56" s="184" t="str">
        <f>IFERROR(Inv_SY_B!X56/Inv_SY_B!$BY56-1,"")</f>
        <v/>
      </c>
      <c r="Y56" s="184" t="str">
        <f>IFERROR(Inv_SY_B!Y56/Inv_SY_B!$BY56-1,"")</f>
        <v/>
      </c>
      <c r="Z56" s="184" t="str">
        <f>IFERROR(Inv_SY_B!Z56/Inv_SY_B!$BY56-1,"")</f>
        <v/>
      </c>
      <c r="AA56" s="184" t="str">
        <f>IFERROR(Inv_SY_B!AA56/Inv_SY_B!$BY56-1,"")</f>
        <v/>
      </c>
      <c r="AB56" s="184" t="str">
        <f>IFERROR(Inv_SY_B!AB56/Inv_SY_B!$BY56-1,"")</f>
        <v/>
      </c>
      <c r="AC56" s="184" t="str">
        <f>IFERROR(Inv_SY_B!AC56/Inv_SY_B!$BY56-1,"")</f>
        <v/>
      </c>
      <c r="AD56" s="184" t="str">
        <f>IFERROR(Inv_SY_B!AD56/Inv_SY_B!$BY56-1,"")</f>
        <v/>
      </c>
      <c r="AE56" s="184" t="str">
        <f>IFERROR(Inv_SY_B!AE56/Inv_SY_B!$BZ56-1,"")</f>
        <v/>
      </c>
      <c r="AF56" s="184" t="str">
        <f>IFERROR(Inv_SY_B!AF56/Inv_SY_B!$BZ56-1,"")</f>
        <v/>
      </c>
      <c r="AG56" s="184" t="str">
        <f>IFERROR(Inv_SY_B!AG56/Inv_SY_B!$BZ56-1,"")</f>
        <v/>
      </c>
      <c r="AH56" s="184" t="str">
        <f>IFERROR(Inv_SY_B!AH56/Inv_SY_B!$BZ56-1,"")</f>
        <v/>
      </c>
      <c r="AI56" s="184" t="str">
        <f>IFERROR(Inv_SY_B!AI56/Inv_SY_B!$BZ56-1,"")</f>
        <v/>
      </c>
      <c r="AJ56" s="184" t="str">
        <f>IFERROR(Inv_SY_B!AJ56/Inv_SY_B!$BZ56-1,"")</f>
        <v/>
      </c>
      <c r="AK56" s="184" t="str">
        <f>IFERROR(Inv_SY_B!AK56/Inv_SY_B!$BZ56-1,"")</f>
        <v/>
      </c>
      <c r="AL56" s="184" t="str">
        <f>IFERROR(Inv_SY_B!AL56/Inv_SY_B!$BZ56-1,"")</f>
        <v/>
      </c>
      <c r="AM56" s="184" t="str">
        <f>IFERROR(Inv_SY_B!AM56/Inv_SY_B!$BZ56-1,"")</f>
        <v/>
      </c>
      <c r="AN56" s="184" t="str">
        <f>IFERROR(Inv_SY_B!AN56/Inv_SY_B!$BZ56-1,"")</f>
        <v/>
      </c>
      <c r="AO56" s="184" t="str">
        <f>IFERROR(Inv_SY_B!AO56/Inv_SY_B!$BZ56-1,"")</f>
        <v/>
      </c>
      <c r="AP56" s="184" t="str">
        <f>IFERROR(Inv_SY_B!AP56/Inv_SY_B!$BZ56-1,"")</f>
        <v/>
      </c>
      <c r="AQ56" s="184" t="str">
        <f>IFERROR(Inv_SY_B!AQ56/Inv_SY_B!$BZ56-1,"")</f>
        <v/>
      </c>
      <c r="AR56" s="184" t="str">
        <f>IFERROR(Inv_SY_B!AR56/Inv_SY_B!$BZ56-1,"")</f>
        <v/>
      </c>
      <c r="AS56" s="184" t="str">
        <f>IFERROR(Inv_SY_B!AS56/Inv_SY_B!$BZ56-1,"")</f>
        <v/>
      </c>
      <c r="AT56" s="184" t="str">
        <f>IFERROR(Inv_SY_B!AT56/Inv_SY_B!$BZ56-1,"")</f>
        <v/>
      </c>
      <c r="AU56" s="184" t="str">
        <f>IFERROR(Inv_SY_B!AU56/Inv_SY_B!$BZ56-1,"")</f>
        <v/>
      </c>
      <c r="AV56" s="184" t="str">
        <f>IFERROR(Inv_SY_B!AV56/Inv_SY_B!$BZ56-1,"")</f>
        <v/>
      </c>
      <c r="AW56" s="184" t="str">
        <f>IFERROR(Inv_SY_B!AW56/Inv_SY_B!$CA56-1,"")</f>
        <v/>
      </c>
      <c r="AX56" s="184" t="str">
        <f>IFERROR(Inv_SY_B!AX56/Inv_SY_B!$CA56-1,"")</f>
        <v/>
      </c>
      <c r="AY56" s="184" t="str">
        <f>IFERROR(Inv_SY_B!AY56/Inv_SY_B!$CA56-1,"")</f>
        <v/>
      </c>
      <c r="AZ56" s="184" t="str">
        <f>IFERROR(Inv_SY_B!AZ56/Inv_SY_B!$CA56-1,"")</f>
        <v/>
      </c>
      <c r="BA56" s="184" t="str">
        <f>IFERROR(Inv_SY_B!BA56/Inv_SY_B!$CA56-1,"")</f>
        <v/>
      </c>
      <c r="BB56" s="184" t="str">
        <f>IFERROR(Inv_SY_B!BB56/Inv_SY_B!$CA56-1,"")</f>
        <v/>
      </c>
      <c r="BC56" s="184" t="str">
        <f>IFERROR(Inv_SY_B!BC56/Inv_SY_B!$CA56-1,"")</f>
        <v/>
      </c>
      <c r="BD56" s="184" t="str">
        <f>IFERROR(Inv_SY_B!BD56/Inv_SY_B!$CA56-1,"")</f>
        <v/>
      </c>
      <c r="BE56" s="184" t="str">
        <f>IFERROR(Inv_SY_B!BE56/Inv_SY_B!$CA56-1,"")</f>
        <v/>
      </c>
      <c r="BF56" s="184" t="str">
        <f>IFERROR(Inv_SY_B!BF56/Inv_SY_B!$CA56-1,"")</f>
        <v/>
      </c>
      <c r="BG56" s="184" t="str">
        <f>IFERROR(Inv_SY_B!BG56/Inv_SY_B!$CA56-1,"")</f>
        <v/>
      </c>
      <c r="BH56" s="184" t="str">
        <f>IFERROR(Inv_SY_B!BH56/Inv_SY_B!$CA56-1,"")</f>
        <v/>
      </c>
      <c r="BI56" s="184" t="str">
        <f>IFERROR(Inv_SY_B!BI56/Inv_SY_B!$CA56-1,"")</f>
        <v/>
      </c>
      <c r="BJ56" s="184" t="str">
        <f>IFERROR(Inv_SY_B!BJ56/Inv_SY_B!$CA56-1,"")</f>
        <v/>
      </c>
      <c r="BK56" s="184" t="str">
        <f>IFERROR(Inv_SY_B!BK56/Inv_SY_B!$CA56-1,"")</f>
        <v/>
      </c>
      <c r="BL56" s="184" t="str">
        <f>IFERROR(Inv_SY_B!BL56/Inv_SY_B!$CA56-1,"")</f>
        <v/>
      </c>
      <c r="BM56" s="184" t="str">
        <f>IFERROR(Inv_SY_B!BM56/Inv_SY_B!$CA56-1,"")</f>
        <v/>
      </c>
      <c r="BN56" s="184" t="str">
        <f>IFERROR(Inv_SY_B!BN56/Inv_SY_B!$CA56-1,"")</f>
        <v/>
      </c>
      <c r="BO56" s="184" t="str">
        <f>IFERROR(Inv_SY_B!BO56/Inv_SY_B!$CA56-1,"")</f>
        <v/>
      </c>
      <c r="BP56" s="184" t="str">
        <f>IFERROR(Inv_SY_B!BP56/Inv_SY_B!$CA56-1,"")</f>
        <v/>
      </c>
      <c r="BQ56" s="184" t="str">
        <f>IFERROR(Inv_SY_B!BQ56/Inv_SY_B!$CA56-1,"")</f>
        <v/>
      </c>
      <c r="BR56" s="184" t="str">
        <f>IFERROR(Inv_SY_B!BR56/Inv_SY_B!$CA56-1,"")</f>
        <v/>
      </c>
      <c r="BS56" s="184" t="str">
        <f>IFERROR(Inv_SY_B!BS56/Inv_SY_B!$CA56-1,"")</f>
        <v/>
      </c>
      <c r="BT56" s="184" t="str">
        <f>IFERROR(Inv_SY_B!BT56/Inv_SY_B!$CA56-1,"")</f>
        <v/>
      </c>
      <c r="BU56" s="184" t="str">
        <f>IFERROR(Inv_SY_B!BU56/Inv_SY_B!$CA56-1,"")</f>
        <v/>
      </c>
      <c r="BV56" s="184" t="str">
        <f>IFERROR(Inv_SY_B!BV56/Inv_SY_B!$CA56-1,"")</f>
        <v/>
      </c>
      <c r="BW56" s="184" t="str">
        <f>IFERROR(Inv_SY_B!BW56/Inv_SY_B!$CA56-1,"")</f>
        <v/>
      </c>
      <c r="BX56" s="184" t="str">
        <f>IFERROR(Inv_SY_B!BX56/Inv_SY_B!$CA56-1,"")</f>
        <v/>
      </c>
    </row>
  </sheetData>
  <conditionalFormatting sqref="C4:BX56">
    <cfRule type="cellIs" dxfId="395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Q7"/>
  <sheetViews>
    <sheetView workbookViewId="0">
      <selection activeCell="E5" sqref="E5"/>
    </sheetView>
  </sheetViews>
  <sheetFormatPr defaultRowHeight="15"/>
  <cols>
    <col min="2" max="2" width="9.125" style="9"/>
    <col min="4" max="4" width="31.375" bestFit="1" customWidth="1"/>
    <col min="5" max="5" width="31.375" style="5" bestFit="1" customWidth="1"/>
  </cols>
  <sheetData>
    <row r="3" spans="2:17">
      <c r="B3" s="6" t="s">
        <v>6</v>
      </c>
      <c r="C3" s="2" t="s">
        <v>316</v>
      </c>
      <c r="D3" s="2" t="s">
        <v>317</v>
      </c>
      <c r="E3" s="2" t="s">
        <v>318</v>
      </c>
    </row>
    <row r="4" spans="2:17">
      <c r="B4" s="6">
        <v>1</v>
      </c>
      <c r="C4" s="2"/>
      <c r="D4" s="2" t="s">
        <v>319</v>
      </c>
      <c r="E4" s="1" t="s">
        <v>320</v>
      </c>
    </row>
    <row r="5" spans="2:17">
      <c r="B5" s="6">
        <f>B4+1</f>
        <v>2</v>
      </c>
      <c r="C5" s="2"/>
      <c r="D5" s="2" t="s">
        <v>321</v>
      </c>
      <c r="E5" s="1" t="s">
        <v>322</v>
      </c>
      <c r="F5">
        <v>8.8000000000000007</v>
      </c>
      <c r="G5">
        <v>3.125</v>
      </c>
    </row>
    <row r="6" spans="2:17">
      <c r="F6">
        <f>F5*2</f>
        <v>17.600000000000001</v>
      </c>
      <c r="G6">
        <f>G5*6</f>
        <v>18.75</v>
      </c>
    </row>
    <row r="7" spans="2:17">
      <c r="O7">
        <v>10000</v>
      </c>
      <c r="P7">
        <v>200</v>
      </c>
      <c r="Q7">
        <f>1-(P7/SUM(O7:P7))</f>
        <v>0.98039215686274506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1"/>
  <sheetViews>
    <sheetView zoomScale="70" zoomScaleNormal="70" workbookViewId="0">
      <selection activeCell="H17" sqref="H17"/>
    </sheetView>
  </sheetViews>
  <sheetFormatPr defaultColWidth="8.875" defaultRowHeight="15"/>
  <cols>
    <col min="1" max="2" width="10.125" customWidth="1"/>
    <col min="3" max="3" width="12.125" customWidth="1"/>
    <col min="4" max="4" width="12.875" customWidth="1"/>
    <col min="5" max="5" width="13.875" customWidth="1"/>
    <col min="6" max="6" width="19.125" customWidth="1"/>
    <col min="7" max="7" width="8.125" customWidth="1"/>
    <col min="8" max="8" width="9.125" style="5" customWidth="1"/>
    <col min="9" max="9" width="10" style="5" customWidth="1"/>
    <col min="10" max="10" width="72.125" customWidth="1"/>
    <col min="11" max="11" width="9.875" customWidth="1"/>
    <col min="13" max="13" width="10.125" customWidth="1"/>
    <col min="14" max="14" width="12" customWidth="1"/>
    <col min="15" max="15" width="8.125" customWidth="1"/>
    <col min="16" max="16" width="8" customWidth="1"/>
    <col min="17" max="17" width="38" customWidth="1"/>
    <col min="18" max="18" width="8.875" customWidth="1"/>
    <col min="19" max="21" width="11.875" customWidth="1"/>
    <col min="22" max="22" width="15.1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323</v>
      </c>
      <c r="F1" s="16" t="s">
        <v>324</v>
      </c>
      <c r="G1" s="16" t="s">
        <v>35</v>
      </c>
      <c r="H1" s="16" t="s">
        <v>325</v>
      </c>
      <c r="I1" s="16" t="s">
        <v>326</v>
      </c>
      <c r="J1" s="16" t="s">
        <v>327</v>
      </c>
      <c r="K1" s="16" t="s">
        <v>328</v>
      </c>
      <c r="L1" s="16" t="s">
        <v>329</v>
      </c>
      <c r="M1" s="16" t="s">
        <v>330</v>
      </c>
      <c r="N1" s="16" t="s">
        <v>331</v>
      </c>
      <c r="O1" s="16" t="s">
        <v>332</v>
      </c>
      <c r="P1" s="16" t="s">
        <v>333</v>
      </c>
      <c r="Q1" s="16" t="s">
        <v>334</v>
      </c>
      <c r="R1" s="16" t="s">
        <v>335</v>
      </c>
      <c r="S1" s="16" t="s">
        <v>336</v>
      </c>
      <c r="T1" s="16" t="s">
        <v>337</v>
      </c>
      <c r="U1" s="16" t="s">
        <v>338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339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339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339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339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339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  <row r="7" spans="1:21">
      <c r="A7" s="9">
        <v>6</v>
      </c>
      <c r="B7" s="18"/>
      <c r="C7" s="29">
        <f>YEAR(IGA_BD[[#This Row],[Date]])+IF(MONTH(IGA_BD[[#This Row],[Date]])&gt;=4,1,0)</f>
        <v>1900</v>
      </c>
      <c r="D7" s="9">
        <f>YEAR(IGA_BD[[#This Row],[Date]])</f>
        <v>1900</v>
      </c>
      <c r="E7" s="9" t="s">
        <v>339</v>
      </c>
      <c r="F7" s="19"/>
      <c r="G7" s="5"/>
      <c r="I7" s="30"/>
      <c r="K7" s="20"/>
      <c r="L7" s="20"/>
      <c r="M7" s="22"/>
      <c r="N7" s="21"/>
      <c r="O7" s="21"/>
      <c r="P7" s="21"/>
      <c r="Q7" s="25"/>
      <c r="R7" s="25"/>
      <c r="S7" s="28"/>
      <c r="T7" s="28"/>
      <c r="U7" s="62" t="str">
        <f>IFERROR(IGA_BD[[#This Row],[Lost POA(kWh/m2)]]*_xlfn.XLOOKUP(IGA_BD[[#This Row],[Date]],#REF!,#REF!)*_xlfn.XLOOKUP(IGA_BD[[#This Row],[Date]],RD[Date],RD[Connected DC Capcity (MWp)])*1000,"")</f>
        <v/>
      </c>
    </row>
    <row r="8" spans="1:21">
      <c r="A8" s="9">
        <v>7</v>
      </c>
      <c r="B8" s="18"/>
      <c r="C8" s="29">
        <f>YEAR(IGA_BD[[#This Row],[Date]])+IF(MONTH(IGA_BD[[#This Row],[Date]])&gt;=4,1,0)</f>
        <v>1900</v>
      </c>
      <c r="D8" s="9">
        <f>YEAR(IGA_BD[[#This Row],[Date]])</f>
        <v>1900</v>
      </c>
      <c r="E8" s="9" t="s">
        <v>339</v>
      </c>
      <c r="F8" s="19"/>
      <c r="G8" s="5"/>
      <c r="I8" s="30"/>
      <c r="K8" s="20"/>
      <c r="L8" s="20"/>
      <c r="M8" s="20"/>
      <c r="N8" s="21"/>
      <c r="O8" s="21"/>
      <c r="P8" s="21"/>
      <c r="Q8" s="25"/>
      <c r="R8" s="25"/>
      <c r="S8" s="28"/>
      <c r="T8" s="28"/>
      <c r="U8" s="62" t="str">
        <f>IFERROR(IGA_BD[[#This Row],[Lost POA(kWh/m2)]]*_xlfn.XLOOKUP(IGA_BD[[#This Row],[Date]],#REF!,#REF!)*_xlfn.XLOOKUP(IGA_BD[[#This Row],[Date]],RD[Date],RD[Connected DC Capcity (MWp)])*1000,"")</f>
        <v/>
      </c>
    </row>
    <row r="9" spans="1:21">
      <c r="A9" s="9">
        <v>8</v>
      </c>
      <c r="B9" s="18"/>
      <c r="C9" s="29">
        <f>YEAR(IGA_BD[[#This Row],[Date]])+IF(MONTH(IGA_BD[[#This Row],[Date]])&gt;=4,1,0)</f>
        <v>1900</v>
      </c>
      <c r="D9" s="9">
        <f>YEAR(IGA_BD[[#This Row],[Date]])</f>
        <v>1900</v>
      </c>
      <c r="E9" s="9" t="s">
        <v>339</v>
      </c>
      <c r="F9" s="19"/>
      <c r="G9" s="5"/>
      <c r="I9" s="30"/>
      <c r="K9" s="20"/>
      <c r="L9" s="20"/>
      <c r="M9" s="22"/>
      <c r="N9" s="21"/>
      <c r="O9" s="21"/>
      <c r="P9" s="21"/>
      <c r="Q9" s="25"/>
      <c r="R9" s="25"/>
      <c r="S9" s="28"/>
      <c r="T9" s="28"/>
      <c r="U9" s="62" t="str">
        <f>IFERROR(IGA_BD[[#This Row],[Lost POA(kWh/m2)]]*_xlfn.XLOOKUP(IGA_BD[[#This Row],[Date]],#REF!,#REF!)*_xlfn.XLOOKUP(IGA_BD[[#This Row],[Date]],RD[Date],RD[Connected DC Capcity (MWp)])*1000,"")</f>
        <v/>
      </c>
    </row>
    <row r="10" spans="1:21">
      <c r="A10" s="9">
        <v>9</v>
      </c>
      <c r="B10" s="18"/>
      <c r="C10" s="29">
        <f>YEAR(IGA_BD[[#This Row],[Date]])+IF(MONTH(IGA_BD[[#This Row],[Date]])&gt;=4,1,0)</f>
        <v>1900</v>
      </c>
      <c r="D10" s="9">
        <f>YEAR(IGA_BD[[#This Row],[Date]])</f>
        <v>1900</v>
      </c>
      <c r="E10" s="9" t="s">
        <v>339</v>
      </c>
      <c r="F10" s="19"/>
      <c r="G10" s="5"/>
      <c r="I10" s="30"/>
      <c r="K10" s="20"/>
      <c r="L10" s="20"/>
      <c r="M10" s="20"/>
      <c r="N10" s="21"/>
      <c r="O10" s="21"/>
      <c r="P10" s="21"/>
      <c r="Q10" s="25"/>
      <c r="R10" s="25"/>
      <c r="S10" s="28"/>
      <c r="T10" s="28"/>
      <c r="U10" s="62" t="str">
        <f>IFERROR(IGA_BD[[#This Row],[Lost POA(kWh/m2)]]*_xlfn.XLOOKUP(IGA_BD[[#This Row],[Date]],#REF!,#REF!)*_xlfn.XLOOKUP(IGA_BD[[#This Row],[Date]],RD[Date],RD[Connected DC Capcity (MWp)])*1000,"")</f>
        <v/>
      </c>
    </row>
    <row r="11" spans="1:21">
      <c r="A11" s="9">
        <v>10</v>
      </c>
      <c r="B11" s="18"/>
      <c r="C11" s="29">
        <f>YEAR(IGA_BD[[#This Row],[Date]])+IF(MONTH(IGA_BD[[#This Row],[Date]])&gt;=4,1,0)</f>
        <v>1900</v>
      </c>
      <c r="D11" s="9">
        <f>YEAR(IGA_BD[[#This Row],[Date]])</f>
        <v>1900</v>
      </c>
      <c r="E11" s="9" t="s">
        <v>339</v>
      </c>
      <c r="F11" s="19"/>
      <c r="G11" s="5"/>
      <c r="I11" s="30"/>
      <c r="K11" s="20"/>
      <c r="L11" s="20"/>
      <c r="M11" s="20"/>
      <c r="N11" s="21"/>
      <c r="O11" s="21"/>
      <c r="P11" s="21"/>
      <c r="Q11" s="25"/>
      <c r="R11" s="25"/>
      <c r="S11" s="28"/>
      <c r="T11" s="28"/>
      <c r="U11" s="62" t="str">
        <f>IFERROR(IGA_BD[[#This Row],[Lost POA(kWh/m2)]]*_xlfn.XLOOKUP(IGA_BD[[#This Row],[Date]],#REF!,#REF!)*_xlfn.XLOOKUP(IGA_BD[[#This Row],[Date]],RD[Date],RD[Connected DC Capcity (MWp)])*1000,"")</f>
        <v/>
      </c>
    </row>
    <row r="12" spans="1:21">
      <c r="A12" s="9">
        <v>11</v>
      </c>
      <c r="B12" s="18"/>
      <c r="C12" s="29">
        <f>YEAR(IGA_BD[[#This Row],[Date]])+IF(MONTH(IGA_BD[[#This Row],[Date]])&gt;=4,1,0)</f>
        <v>1900</v>
      </c>
      <c r="D12" s="9">
        <f>YEAR(IGA_BD[[#This Row],[Date]])</f>
        <v>1900</v>
      </c>
      <c r="E12" s="9" t="s">
        <v>339</v>
      </c>
      <c r="F12" s="19"/>
      <c r="G12" s="5"/>
      <c r="I12" s="30"/>
      <c r="K12" s="20"/>
      <c r="L12" s="20"/>
      <c r="M12" s="20"/>
      <c r="N12" s="21"/>
      <c r="O12" s="21"/>
      <c r="P12" s="21"/>
      <c r="Q12" s="25"/>
      <c r="R12" s="25"/>
      <c r="S12" s="28"/>
      <c r="T12" s="28"/>
      <c r="U12" s="62" t="str">
        <f>IFERROR(IGA_BD[[#This Row],[Lost POA(kWh/m2)]]*_xlfn.XLOOKUP(IGA_BD[[#This Row],[Date]],#REF!,#REF!)*_xlfn.XLOOKUP(IGA_BD[[#This Row],[Date]],RD[Date],RD[Connected DC Capcity (MWp)])*1000,"")</f>
        <v/>
      </c>
    </row>
    <row r="13" spans="1:21">
      <c r="A13" s="9">
        <v>12</v>
      </c>
      <c r="B13" s="18"/>
      <c r="C13" s="29">
        <f>YEAR(IGA_BD[[#This Row],[Date]])+IF(MONTH(IGA_BD[[#This Row],[Date]])&gt;=4,1,0)</f>
        <v>1900</v>
      </c>
      <c r="D13" s="9">
        <f>YEAR(IGA_BD[[#This Row],[Date]])</f>
        <v>1900</v>
      </c>
      <c r="E13" s="9" t="s">
        <v>339</v>
      </c>
      <c r="F13" s="19"/>
      <c r="G13" s="5"/>
      <c r="I13" s="30"/>
      <c r="K13" s="20"/>
      <c r="L13" s="20"/>
      <c r="M13" s="20"/>
      <c r="N13" s="21"/>
      <c r="O13" s="21"/>
      <c r="P13" s="21"/>
      <c r="Q13" s="25"/>
      <c r="R13" s="25"/>
      <c r="S13" s="28"/>
      <c r="T13" s="28"/>
      <c r="U13" s="62" t="str">
        <f>IFERROR(IGA_BD[[#This Row],[Lost POA(kWh/m2)]]*_xlfn.XLOOKUP(IGA_BD[[#This Row],[Date]],#REF!,#REF!)*_xlfn.XLOOKUP(IGA_BD[[#This Row],[Date]],RD[Date],RD[Connected DC Capcity (MWp)])*1000,"")</f>
        <v/>
      </c>
    </row>
    <row r="14" spans="1:21">
      <c r="A14" s="9">
        <v>13</v>
      </c>
      <c r="B14" s="18"/>
      <c r="C14" s="29">
        <f>YEAR(IGA_BD[[#This Row],[Date]])+IF(MONTH(IGA_BD[[#This Row],[Date]])&gt;=4,1,0)</f>
        <v>1900</v>
      </c>
      <c r="D14" s="9">
        <f>YEAR(IGA_BD[[#This Row],[Date]])</f>
        <v>1900</v>
      </c>
      <c r="E14" s="9" t="s">
        <v>339</v>
      </c>
      <c r="F14" s="19"/>
      <c r="G14" s="5"/>
      <c r="I14" s="30"/>
      <c r="K14" s="20"/>
      <c r="L14" s="20"/>
      <c r="M14" s="20"/>
      <c r="N14" s="21"/>
      <c r="O14" s="21"/>
      <c r="P14" s="21"/>
      <c r="Q14" s="25"/>
      <c r="R14" s="25"/>
      <c r="S14" s="28"/>
      <c r="T14" s="28"/>
      <c r="U14" s="62" t="str">
        <f>IFERROR(IGA_BD[[#This Row],[Lost POA(kWh/m2)]]*_xlfn.XLOOKUP(IGA_BD[[#This Row],[Date]],#REF!,#REF!)*_xlfn.XLOOKUP(IGA_BD[[#This Row],[Date]],RD[Date],RD[Connected DC Capcity (MWp)])*1000,"")</f>
        <v/>
      </c>
    </row>
    <row r="15" spans="1:21">
      <c r="A15" s="9">
        <v>14</v>
      </c>
      <c r="B15" s="18"/>
      <c r="C15" s="29">
        <f>YEAR(IGA_BD[[#This Row],[Date]])+IF(MONTH(IGA_BD[[#This Row],[Date]])&gt;=4,1,0)</f>
        <v>1900</v>
      </c>
      <c r="D15" s="9">
        <f>YEAR(IGA_BD[[#This Row],[Date]])</f>
        <v>1900</v>
      </c>
      <c r="E15" s="9" t="s">
        <v>340</v>
      </c>
      <c r="F15" s="19"/>
      <c r="G15" s="5"/>
      <c r="I15" s="30"/>
      <c r="K15" s="20"/>
      <c r="L15" s="20"/>
      <c r="M15" s="20"/>
      <c r="N15" s="21"/>
      <c r="O15" s="21"/>
      <c r="P15" s="21"/>
      <c r="Q15" s="25"/>
      <c r="R15" s="25"/>
      <c r="S15" s="28"/>
      <c r="T15" s="28"/>
      <c r="U15" s="62" t="str">
        <f>IFERROR(IGA_BD[[#This Row],[Lost POA(kWh/m2)]]*_xlfn.XLOOKUP(IGA_BD[[#This Row],[Date]],#REF!,#REF!)*_xlfn.XLOOKUP(IGA_BD[[#This Row],[Date]],RD[Date],RD[Connected DC Capcity (MWp)])*1000,"")</f>
        <v/>
      </c>
    </row>
    <row r="16" spans="1:21">
      <c r="A16" s="9">
        <v>15</v>
      </c>
      <c r="B16" s="18"/>
      <c r="C16" s="29">
        <f>YEAR(IGA_BD[[#This Row],[Date]])+IF(MONTH(IGA_BD[[#This Row],[Date]])&gt;=4,1,0)</f>
        <v>1900</v>
      </c>
      <c r="D16" s="9">
        <f>YEAR(IGA_BD[[#This Row],[Date]])</f>
        <v>1900</v>
      </c>
      <c r="E16" s="9" t="s">
        <v>340</v>
      </c>
      <c r="F16" s="19"/>
      <c r="G16" s="5"/>
      <c r="I16" s="30"/>
      <c r="K16" s="20"/>
      <c r="L16" s="20"/>
      <c r="M16" s="20"/>
      <c r="N16" s="21"/>
      <c r="O16" s="21"/>
      <c r="P16" s="21"/>
      <c r="Q16" s="25"/>
      <c r="R16" s="25"/>
      <c r="S16" s="28"/>
      <c r="T16" s="28"/>
      <c r="U16" s="62" t="str">
        <f>IFERROR(IGA_BD[[#This Row],[Lost POA(kWh/m2)]]*_xlfn.XLOOKUP(IGA_BD[[#This Row],[Date]],#REF!,#REF!)*_xlfn.XLOOKUP(IGA_BD[[#This Row],[Date]],RD[Date],RD[Connected DC Capcity (MWp)])*1000,"")</f>
        <v/>
      </c>
    </row>
    <row r="17" spans="1:21">
      <c r="A17" s="9">
        <v>16</v>
      </c>
      <c r="B17" s="18"/>
      <c r="C17" s="29">
        <f>YEAR(IGA_BD[[#This Row],[Date]])+IF(MONTH(IGA_BD[[#This Row],[Date]])&gt;=4,1,0)</f>
        <v>1900</v>
      </c>
      <c r="D17" s="9">
        <f>YEAR(IGA_BD[[#This Row],[Date]])</f>
        <v>1900</v>
      </c>
      <c r="E17" s="9" t="s">
        <v>340</v>
      </c>
      <c r="F17" s="19"/>
      <c r="G17" s="5"/>
      <c r="I17" s="30"/>
      <c r="K17" s="20"/>
      <c r="L17" s="20"/>
      <c r="M17" s="20"/>
      <c r="N17" s="21"/>
      <c r="O17" s="21"/>
      <c r="P17" s="21"/>
      <c r="Q17" s="25"/>
      <c r="R17" s="25"/>
      <c r="S17" s="28"/>
      <c r="T17" s="28"/>
      <c r="U17" s="62" t="str">
        <f>IFERROR(IGA_BD[[#This Row],[Lost POA(kWh/m2)]]*_xlfn.XLOOKUP(IGA_BD[[#This Row],[Date]],#REF!,#REF!)*_xlfn.XLOOKUP(IGA_BD[[#This Row],[Date]],RD[Date],RD[Connected DC Capcity (MWp)])*1000,"")</f>
        <v/>
      </c>
    </row>
    <row r="18" spans="1:21">
      <c r="A18" s="9">
        <v>17</v>
      </c>
      <c r="B18" s="18"/>
      <c r="C18" s="29">
        <f>YEAR(IGA_BD[[#This Row],[Date]])+IF(MONTH(IGA_BD[[#This Row],[Date]])&gt;=4,1,0)</f>
        <v>1900</v>
      </c>
      <c r="D18" s="9">
        <f>YEAR(IGA_BD[[#This Row],[Date]])</f>
        <v>1900</v>
      </c>
      <c r="E18" s="9" t="s">
        <v>340</v>
      </c>
      <c r="F18" s="19"/>
      <c r="G18" s="5"/>
      <c r="I18" s="30"/>
      <c r="K18" s="20"/>
      <c r="L18" s="20"/>
      <c r="M18" s="22"/>
      <c r="N18" s="21"/>
      <c r="O18" s="21"/>
      <c r="P18" s="21"/>
      <c r="Q18" s="25"/>
      <c r="R18" s="19"/>
      <c r="S18" s="28"/>
      <c r="T18" s="28"/>
      <c r="U18" s="62" t="str">
        <f>IFERROR(IGA_BD[[#This Row],[Lost POA(kWh/m2)]]*_xlfn.XLOOKUP(IGA_BD[[#This Row],[Date]],#REF!,#REF!)*_xlfn.XLOOKUP(IGA_BD[[#This Row],[Date]],RD[Date],RD[Connected DC Capcity (MWp)])*1000,"")</f>
        <v/>
      </c>
    </row>
    <row r="19" spans="1:21">
      <c r="A19" s="9">
        <v>18</v>
      </c>
      <c r="B19" s="18"/>
      <c r="C19" s="29">
        <f>YEAR(IGA_BD[[#This Row],[Date]])+IF(MONTH(IGA_BD[[#This Row],[Date]])&gt;=4,1,0)</f>
        <v>1900</v>
      </c>
      <c r="D19" s="9">
        <f>YEAR(IGA_BD[[#This Row],[Date]])</f>
        <v>1900</v>
      </c>
      <c r="E19" s="9" t="s">
        <v>340</v>
      </c>
      <c r="F19" s="19"/>
      <c r="G19" s="5"/>
      <c r="I19" s="30"/>
      <c r="K19" s="20"/>
      <c r="L19" s="20"/>
      <c r="M19" s="22"/>
      <c r="N19" s="21"/>
      <c r="O19" s="21"/>
      <c r="P19" s="21"/>
      <c r="Q19" s="25"/>
      <c r="R19" s="19"/>
      <c r="S19" s="28"/>
      <c r="T19" s="28"/>
      <c r="U19" s="62" t="str">
        <f>IFERROR(IGA_BD[[#This Row],[Lost POA(kWh/m2)]]*_xlfn.XLOOKUP(IGA_BD[[#This Row],[Date]],#REF!,#REF!)*_xlfn.XLOOKUP(IGA_BD[[#This Row],[Date]],RD[Date],RD[Connected DC Capcity (MWp)])*1000,"")</f>
        <v/>
      </c>
    </row>
    <row r="20" spans="1:21">
      <c r="A20" s="135">
        <v>19</v>
      </c>
      <c r="B20" s="18"/>
      <c r="C20" s="29">
        <f>YEAR(IGA_BD[[#This Row],[Date]])+IF(MONTH(IGA_BD[[#This Row],[Date]])&gt;=4,1,0)</f>
        <v>1900</v>
      </c>
      <c r="D20" s="9">
        <f>YEAR(IGA_BD[[#This Row],[Date]])</f>
        <v>1900</v>
      </c>
      <c r="E20" s="9" t="s">
        <v>340</v>
      </c>
      <c r="F20" s="19"/>
      <c r="G20" s="5"/>
      <c r="I20" s="30"/>
      <c r="K20" s="22"/>
      <c r="L20" s="20"/>
      <c r="M20" s="20"/>
      <c r="N20" s="21"/>
      <c r="O20" s="21"/>
      <c r="P20" s="21"/>
      <c r="Q20" s="25"/>
      <c r="R20" s="25"/>
      <c r="S20" s="137"/>
      <c r="T20" s="28"/>
      <c r="U20" s="136" t="str">
        <f>IFERROR(IGA_BD[[#This Row],[Lost POA(kWh/m2)]]*_xlfn.XLOOKUP(IGA_BD[[#This Row],[Date]],#REF!,#REF!)*_xlfn.XLOOKUP(IGA_BD[[#This Row],[Date]],RD[Date],RD[Connected DC Capcity (MWp)])*1000,"")</f>
        <v/>
      </c>
    </row>
    <row r="21" spans="1:21">
      <c r="A21" s="9"/>
      <c r="B21" s="18"/>
      <c r="C21" s="9"/>
      <c r="D21" s="9"/>
      <c r="E21" s="9"/>
      <c r="J21" s="8"/>
      <c r="L21" s="20"/>
      <c r="M21" s="20"/>
      <c r="N21" s="20"/>
      <c r="O21" s="21"/>
      <c r="P21" s="21"/>
      <c r="Q21" s="21"/>
      <c r="R21" s="25"/>
      <c r="S21" s="5"/>
      <c r="T21" s="5"/>
      <c r="U21" s="21"/>
    </row>
    <row r="22" spans="1:21">
      <c r="A22" s="9"/>
      <c r="B22" s="18"/>
      <c r="C22" s="9"/>
      <c r="D22" s="9"/>
      <c r="E22" s="9"/>
      <c r="J22" s="8"/>
      <c r="L22" s="20"/>
      <c r="M22" s="20"/>
      <c r="N22" s="20"/>
      <c r="O22" s="21"/>
      <c r="P22" s="21"/>
      <c r="Q22" s="21"/>
      <c r="R22" s="25"/>
      <c r="S22" s="5"/>
      <c r="T22" s="5"/>
      <c r="U22" s="21"/>
    </row>
    <row r="23" spans="1:21">
      <c r="A23" s="9"/>
      <c r="B23" s="18"/>
      <c r="C23" s="9"/>
      <c r="D23" s="9"/>
      <c r="E23" s="9"/>
      <c r="J23" s="8"/>
      <c r="L23" s="20"/>
      <c r="M23" s="20"/>
      <c r="N23" s="20"/>
      <c r="O23" s="21"/>
      <c r="P23" s="21"/>
      <c r="Q23" s="21"/>
      <c r="R23" s="25"/>
      <c r="S23" s="5"/>
      <c r="T23" s="5"/>
      <c r="U23" s="21"/>
    </row>
    <row r="24" spans="1:21">
      <c r="A24" s="9"/>
      <c r="B24" s="18"/>
      <c r="C24" s="9"/>
      <c r="D24" s="9"/>
      <c r="E24" s="9"/>
      <c r="J24" s="8"/>
      <c r="L24" s="20"/>
      <c r="M24" s="20"/>
      <c r="N24" s="20"/>
      <c r="O24" s="21"/>
      <c r="P24" s="21"/>
      <c r="Q24" s="21"/>
      <c r="R24" s="25"/>
      <c r="S24" s="5"/>
      <c r="T24" s="5"/>
      <c r="U24" s="21"/>
    </row>
    <row r="25" spans="1:21">
      <c r="A25" s="9"/>
      <c r="B25" s="18"/>
      <c r="C25" s="9"/>
      <c r="D25" s="9"/>
      <c r="E25" s="9"/>
      <c r="J25" s="8"/>
      <c r="L25" s="20"/>
      <c r="M25" s="20"/>
      <c r="N25" s="20"/>
      <c r="O25" s="21"/>
      <c r="P25" s="21"/>
      <c r="Q25" s="21"/>
      <c r="R25" s="25"/>
      <c r="S25" s="5"/>
      <c r="T25" s="5"/>
      <c r="U25" s="21"/>
    </row>
    <row r="26" spans="1:21">
      <c r="A26" s="9"/>
      <c r="B26" s="18"/>
      <c r="C26" s="9"/>
      <c r="D26" s="9"/>
      <c r="E26" s="9"/>
      <c r="J26" s="8"/>
      <c r="L26" s="20"/>
      <c r="M26" s="20"/>
      <c r="N26" s="20"/>
      <c r="O26" s="21"/>
      <c r="P26" s="21"/>
      <c r="Q26" s="21"/>
      <c r="R26" s="25"/>
      <c r="S26" s="5"/>
      <c r="T26" s="5"/>
      <c r="U26" s="21"/>
    </row>
    <row r="27" spans="1:21">
      <c r="A27" s="9"/>
      <c r="B27" s="18"/>
      <c r="C27" s="9"/>
      <c r="D27" s="9"/>
      <c r="E27" s="9"/>
      <c r="J27" s="8"/>
      <c r="L27" s="20"/>
      <c r="M27" s="20"/>
      <c r="N27" s="20"/>
      <c r="O27" s="21"/>
      <c r="P27" s="21"/>
      <c r="Q27" s="21"/>
      <c r="R27" s="25"/>
      <c r="S27" s="5"/>
      <c r="T27" s="5"/>
      <c r="U27" s="21"/>
    </row>
    <row r="28" spans="1:21">
      <c r="A28" s="9"/>
      <c r="B28" s="18"/>
      <c r="C28" s="9"/>
      <c r="D28" s="9"/>
      <c r="E28" s="9"/>
      <c r="J28" s="8"/>
      <c r="L28" s="20"/>
      <c r="M28" s="20"/>
      <c r="N28" s="20"/>
      <c r="O28" s="21"/>
      <c r="P28" s="21"/>
      <c r="Q28" s="21"/>
      <c r="R28" s="25"/>
      <c r="S28" s="5"/>
      <c r="T28" s="5"/>
      <c r="U28" s="21"/>
    </row>
    <row r="29" spans="1:21">
      <c r="A29" s="9"/>
      <c r="B29" s="18"/>
      <c r="C29" s="9"/>
      <c r="D29" s="9"/>
      <c r="E29" s="9"/>
      <c r="J29" s="8"/>
      <c r="L29" s="20"/>
      <c r="M29" s="20"/>
      <c r="N29" s="20"/>
      <c r="O29" s="21"/>
      <c r="P29" s="21"/>
      <c r="Q29" s="21"/>
      <c r="R29" s="25"/>
      <c r="S29" s="5"/>
      <c r="T29" s="5"/>
      <c r="U29" s="21"/>
    </row>
    <row r="30" spans="1:21">
      <c r="A30" s="9"/>
      <c r="B30" s="18"/>
      <c r="C30" s="9"/>
      <c r="D30" s="9"/>
      <c r="E30" s="9"/>
      <c r="J30" s="8"/>
      <c r="L30" s="20"/>
      <c r="M30" s="20"/>
      <c r="N30" s="20"/>
      <c r="O30" s="21"/>
      <c r="P30" s="21"/>
      <c r="Q30" s="21"/>
      <c r="R30" s="25"/>
      <c r="S30" s="5"/>
      <c r="T30" s="5"/>
      <c r="U30" s="21"/>
    </row>
    <row r="31" spans="1:21">
      <c r="A31" s="9"/>
      <c r="B31" s="18"/>
      <c r="C31" s="9"/>
      <c r="D31" s="9"/>
      <c r="E31" s="9"/>
      <c r="J31" s="8"/>
      <c r="L31" s="20"/>
      <c r="M31" s="20"/>
      <c r="N31" s="20"/>
      <c r="O31" s="21"/>
      <c r="P31" s="21"/>
      <c r="Q31" s="21"/>
      <c r="R31" s="25"/>
      <c r="S31" s="5"/>
      <c r="T31" s="5"/>
      <c r="U31" s="21"/>
    </row>
    <row r="32" spans="1:21">
      <c r="A32" s="9"/>
      <c r="B32" s="18"/>
      <c r="C32" s="9"/>
      <c r="D32" s="9"/>
      <c r="E32" s="9"/>
      <c r="J32" s="8"/>
      <c r="L32" s="20"/>
      <c r="M32" s="20"/>
      <c r="N32" s="20"/>
      <c r="O32" s="21"/>
      <c r="P32" s="21"/>
      <c r="Q32" s="21"/>
      <c r="R32" s="25"/>
      <c r="S32" s="5"/>
      <c r="T32" s="5"/>
      <c r="U32" s="21"/>
    </row>
    <row r="33" spans="1:21">
      <c r="A33" s="9"/>
      <c r="B33" s="18"/>
      <c r="C33" s="9"/>
      <c r="D33" s="9"/>
      <c r="E33" s="9"/>
      <c r="J33" s="8"/>
      <c r="L33" s="20"/>
      <c r="M33" s="20"/>
      <c r="N33" s="20"/>
      <c r="O33" s="21"/>
      <c r="P33" s="21"/>
      <c r="Q33" s="21"/>
      <c r="R33" s="25"/>
      <c r="S33" s="5"/>
      <c r="T33" s="5"/>
      <c r="U33" s="21"/>
    </row>
    <row r="34" spans="1:21">
      <c r="A34" s="9"/>
      <c r="B34" s="18"/>
      <c r="C34" s="9"/>
      <c r="D34" s="9"/>
      <c r="E34" s="9"/>
      <c r="J34" s="8"/>
      <c r="L34" s="20"/>
      <c r="M34" s="20"/>
      <c r="N34" s="20"/>
      <c r="O34" s="21"/>
      <c r="P34" s="21"/>
      <c r="Q34" s="21"/>
      <c r="R34" s="25"/>
      <c r="S34" s="5"/>
      <c r="T34" s="5"/>
      <c r="U34" s="21"/>
    </row>
    <row r="35" spans="1:21">
      <c r="A35" s="9"/>
      <c r="B35" s="18"/>
      <c r="C35" s="9"/>
      <c r="D35" s="9"/>
      <c r="E35" s="9"/>
      <c r="J35" s="8"/>
      <c r="L35" s="20"/>
      <c r="M35" s="20"/>
      <c r="N35" s="20"/>
      <c r="O35" s="21"/>
      <c r="P35" s="21"/>
      <c r="Q35" s="21"/>
      <c r="R35" s="25"/>
      <c r="S35" s="5"/>
      <c r="T35" s="5"/>
      <c r="U35" s="21"/>
    </row>
    <row r="36" spans="1:21">
      <c r="A36" s="9"/>
      <c r="B36" s="18"/>
      <c r="C36" s="9"/>
      <c r="D36" s="9"/>
      <c r="E36" s="9"/>
      <c r="J36" s="8"/>
      <c r="L36" s="20"/>
      <c r="M36" s="20"/>
      <c r="N36" s="20"/>
      <c r="O36" s="21"/>
      <c r="P36" s="21"/>
      <c r="Q36" s="21"/>
      <c r="R36" s="25"/>
      <c r="S36" s="5"/>
      <c r="T36" s="5"/>
      <c r="U36" s="21"/>
    </row>
    <row r="37" spans="1:21">
      <c r="A37" s="9"/>
      <c r="B37" s="18"/>
      <c r="C37" s="9"/>
      <c r="D37" s="9"/>
      <c r="E37" s="9"/>
      <c r="J37" s="8"/>
      <c r="L37" s="20"/>
      <c r="M37" s="20"/>
      <c r="N37" s="20"/>
      <c r="O37" s="21"/>
      <c r="P37" s="21"/>
      <c r="Q37" s="21"/>
      <c r="R37" s="25"/>
      <c r="S37" s="5"/>
      <c r="T37" s="5"/>
      <c r="U37" s="21"/>
    </row>
    <row r="38" spans="1:21">
      <c r="A38" s="9"/>
      <c r="B38" s="18"/>
      <c r="C38" s="9"/>
      <c r="D38" s="9"/>
      <c r="E38" s="9"/>
      <c r="J38" s="8"/>
      <c r="L38" s="20"/>
      <c r="M38" s="20"/>
      <c r="N38" s="20"/>
      <c r="O38" s="21"/>
      <c r="P38" s="21"/>
      <c r="Q38" s="21"/>
      <c r="R38" s="25"/>
      <c r="S38" s="5"/>
      <c r="T38" s="5"/>
      <c r="U38" s="21"/>
    </row>
    <row r="39" spans="1:21">
      <c r="A39" s="9"/>
      <c r="B39" s="18"/>
      <c r="C39" s="9"/>
      <c r="D39" s="9"/>
      <c r="E39" s="9"/>
      <c r="J39" s="8"/>
      <c r="L39" s="20"/>
      <c r="M39" s="20"/>
      <c r="N39" s="20"/>
      <c r="O39" s="21"/>
      <c r="P39" s="21"/>
      <c r="Q39" s="21"/>
      <c r="R39" s="25"/>
      <c r="S39" s="5"/>
      <c r="T39" s="5"/>
      <c r="U39" s="21"/>
    </row>
    <row r="40" spans="1:21">
      <c r="A40" s="9"/>
      <c r="B40" s="18"/>
      <c r="C40" s="9"/>
      <c r="D40" s="9"/>
      <c r="E40" s="9"/>
      <c r="J40" s="8"/>
      <c r="L40" s="20"/>
      <c r="M40" s="20"/>
      <c r="N40" s="20"/>
      <c r="O40" s="21"/>
      <c r="P40" s="21"/>
      <c r="Q40" s="21"/>
      <c r="R40" s="25"/>
      <c r="S40" s="5"/>
      <c r="T40" s="5"/>
      <c r="U40" s="21"/>
    </row>
    <row r="41" spans="1:21">
      <c r="A41" s="9"/>
      <c r="B41" s="18"/>
      <c r="C41" s="9"/>
      <c r="D41" s="9"/>
      <c r="E41" s="9"/>
      <c r="J41" s="8"/>
      <c r="L41" s="20"/>
      <c r="M41" s="20"/>
      <c r="N41" s="20"/>
      <c r="O41" s="21"/>
      <c r="P41" s="21"/>
      <c r="Q41" s="21"/>
      <c r="R41" s="25"/>
      <c r="S41" s="5"/>
      <c r="T41" s="5"/>
      <c r="U41" s="21"/>
    </row>
    <row r="42" spans="1:21">
      <c r="A42" s="9"/>
      <c r="B42" s="18"/>
      <c r="C42" s="9"/>
      <c r="D42" s="9"/>
      <c r="E42" s="9"/>
      <c r="J42" s="8"/>
      <c r="L42" s="20"/>
      <c r="M42" s="20"/>
      <c r="N42" s="20"/>
      <c r="O42" s="21"/>
      <c r="P42" s="21"/>
      <c r="Q42" s="21"/>
      <c r="R42" s="25"/>
      <c r="S42" s="5"/>
      <c r="T42" s="5"/>
      <c r="U42" s="21"/>
    </row>
    <row r="43" spans="1:21">
      <c r="A43" s="9"/>
      <c r="B43" s="18"/>
      <c r="C43" s="9"/>
      <c r="D43" s="9"/>
      <c r="E43" s="9"/>
      <c r="J43" s="8"/>
      <c r="L43" s="20"/>
      <c r="M43" s="20"/>
      <c r="N43" s="20"/>
      <c r="O43" s="21"/>
      <c r="P43" s="21"/>
      <c r="Q43" s="21"/>
      <c r="R43" s="25"/>
      <c r="S43" s="5"/>
      <c r="T43" s="5"/>
      <c r="U43" s="21"/>
    </row>
    <row r="44" spans="1:21">
      <c r="A44" s="9"/>
      <c r="B44" s="18"/>
      <c r="C44" s="9"/>
      <c r="D44" s="9"/>
      <c r="E44" s="9"/>
      <c r="J44" s="8"/>
      <c r="L44" s="20"/>
      <c r="M44" s="20"/>
      <c r="N44" s="20"/>
      <c r="O44" s="21"/>
      <c r="P44" s="21"/>
      <c r="Q44" s="21"/>
      <c r="R44" s="25"/>
      <c r="S44" s="5"/>
      <c r="T44" s="5"/>
      <c r="U44" s="21"/>
    </row>
    <row r="45" spans="1:21">
      <c r="A45" s="9"/>
      <c r="B45" s="18"/>
      <c r="C45" s="9"/>
      <c r="D45" s="9"/>
      <c r="E45" s="9"/>
      <c r="J45" s="8"/>
      <c r="L45" s="20"/>
      <c r="M45" s="20"/>
      <c r="N45" s="20"/>
      <c r="O45" s="21"/>
      <c r="P45" s="21"/>
      <c r="Q45" s="21"/>
      <c r="R45" s="25"/>
      <c r="S45" s="5"/>
      <c r="T45" s="5"/>
      <c r="U45" s="21"/>
    </row>
    <row r="46" spans="1:21">
      <c r="A46" s="9"/>
      <c r="B46" s="18"/>
      <c r="C46" s="9"/>
      <c r="D46" s="9"/>
      <c r="E46" s="9"/>
      <c r="J46" s="8"/>
      <c r="L46" s="20"/>
      <c r="M46" s="20"/>
      <c r="N46" s="20"/>
      <c r="O46" s="21"/>
      <c r="P46" s="21"/>
      <c r="Q46" s="21"/>
      <c r="R46" s="25"/>
      <c r="S46" s="5"/>
      <c r="T46" s="5"/>
      <c r="U46" s="21"/>
    </row>
    <row r="47" spans="1:21">
      <c r="A47" s="9"/>
      <c r="B47" s="18"/>
      <c r="C47" s="9"/>
      <c r="D47" s="9"/>
      <c r="E47" s="9"/>
      <c r="J47" s="8"/>
      <c r="L47" s="20"/>
      <c r="M47" s="20"/>
      <c r="N47" s="20"/>
      <c r="O47" s="21"/>
      <c r="P47" s="21"/>
      <c r="Q47" s="21"/>
      <c r="R47" s="25"/>
      <c r="S47" s="5"/>
      <c r="T47" s="5"/>
      <c r="U47" s="21"/>
    </row>
    <row r="48" spans="1:21">
      <c r="A48" s="9"/>
      <c r="B48" s="18"/>
      <c r="C48" s="9"/>
      <c r="D48" s="9"/>
      <c r="E48" s="9"/>
      <c r="J48" s="8"/>
      <c r="L48" s="20"/>
      <c r="M48" s="20"/>
      <c r="N48" s="20"/>
      <c r="O48" s="21"/>
      <c r="P48" s="21"/>
      <c r="Q48" s="21"/>
      <c r="R48" s="25"/>
      <c r="S48" s="5"/>
      <c r="T48" s="5"/>
      <c r="U48" s="21"/>
    </row>
    <row r="49" spans="1:21">
      <c r="A49" s="9"/>
      <c r="B49" s="18"/>
      <c r="C49" s="9"/>
      <c r="D49" s="9"/>
      <c r="E49" s="9"/>
      <c r="J49" s="8"/>
      <c r="L49" s="20"/>
      <c r="M49" s="20"/>
      <c r="N49" s="20"/>
      <c r="O49" s="21"/>
      <c r="P49" s="21"/>
      <c r="Q49" s="21"/>
      <c r="R49" s="25"/>
      <c r="S49" s="5"/>
      <c r="T49" s="5"/>
      <c r="U49" s="21"/>
    </row>
    <row r="50" spans="1:21">
      <c r="A50" s="9"/>
      <c r="B50" s="18"/>
      <c r="C50" s="9"/>
      <c r="D50" s="9"/>
      <c r="E50" s="9"/>
      <c r="J50" s="8"/>
      <c r="L50" s="20"/>
      <c r="M50" s="20"/>
      <c r="N50" s="20"/>
      <c r="O50" s="21"/>
      <c r="P50" s="21"/>
      <c r="Q50" s="21"/>
      <c r="R50" s="25"/>
      <c r="S50" s="5"/>
      <c r="T50" s="5"/>
      <c r="U50" s="21"/>
    </row>
    <row r="51" spans="1:21">
      <c r="A51" s="9"/>
      <c r="B51" s="18"/>
      <c r="C51" s="9"/>
      <c r="D51" s="9"/>
      <c r="E51" s="9"/>
      <c r="J51" s="8"/>
      <c r="L51" s="20"/>
      <c r="M51" s="20"/>
      <c r="N51" s="20"/>
      <c r="O51" s="21"/>
      <c r="P51" s="21"/>
      <c r="Q51" s="21"/>
      <c r="R51" s="25"/>
      <c r="S51" s="5"/>
      <c r="T51" s="5"/>
      <c r="U51" s="21"/>
    </row>
    <row r="52" spans="1:21">
      <c r="A52" s="9"/>
      <c r="B52" s="18"/>
      <c r="C52" s="9"/>
      <c r="D52" s="9"/>
      <c r="E52" s="9"/>
      <c r="J52" s="8"/>
      <c r="L52" s="20"/>
      <c r="M52" s="20"/>
      <c r="N52" s="20"/>
      <c r="O52" s="21"/>
      <c r="P52" s="21"/>
      <c r="Q52" s="21"/>
      <c r="R52" s="25"/>
      <c r="S52" s="5"/>
      <c r="T52" s="5"/>
      <c r="U52" s="21"/>
    </row>
    <row r="53" spans="1:21">
      <c r="A53" s="9"/>
      <c r="B53" s="18"/>
      <c r="C53" s="9"/>
      <c r="D53" s="9"/>
      <c r="E53" s="9"/>
      <c r="J53" s="8"/>
      <c r="L53" s="20"/>
      <c r="M53" s="20"/>
      <c r="N53" s="20"/>
      <c r="O53" s="21"/>
      <c r="P53" s="21"/>
      <c r="Q53" s="21"/>
      <c r="R53" s="25"/>
      <c r="S53" s="5"/>
      <c r="T53" s="5"/>
      <c r="U53" s="21"/>
    </row>
    <row r="54" spans="1:21">
      <c r="A54" s="9"/>
      <c r="B54" s="18"/>
      <c r="C54" s="9"/>
      <c r="D54" s="9"/>
      <c r="E54" s="9"/>
      <c r="J54" s="8"/>
      <c r="L54" s="20"/>
      <c r="M54" s="20"/>
      <c r="N54" s="20"/>
      <c r="O54" s="21"/>
      <c r="P54" s="21"/>
      <c r="Q54" s="21"/>
      <c r="R54" s="25"/>
      <c r="S54" s="5"/>
      <c r="T54" s="5"/>
      <c r="U54" s="21"/>
    </row>
    <row r="55" spans="1:21">
      <c r="A55" s="9"/>
      <c r="B55" s="18"/>
      <c r="C55" s="9"/>
      <c r="D55" s="9"/>
      <c r="E55" s="9"/>
      <c r="J55" s="8"/>
      <c r="L55" s="20"/>
      <c r="M55" s="20"/>
      <c r="N55" s="20"/>
      <c r="O55" s="21"/>
      <c r="P55" s="21"/>
      <c r="Q55" s="21"/>
      <c r="R55" s="25"/>
      <c r="S55" s="5"/>
      <c r="T55" s="5"/>
      <c r="U55" s="21"/>
    </row>
    <row r="56" spans="1:21">
      <c r="A56" s="9"/>
      <c r="B56" s="18"/>
      <c r="C56" s="9"/>
      <c r="D56" s="9"/>
      <c r="E56" s="9"/>
      <c r="J56" s="8"/>
      <c r="L56" s="20"/>
      <c r="M56" s="20"/>
      <c r="N56" s="20"/>
      <c r="O56" s="21"/>
      <c r="P56" s="21"/>
      <c r="Q56" s="21"/>
      <c r="R56" s="25"/>
      <c r="S56" s="5"/>
      <c r="T56" s="5"/>
      <c r="U56" s="21"/>
    </row>
    <row r="57" spans="1:21">
      <c r="A57" s="9"/>
      <c r="B57" s="18"/>
      <c r="C57" s="9"/>
      <c r="D57" s="9"/>
      <c r="E57" s="9"/>
      <c r="J57" s="8"/>
      <c r="L57" s="20"/>
      <c r="M57" s="20"/>
      <c r="N57" s="20"/>
      <c r="O57" s="21"/>
      <c r="P57" s="21"/>
      <c r="Q57" s="21"/>
      <c r="R57" s="25"/>
      <c r="S57" s="5"/>
      <c r="T57" s="5"/>
      <c r="U57" s="21"/>
    </row>
    <row r="58" spans="1:21">
      <c r="A58" s="9"/>
      <c r="B58" s="18"/>
      <c r="C58" s="9"/>
      <c r="D58" s="9"/>
      <c r="E58" s="9"/>
      <c r="J58" s="8"/>
      <c r="L58" s="20"/>
      <c r="M58" s="20"/>
      <c r="N58" s="20"/>
      <c r="O58" s="21"/>
      <c r="P58" s="21"/>
      <c r="Q58" s="21"/>
      <c r="R58" s="25"/>
      <c r="S58" s="5"/>
      <c r="T58" s="5"/>
      <c r="U58" s="21"/>
    </row>
    <row r="59" spans="1:21">
      <c r="A59" s="9"/>
      <c r="B59" s="18"/>
      <c r="C59" s="9"/>
      <c r="D59" s="9"/>
      <c r="E59" s="9"/>
      <c r="J59" s="8"/>
      <c r="L59" s="20"/>
      <c r="M59" s="20"/>
      <c r="N59" s="20"/>
      <c r="O59" s="21"/>
      <c r="P59" s="21"/>
      <c r="Q59" s="21"/>
      <c r="R59" s="25"/>
      <c r="S59" s="5"/>
      <c r="T59" s="5"/>
      <c r="U59" s="21"/>
    </row>
    <row r="60" spans="1:21">
      <c r="A60" s="9"/>
      <c r="B60" s="18"/>
      <c r="C60" s="9"/>
      <c r="D60" s="9"/>
      <c r="E60" s="9"/>
      <c r="J60" s="8"/>
      <c r="L60" s="20"/>
      <c r="M60" s="20"/>
      <c r="N60" s="20"/>
      <c r="O60" s="21"/>
      <c r="P60" s="21"/>
      <c r="Q60" s="21"/>
      <c r="R60" s="25"/>
      <c r="S60" s="5"/>
      <c r="T60" s="5"/>
      <c r="U60" s="21"/>
    </row>
    <row r="61" spans="1:21">
      <c r="A61" s="9"/>
      <c r="B61" s="18"/>
      <c r="C61" s="9"/>
      <c r="D61" s="9"/>
      <c r="E61" s="9"/>
      <c r="J61" s="8"/>
      <c r="L61" s="20"/>
      <c r="M61" s="20"/>
      <c r="N61" s="20"/>
      <c r="O61" s="21"/>
      <c r="P61" s="21"/>
      <c r="Q61" s="21"/>
      <c r="R61" s="25"/>
      <c r="S61" s="5"/>
      <c r="T61" s="5"/>
      <c r="U61" s="21"/>
    </row>
  </sheetData>
  <phoneticPr fontId="78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R2:R20 F2:F20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482" activePane="bottomLeft" state="frozen"/>
      <selection pane="bottomLeft" activeCell="T439" sqref="T439"/>
      <selection activeCell="H1" sqref="H1"/>
    </sheetView>
  </sheetViews>
  <sheetFormatPr defaultColWidth="8.875" defaultRowHeight="15"/>
  <cols>
    <col min="1" max="1" width="17.125" bestFit="1" customWidth="1"/>
    <col min="2" max="2" width="8.375" style="5" customWidth="1"/>
    <col min="3" max="3" width="2.375" customWidth="1"/>
    <col min="4" max="4" width="13.875" bestFit="1" customWidth="1"/>
    <col min="5" max="5" width="1.125" customWidth="1"/>
    <col min="7" max="7" width="1.875" customWidth="1"/>
    <col min="9" max="9" width="1" customWidth="1"/>
    <col min="11" max="11" width="1.875" customWidth="1"/>
    <col min="12" max="12" width="15.125" customWidth="1"/>
    <col min="13" max="13" width="2.125" customWidth="1"/>
    <col min="14" max="14" width="17.875" bestFit="1" customWidth="1"/>
    <col min="15" max="15" width="5.875" customWidth="1"/>
    <col min="16" max="16" width="29.75" bestFit="1" customWidth="1"/>
    <col min="17" max="17" width="12.125" customWidth="1"/>
    <col min="18" max="18" width="11.125" customWidth="1"/>
    <col min="19" max="19" width="12" style="5" customWidth="1"/>
    <col min="20" max="20" width="24.875" bestFit="1" customWidth="1"/>
    <col min="21" max="21" width="9.375" bestFit="1" customWidth="1"/>
    <col min="22" max="22" width="15.125" customWidth="1"/>
    <col min="25" max="25" width="9.125" bestFit="1" customWidth="1"/>
    <col min="27" max="27" width="25.875" customWidth="1"/>
    <col min="31" max="31" width="10.75" bestFit="1" customWidth="1"/>
    <col min="33" max="33" width="15.375" customWidth="1"/>
    <col min="34" max="34" width="11.875" customWidth="1"/>
  </cols>
  <sheetData>
    <row r="1" spans="1:36">
      <c r="A1" s="12" t="s">
        <v>341</v>
      </c>
      <c r="B1" s="173" t="s">
        <v>342</v>
      </c>
      <c r="D1" s="12" t="s">
        <v>343</v>
      </c>
      <c r="F1" s="12" t="s">
        <v>344</v>
      </c>
      <c r="H1" s="12" t="s">
        <v>345</v>
      </c>
      <c r="J1" s="12" t="s">
        <v>346</v>
      </c>
      <c r="L1" s="12" t="s">
        <v>347</v>
      </c>
      <c r="N1" s="12" t="s">
        <v>348</v>
      </c>
      <c r="P1" s="317" t="s">
        <v>349</v>
      </c>
      <c r="Q1" s="13" t="s">
        <v>350</v>
      </c>
      <c r="R1" s="13" t="s">
        <v>325</v>
      </c>
      <c r="S1" s="125" t="s">
        <v>351</v>
      </c>
      <c r="T1" s="13" t="s">
        <v>352</v>
      </c>
      <c r="U1" s="13" t="s">
        <v>353</v>
      </c>
      <c r="V1" s="13" t="s">
        <v>354</v>
      </c>
      <c r="W1" s="13" t="s">
        <v>355</v>
      </c>
      <c r="X1" s="13" t="s">
        <v>356</v>
      </c>
      <c r="Y1" s="13" t="s">
        <v>357</v>
      </c>
      <c r="AA1" s="13" t="s">
        <v>358</v>
      </c>
      <c r="AC1" s="13" t="s">
        <v>335</v>
      </c>
      <c r="AE1" s="13" t="s">
        <v>35</v>
      </c>
      <c r="AF1" s="13" t="s">
        <v>359</v>
      </c>
      <c r="AG1" s="13" t="s">
        <v>360</v>
      </c>
      <c r="AH1" s="13" t="s">
        <v>361</v>
      </c>
      <c r="AJ1" s="317" t="s">
        <v>362</v>
      </c>
    </row>
    <row r="2" spans="1:36">
      <c r="A2" t="s">
        <v>363</v>
      </c>
      <c r="B2" s="1">
        <f>AG10*1000</f>
        <v>121155</v>
      </c>
      <c r="D2" t="s">
        <v>364</v>
      </c>
      <c r="F2" t="s">
        <v>365</v>
      </c>
      <c r="H2" t="s">
        <v>366</v>
      </c>
      <c r="J2" t="s">
        <v>367</v>
      </c>
      <c r="L2" t="s">
        <v>368</v>
      </c>
      <c r="N2" t="s">
        <v>369</v>
      </c>
      <c r="P2" s="2" t="s">
        <v>117</v>
      </c>
      <c r="Q2" s="10" t="s">
        <v>36</v>
      </c>
      <c r="R2" s="2" t="s">
        <v>370</v>
      </c>
      <c r="S2" s="3">
        <v>1596.3050000000001</v>
      </c>
      <c r="T2" s="11">
        <f t="shared" ref="T2:T29" si="0">S2/$B$2</f>
        <v>1.3175725310552599E-2</v>
      </c>
      <c r="U2" s="1" t="s">
        <v>371</v>
      </c>
      <c r="V2" s="6"/>
      <c r="W2" s="318" t="s">
        <v>372</v>
      </c>
      <c r="X2" s="6" t="s">
        <v>373</v>
      </c>
      <c r="Y2" s="1" t="s">
        <v>374</v>
      </c>
      <c r="AA2" s="2" t="s">
        <v>345</v>
      </c>
      <c r="AC2" t="s">
        <v>375</v>
      </c>
      <c r="AE2" s="2" t="s">
        <v>39</v>
      </c>
      <c r="AF2" s="2">
        <v>2.2000000000000002</v>
      </c>
      <c r="AG2" s="2">
        <v>2.97</v>
      </c>
      <c r="AH2" s="176">
        <f>AG2/$AG$10</f>
        <v>2.4514052247121457E-2</v>
      </c>
      <c r="AJ2" s="303" t="s">
        <v>373</v>
      </c>
    </row>
    <row r="3" spans="1:36">
      <c r="D3" t="s">
        <v>376</v>
      </c>
      <c r="F3" t="s">
        <v>377</v>
      </c>
      <c r="H3" t="s">
        <v>378</v>
      </c>
      <c r="J3" t="s">
        <v>379</v>
      </c>
      <c r="L3" t="s">
        <v>380</v>
      </c>
      <c r="N3" t="s">
        <v>381</v>
      </c>
      <c r="P3" s="2" t="s">
        <v>118</v>
      </c>
      <c r="Q3" s="10" t="s">
        <v>36</v>
      </c>
      <c r="R3" s="2" t="s">
        <v>370</v>
      </c>
      <c r="S3" s="3">
        <v>1596.3050000000001</v>
      </c>
      <c r="T3" s="11">
        <f t="shared" si="0"/>
        <v>1.3175725310552599E-2</v>
      </c>
      <c r="U3" s="1" t="s">
        <v>371</v>
      </c>
      <c r="V3" s="6"/>
      <c r="W3" s="318" t="s">
        <v>372</v>
      </c>
      <c r="X3" s="6" t="s">
        <v>373</v>
      </c>
      <c r="Y3" s="1" t="s">
        <v>374</v>
      </c>
      <c r="AA3" s="2" t="s">
        <v>382</v>
      </c>
      <c r="AC3" t="s">
        <v>383</v>
      </c>
      <c r="AE3" s="2" t="s">
        <v>38</v>
      </c>
      <c r="AF3" s="2">
        <v>5.45</v>
      </c>
      <c r="AG3" s="2">
        <v>7.3849999999999998</v>
      </c>
      <c r="AH3" s="176">
        <f t="shared" ref="AH3:AH10" si="1">AG3/$AG$10</f>
        <v>6.095497503198382E-2</v>
      </c>
    </row>
    <row r="4" spans="1:36">
      <c r="D4" t="s">
        <v>384</v>
      </c>
      <c r="F4" t="s">
        <v>385</v>
      </c>
      <c r="H4" t="s">
        <v>386</v>
      </c>
      <c r="J4" t="s">
        <v>387</v>
      </c>
      <c r="L4" t="s">
        <v>388</v>
      </c>
      <c r="N4" t="s">
        <v>389</v>
      </c>
      <c r="P4" s="2" t="s">
        <v>119</v>
      </c>
      <c r="Q4" s="10" t="s">
        <v>36</v>
      </c>
      <c r="R4" s="2" t="s">
        <v>370</v>
      </c>
      <c r="S4" s="3">
        <v>1501.4749999999999</v>
      </c>
      <c r="T4" s="11">
        <f t="shared" si="0"/>
        <v>1.2393008955470264E-2</v>
      </c>
      <c r="U4" s="1" t="s">
        <v>371</v>
      </c>
      <c r="V4" s="6"/>
      <c r="W4" s="318" t="s">
        <v>372</v>
      </c>
      <c r="X4" s="6" t="s">
        <v>373</v>
      </c>
      <c r="Y4" s="1" t="s">
        <v>374</v>
      </c>
      <c r="AA4" s="2" t="s">
        <v>390</v>
      </c>
      <c r="AE4" s="2" t="s">
        <v>40</v>
      </c>
      <c r="AF4" s="2">
        <v>10.65</v>
      </c>
      <c r="AG4" s="2">
        <v>14.36</v>
      </c>
      <c r="AH4" s="176">
        <f t="shared" si="1"/>
        <v>0.1185258553093145</v>
      </c>
    </row>
    <row r="5" spans="1:36">
      <c r="D5" t="s">
        <v>391</v>
      </c>
      <c r="F5" t="s">
        <v>392</v>
      </c>
      <c r="H5" t="s">
        <v>393</v>
      </c>
      <c r="J5" t="s">
        <v>394</v>
      </c>
      <c r="L5" t="s">
        <v>395</v>
      </c>
      <c r="N5" s="303" t="s">
        <v>396</v>
      </c>
      <c r="P5" s="2" t="s">
        <v>120</v>
      </c>
      <c r="Q5" s="10" t="s">
        <v>36</v>
      </c>
      <c r="R5" s="2" t="s">
        <v>370</v>
      </c>
      <c r="S5" s="3">
        <v>1515.25</v>
      </c>
      <c r="T5" s="11">
        <f t="shared" si="0"/>
        <v>1.2506706285336965E-2</v>
      </c>
      <c r="U5" s="1" t="s">
        <v>371</v>
      </c>
      <c r="V5" s="6"/>
      <c r="W5" s="318" t="s">
        <v>372</v>
      </c>
      <c r="X5" s="6" t="s">
        <v>373</v>
      </c>
      <c r="Y5" s="1" t="s">
        <v>374</v>
      </c>
      <c r="AA5" s="2" t="s">
        <v>346</v>
      </c>
      <c r="AE5" s="2" t="s">
        <v>36</v>
      </c>
      <c r="AF5" s="2">
        <v>36.35</v>
      </c>
      <c r="AG5" s="2">
        <v>50.33</v>
      </c>
      <c r="AH5" s="176">
        <f t="shared" si="1"/>
        <v>0.41541826585778546</v>
      </c>
    </row>
    <row r="6" spans="1:36">
      <c r="D6" t="s">
        <v>397</v>
      </c>
      <c r="F6" t="s">
        <v>398</v>
      </c>
      <c r="J6" t="s">
        <v>399</v>
      </c>
      <c r="L6" t="s">
        <v>400</v>
      </c>
      <c r="N6" s="303" t="s">
        <v>401</v>
      </c>
      <c r="P6" s="2" t="s">
        <v>121</v>
      </c>
      <c r="Q6" s="10" t="s">
        <v>36</v>
      </c>
      <c r="R6" s="2" t="s">
        <v>370</v>
      </c>
      <c r="S6" s="3">
        <v>1560.49</v>
      </c>
      <c r="T6" s="11">
        <f t="shared" si="0"/>
        <v>1.2880112252899178E-2</v>
      </c>
      <c r="U6" s="1" t="s">
        <v>371</v>
      </c>
      <c r="V6" s="6"/>
      <c r="W6" s="318" t="s">
        <v>372</v>
      </c>
      <c r="X6" s="6" t="s">
        <v>373</v>
      </c>
      <c r="Y6" s="1" t="s">
        <v>374</v>
      </c>
      <c r="AA6" s="2" t="s">
        <v>344</v>
      </c>
      <c r="AE6" s="2" t="s">
        <v>37</v>
      </c>
      <c r="AF6" s="2">
        <v>5.55</v>
      </c>
      <c r="AG6" s="2">
        <v>7.5</v>
      </c>
      <c r="AH6" s="176">
        <f t="shared" si="1"/>
        <v>6.1904172341215799E-2</v>
      </c>
    </row>
    <row r="7" spans="1:36">
      <c r="D7" t="s">
        <v>402</v>
      </c>
      <c r="F7" t="s">
        <v>403</v>
      </c>
      <c r="J7" t="s">
        <v>404</v>
      </c>
      <c r="L7" t="s">
        <v>405</v>
      </c>
      <c r="N7" s="303" t="s">
        <v>406</v>
      </c>
      <c r="P7" s="2" t="s">
        <v>122</v>
      </c>
      <c r="Q7" s="10" t="s">
        <v>36</v>
      </c>
      <c r="R7" s="2" t="s">
        <v>370</v>
      </c>
      <c r="S7" s="3">
        <v>1582.53</v>
      </c>
      <c r="T7" s="11">
        <f t="shared" si="0"/>
        <v>1.3062027980685897E-2</v>
      </c>
      <c r="U7" s="1" t="s">
        <v>371</v>
      </c>
      <c r="V7" s="6"/>
      <c r="W7" s="318" t="s">
        <v>372</v>
      </c>
      <c r="X7" s="6" t="s">
        <v>373</v>
      </c>
      <c r="Y7" s="1" t="s">
        <v>374</v>
      </c>
      <c r="AA7" s="2" t="s">
        <v>407</v>
      </c>
      <c r="AE7" s="2" t="s">
        <v>41</v>
      </c>
      <c r="AF7" s="2">
        <v>25.7</v>
      </c>
      <c r="AG7" s="2">
        <v>26.16</v>
      </c>
      <c r="AH7" s="176">
        <f>AG7/$AG$10</f>
        <v>0.21592175312616071</v>
      </c>
    </row>
    <row r="8" spans="1:36">
      <c r="D8" t="s">
        <v>408</v>
      </c>
      <c r="F8" t="s">
        <v>409</v>
      </c>
      <c r="J8" t="s">
        <v>410</v>
      </c>
      <c r="N8" s="303" t="s">
        <v>411</v>
      </c>
      <c r="P8" s="2" t="s">
        <v>123</v>
      </c>
      <c r="Q8" s="10" t="s">
        <v>36</v>
      </c>
      <c r="R8" s="2" t="s">
        <v>370</v>
      </c>
      <c r="S8" s="3">
        <v>1473.4900000000002</v>
      </c>
      <c r="T8" s="11">
        <f t="shared" si="0"/>
        <v>1.2162023853741077E-2</v>
      </c>
      <c r="U8" s="1" t="s">
        <v>371</v>
      </c>
      <c r="V8" s="6"/>
      <c r="W8" s="318" t="s">
        <v>372</v>
      </c>
      <c r="X8" s="6" t="s">
        <v>373</v>
      </c>
      <c r="Y8" s="1" t="s">
        <v>374</v>
      </c>
      <c r="AA8" s="2" t="s">
        <v>412</v>
      </c>
      <c r="AE8" s="2" t="s">
        <v>42</v>
      </c>
      <c r="AF8" s="2">
        <v>4.4000000000000004</v>
      </c>
      <c r="AG8" s="2">
        <v>6.2</v>
      </c>
      <c r="AH8" s="176">
        <f>AG8/$AG$10</f>
        <v>5.1174115802071728E-2</v>
      </c>
    </row>
    <row r="9" spans="1:36">
      <c r="D9" t="s">
        <v>413</v>
      </c>
      <c r="F9" t="s">
        <v>414</v>
      </c>
      <c r="J9" t="s">
        <v>415</v>
      </c>
      <c r="N9" t="s">
        <v>416</v>
      </c>
      <c r="P9" s="2" t="s">
        <v>124</v>
      </c>
      <c r="Q9" s="10" t="s">
        <v>36</v>
      </c>
      <c r="R9" s="2" t="s">
        <v>370</v>
      </c>
      <c r="S9" s="3">
        <v>1675.33</v>
      </c>
      <c r="T9" s="11">
        <f t="shared" si="0"/>
        <v>1.3827988939787874E-2</v>
      </c>
      <c r="U9" s="1" t="s">
        <v>371</v>
      </c>
      <c r="V9" s="6"/>
      <c r="W9" s="318" t="s">
        <v>372</v>
      </c>
      <c r="X9" s="6" t="s">
        <v>373</v>
      </c>
      <c r="Y9" s="1" t="s">
        <v>374</v>
      </c>
      <c r="AA9" s="2" t="s">
        <v>417</v>
      </c>
      <c r="AE9" s="2" t="s">
        <v>43</v>
      </c>
      <c r="AF9" s="2">
        <v>5.33</v>
      </c>
      <c r="AG9" s="2">
        <v>6.25</v>
      </c>
      <c r="AH9" s="176">
        <f t="shared" si="1"/>
        <v>5.1586810284346495E-2</v>
      </c>
    </row>
    <row r="10" spans="1:36">
      <c r="D10" t="s">
        <v>418</v>
      </c>
      <c r="F10" t="s">
        <v>419</v>
      </c>
      <c r="J10" t="s">
        <v>420</v>
      </c>
      <c r="N10" t="s">
        <v>421</v>
      </c>
      <c r="P10" s="2" t="s">
        <v>125</v>
      </c>
      <c r="Q10" s="10" t="s">
        <v>36</v>
      </c>
      <c r="R10" s="2" t="s">
        <v>370</v>
      </c>
      <c r="S10" s="3">
        <v>1568.2650000000001</v>
      </c>
      <c r="T10" s="11">
        <f t="shared" si="0"/>
        <v>1.2944286244892907E-2</v>
      </c>
      <c r="U10" s="1" t="s">
        <v>371</v>
      </c>
      <c r="V10" s="6"/>
      <c r="W10" s="318" t="s">
        <v>372</v>
      </c>
      <c r="X10" s="6" t="s">
        <v>373</v>
      </c>
      <c r="Y10" s="1" t="s">
        <v>374</v>
      </c>
      <c r="AA10" s="2" t="s">
        <v>422</v>
      </c>
      <c r="AE10" s="2" t="s">
        <v>423</v>
      </c>
      <c r="AF10" s="2">
        <f>SUM(AF2:AF9)</f>
        <v>95.63000000000001</v>
      </c>
      <c r="AG10" s="2">
        <f>SUM(AG2:AG9)</f>
        <v>121.155</v>
      </c>
      <c r="AH10" s="176">
        <f t="shared" si="1"/>
        <v>1</v>
      </c>
    </row>
    <row r="11" spans="1:36">
      <c r="D11" t="s">
        <v>424</v>
      </c>
      <c r="F11" t="s">
        <v>425</v>
      </c>
      <c r="J11" t="s">
        <v>426</v>
      </c>
      <c r="N11" t="s">
        <v>427</v>
      </c>
      <c r="P11" s="2" t="s">
        <v>126</v>
      </c>
      <c r="Q11" s="10" t="s">
        <v>36</v>
      </c>
      <c r="R11" s="2" t="s">
        <v>370</v>
      </c>
      <c r="S11" s="3">
        <v>1522.2</v>
      </c>
      <c r="T11" s="11">
        <f t="shared" si="0"/>
        <v>1.2564070818373159E-2</v>
      </c>
      <c r="U11" s="1" t="s">
        <v>371</v>
      </c>
      <c r="V11" s="6"/>
      <c r="W11" s="318" t="s">
        <v>372</v>
      </c>
      <c r="X11" s="6" t="s">
        <v>373</v>
      </c>
      <c r="Y11" s="1" t="s">
        <v>374</v>
      </c>
      <c r="AA11" s="2" t="s">
        <v>428</v>
      </c>
    </row>
    <row r="12" spans="1:36">
      <c r="D12" t="s">
        <v>429</v>
      </c>
      <c r="F12" t="s">
        <v>430</v>
      </c>
      <c r="J12" t="s">
        <v>431</v>
      </c>
      <c r="P12" s="2" t="s">
        <v>127</v>
      </c>
      <c r="Q12" s="10" t="s">
        <v>36</v>
      </c>
      <c r="R12" s="2" t="s">
        <v>370</v>
      </c>
      <c r="S12" s="3">
        <v>1547.15</v>
      </c>
      <c r="T12" s="11">
        <f t="shared" si="0"/>
        <v>1.2770005365028271E-2</v>
      </c>
      <c r="U12" s="1" t="s">
        <v>371</v>
      </c>
      <c r="V12" s="6"/>
      <c r="W12" s="318" t="s">
        <v>372</v>
      </c>
      <c r="X12" s="6" t="s">
        <v>373</v>
      </c>
      <c r="Y12" s="1" t="s">
        <v>374</v>
      </c>
      <c r="AA12" s="2" t="s">
        <v>432</v>
      </c>
    </row>
    <row r="13" spans="1:36">
      <c r="D13" t="s">
        <v>433</v>
      </c>
      <c r="F13" t="s">
        <v>434</v>
      </c>
      <c r="P13" s="2" t="s">
        <v>128</v>
      </c>
      <c r="Q13" s="10" t="s">
        <v>36</v>
      </c>
      <c r="R13" s="2" t="s">
        <v>370</v>
      </c>
      <c r="S13" s="3">
        <v>1558.46</v>
      </c>
      <c r="T13" s="11">
        <f t="shared" si="0"/>
        <v>1.2863356856918823E-2</v>
      </c>
      <c r="U13" s="1" t="s">
        <v>371</v>
      </c>
      <c r="V13" s="6"/>
      <c r="W13" s="318" t="s">
        <v>372</v>
      </c>
      <c r="X13" s="6" t="s">
        <v>373</v>
      </c>
      <c r="Y13" s="1" t="s">
        <v>374</v>
      </c>
      <c r="AA13" s="2" t="s">
        <v>435</v>
      </c>
    </row>
    <row r="14" spans="1:36">
      <c r="D14" t="s">
        <v>436</v>
      </c>
      <c r="F14" t="s">
        <v>437</v>
      </c>
      <c r="P14" s="2" t="s">
        <v>129</v>
      </c>
      <c r="Q14" s="10" t="s">
        <v>36</v>
      </c>
      <c r="R14" s="2" t="s">
        <v>370</v>
      </c>
      <c r="S14" s="3">
        <v>1622.26</v>
      </c>
      <c r="T14" s="11">
        <f t="shared" si="0"/>
        <v>1.3389955016301433E-2</v>
      </c>
      <c r="U14" s="1" t="s">
        <v>371</v>
      </c>
      <c r="V14" s="6"/>
      <c r="W14" s="318" t="s">
        <v>372</v>
      </c>
      <c r="X14" s="6" t="s">
        <v>373</v>
      </c>
      <c r="Y14" s="1" t="s">
        <v>374</v>
      </c>
      <c r="AA14" s="2" t="s">
        <v>438</v>
      </c>
    </row>
    <row r="15" spans="1:36">
      <c r="D15" t="s">
        <v>439</v>
      </c>
      <c r="F15" t="s">
        <v>440</v>
      </c>
      <c r="P15" s="2" t="s">
        <v>130</v>
      </c>
      <c r="Q15" s="10" t="s">
        <v>36</v>
      </c>
      <c r="R15" s="2" t="s">
        <v>370</v>
      </c>
      <c r="S15" s="3">
        <v>1512.9299999999998</v>
      </c>
      <c r="T15" s="11">
        <f t="shared" si="0"/>
        <v>1.2487557261359415E-2</v>
      </c>
      <c r="U15" s="1" t="s">
        <v>371</v>
      </c>
      <c r="V15" s="6"/>
      <c r="W15" s="318" t="s">
        <v>372</v>
      </c>
      <c r="X15" s="6" t="s">
        <v>373</v>
      </c>
      <c r="Y15" s="1" t="s">
        <v>374</v>
      </c>
      <c r="AA15" s="2" t="s">
        <v>441</v>
      </c>
    </row>
    <row r="16" spans="1:36">
      <c r="D16" t="s">
        <v>442</v>
      </c>
      <c r="F16" t="s">
        <v>443</v>
      </c>
      <c r="P16" s="2" t="s">
        <v>131</v>
      </c>
      <c r="Q16" s="10" t="s">
        <v>36</v>
      </c>
      <c r="R16" s="2" t="s">
        <v>370</v>
      </c>
      <c r="S16" s="3">
        <v>1622.38</v>
      </c>
      <c r="T16" s="11">
        <f t="shared" si="0"/>
        <v>1.3390945483058893E-2</v>
      </c>
      <c r="U16" s="1" t="s">
        <v>371</v>
      </c>
      <c r="V16" s="6"/>
      <c r="W16" s="318" t="s">
        <v>372</v>
      </c>
      <c r="X16" s="6" t="s">
        <v>373</v>
      </c>
      <c r="Y16" s="1" t="s">
        <v>374</v>
      </c>
      <c r="AA16" s="2" t="s">
        <v>444</v>
      </c>
    </row>
    <row r="17" spans="6:27">
      <c r="F17" t="s">
        <v>445</v>
      </c>
      <c r="P17" s="2" t="s">
        <v>132</v>
      </c>
      <c r="Q17" s="10" t="s">
        <v>36</v>
      </c>
      <c r="R17" s="2" t="s">
        <v>370</v>
      </c>
      <c r="S17" s="3">
        <v>1553.5300000000002</v>
      </c>
      <c r="T17" s="11">
        <f t="shared" si="0"/>
        <v>1.2822665180966532E-2</v>
      </c>
      <c r="U17" s="1" t="s">
        <v>371</v>
      </c>
      <c r="V17" s="6"/>
      <c r="W17" s="318" t="s">
        <v>372</v>
      </c>
      <c r="X17" s="6" t="s">
        <v>373</v>
      </c>
      <c r="Y17" s="1" t="s">
        <v>374</v>
      </c>
      <c r="AA17" s="2" t="s">
        <v>446</v>
      </c>
    </row>
    <row r="18" spans="6:27">
      <c r="F18" t="s">
        <v>447</v>
      </c>
      <c r="P18" s="2" t="s">
        <v>133</v>
      </c>
      <c r="Q18" s="10" t="s">
        <v>36</v>
      </c>
      <c r="R18" s="2" t="s">
        <v>370</v>
      </c>
      <c r="S18" s="3">
        <v>2199.0699999999997</v>
      </c>
      <c r="T18" s="11">
        <f t="shared" si="0"/>
        <v>1.8150881102719653E-2</v>
      </c>
      <c r="U18" s="1" t="s">
        <v>371</v>
      </c>
      <c r="V18" s="6"/>
      <c r="W18" s="318" t="s">
        <v>448</v>
      </c>
      <c r="X18" s="6" t="s">
        <v>373</v>
      </c>
      <c r="Y18" s="1" t="s">
        <v>374</v>
      </c>
      <c r="AA18" s="2" t="s">
        <v>449</v>
      </c>
    </row>
    <row r="19" spans="6:27">
      <c r="F19" t="s">
        <v>450</v>
      </c>
      <c r="P19" s="2" t="s">
        <v>134</v>
      </c>
      <c r="Q19" s="10" t="s">
        <v>36</v>
      </c>
      <c r="R19" s="2" t="s">
        <v>370</v>
      </c>
      <c r="S19" s="3">
        <v>2404.5300000000002</v>
      </c>
      <c r="T19" s="11">
        <f t="shared" si="0"/>
        <v>1.984672526928315E-2</v>
      </c>
      <c r="U19" s="1" t="s">
        <v>371</v>
      </c>
      <c r="V19" s="6"/>
      <c r="W19" s="318" t="s">
        <v>448</v>
      </c>
      <c r="X19" s="6" t="s">
        <v>373</v>
      </c>
      <c r="Y19" s="1" t="s">
        <v>374</v>
      </c>
      <c r="AA19" s="2" t="s">
        <v>451</v>
      </c>
    </row>
    <row r="20" spans="6:27">
      <c r="F20" t="s">
        <v>452</v>
      </c>
      <c r="P20" s="2" t="s">
        <v>135</v>
      </c>
      <c r="Q20" s="10" t="s">
        <v>36</v>
      </c>
      <c r="R20" s="2" t="s">
        <v>370</v>
      </c>
      <c r="S20" s="3">
        <v>2126.86</v>
      </c>
      <c r="T20" s="11">
        <f t="shared" si="0"/>
        <v>1.7554867731418431E-2</v>
      </c>
      <c r="U20" s="1" t="s">
        <v>371</v>
      </c>
      <c r="V20" s="6"/>
      <c r="W20" s="318" t="s">
        <v>448</v>
      </c>
      <c r="X20" s="6" t="s">
        <v>373</v>
      </c>
      <c r="Y20" s="1" t="s">
        <v>374</v>
      </c>
      <c r="AA20" s="14" t="s">
        <v>453</v>
      </c>
    </row>
    <row r="21" spans="6:27">
      <c r="F21" t="s">
        <v>454</v>
      </c>
      <c r="P21" s="2" t="s">
        <v>136</v>
      </c>
      <c r="Q21" s="10" t="s">
        <v>36</v>
      </c>
      <c r="R21" s="2" t="s">
        <v>370</v>
      </c>
      <c r="S21" s="3">
        <v>2180.9900000000002</v>
      </c>
      <c r="T21" s="11">
        <f t="shared" si="0"/>
        <v>1.8001650777929101E-2</v>
      </c>
      <c r="U21" s="1" t="s">
        <v>371</v>
      </c>
      <c r="V21" s="6"/>
      <c r="W21" s="318" t="s">
        <v>448</v>
      </c>
      <c r="X21" s="6" t="s">
        <v>373</v>
      </c>
      <c r="Y21" s="1" t="s">
        <v>374</v>
      </c>
      <c r="AA21" s="14" t="s">
        <v>455</v>
      </c>
    </row>
    <row r="22" spans="6:27">
      <c r="F22" t="s">
        <v>456</v>
      </c>
      <c r="P22" s="2" t="s">
        <v>137</v>
      </c>
      <c r="Q22" s="10" t="s">
        <v>36</v>
      </c>
      <c r="R22" s="2" t="s">
        <v>370</v>
      </c>
      <c r="S22" s="3">
        <v>2391.4</v>
      </c>
      <c r="T22" s="11">
        <f t="shared" si="0"/>
        <v>1.9738351698237795E-2</v>
      </c>
      <c r="U22" s="1" t="s">
        <v>371</v>
      </c>
      <c r="V22" s="6"/>
      <c r="W22" s="318" t="s">
        <v>448</v>
      </c>
      <c r="X22" s="6" t="s">
        <v>373</v>
      </c>
      <c r="Y22" s="1" t="s">
        <v>374</v>
      </c>
    </row>
    <row r="23" spans="6:27">
      <c r="F23" t="s">
        <v>457</v>
      </c>
      <c r="P23" s="2" t="s">
        <v>138</v>
      </c>
      <c r="Q23" s="10" t="s">
        <v>36</v>
      </c>
      <c r="R23" s="2" t="s">
        <v>370</v>
      </c>
      <c r="S23" s="3">
        <v>1474.5050000000001</v>
      </c>
      <c r="T23" s="11">
        <f t="shared" si="0"/>
        <v>1.2170401551731254E-2</v>
      </c>
      <c r="U23" s="1" t="s">
        <v>371</v>
      </c>
      <c r="V23" s="6"/>
      <c r="W23" s="318" t="s">
        <v>448</v>
      </c>
      <c r="X23" s="6" t="s">
        <v>373</v>
      </c>
      <c r="Y23" s="1" t="s">
        <v>374</v>
      </c>
    </row>
    <row r="24" spans="6:27">
      <c r="F24" t="s">
        <v>458</v>
      </c>
      <c r="P24" s="2" t="s">
        <v>139</v>
      </c>
      <c r="Q24" s="10" t="s">
        <v>36</v>
      </c>
      <c r="R24" s="2" t="s">
        <v>370</v>
      </c>
      <c r="S24" s="3">
        <v>2181.09</v>
      </c>
      <c r="T24" s="11">
        <f t="shared" si="0"/>
        <v>1.8002476166893648E-2</v>
      </c>
      <c r="U24" s="1" t="s">
        <v>371</v>
      </c>
      <c r="V24" s="6"/>
      <c r="W24" s="318" t="s">
        <v>448</v>
      </c>
      <c r="X24" s="6" t="s">
        <v>373</v>
      </c>
      <c r="Y24" s="1" t="s">
        <v>374</v>
      </c>
    </row>
    <row r="25" spans="6:27">
      <c r="F25" t="s">
        <v>459</v>
      </c>
      <c r="P25" s="2" t="s">
        <v>140</v>
      </c>
      <c r="Q25" s="10" t="s">
        <v>36</v>
      </c>
      <c r="R25" s="2" t="s">
        <v>370</v>
      </c>
      <c r="S25" s="3">
        <v>2227.96</v>
      </c>
      <c r="T25" s="11">
        <f t="shared" si="0"/>
        <v>1.8389335974578019E-2</v>
      </c>
      <c r="U25" s="1" t="s">
        <v>371</v>
      </c>
      <c r="V25" s="6"/>
      <c r="W25" s="318" t="s">
        <v>448</v>
      </c>
      <c r="X25" s="6" t="s">
        <v>373</v>
      </c>
      <c r="Y25" s="1" t="s">
        <v>374</v>
      </c>
    </row>
    <row r="26" spans="6:27">
      <c r="F26" t="s">
        <v>460</v>
      </c>
      <c r="P26" s="2" t="s">
        <v>141</v>
      </c>
      <c r="Q26" s="10" t="s">
        <v>36</v>
      </c>
      <c r="R26" s="2" t="s">
        <v>370</v>
      </c>
      <c r="S26" s="3">
        <v>2149.9500000000003</v>
      </c>
      <c r="T26" s="11">
        <f t="shared" si="0"/>
        <v>1.7745450043332923E-2</v>
      </c>
      <c r="U26" s="1" t="s">
        <v>371</v>
      </c>
      <c r="V26" s="6"/>
      <c r="W26" s="318" t="s">
        <v>448</v>
      </c>
      <c r="X26" s="6" t="s">
        <v>373</v>
      </c>
      <c r="Y26" s="1" t="s">
        <v>374</v>
      </c>
    </row>
    <row r="27" spans="6:27">
      <c r="F27" t="s">
        <v>461</v>
      </c>
      <c r="P27" s="2" t="s">
        <v>142</v>
      </c>
      <c r="Q27" s="10" t="s">
        <v>36</v>
      </c>
      <c r="R27" s="2" t="s">
        <v>370</v>
      </c>
      <c r="S27" s="3">
        <v>2201.1000000000004</v>
      </c>
      <c r="T27" s="11">
        <f t="shared" si="0"/>
        <v>1.8167636498700016E-2</v>
      </c>
      <c r="U27" s="1" t="s">
        <v>371</v>
      </c>
      <c r="V27" s="6"/>
      <c r="W27" s="318" t="s">
        <v>448</v>
      </c>
      <c r="X27" s="6" t="s">
        <v>373</v>
      </c>
      <c r="Y27" s="1" t="s">
        <v>374</v>
      </c>
    </row>
    <row r="28" spans="6:27">
      <c r="F28" t="s">
        <v>462</v>
      </c>
      <c r="P28" s="2" t="s">
        <v>143</v>
      </c>
      <c r="Q28" s="10" t="s">
        <v>36</v>
      </c>
      <c r="R28" s="2" t="s">
        <v>370</v>
      </c>
      <c r="S28" s="3">
        <v>2181.09</v>
      </c>
      <c r="T28" s="11">
        <f t="shared" si="0"/>
        <v>1.8002476166893648E-2</v>
      </c>
      <c r="U28" s="1" t="s">
        <v>371</v>
      </c>
      <c r="V28" s="6"/>
      <c r="W28" s="318" t="s">
        <v>448</v>
      </c>
      <c r="X28" s="6" t="s">
        <v>373</v>
      </c>
      <c r="Y28" s="1" t="s">
        <v>374</v>
      </c>
    </row>
    <row r="29" spans="6:27">
      <c r="F29" t="s">
        <v>463</v>
      </c>
      <c r="P29" s="2" t="s">
        <v>144</v>
      </c>
      <c r="Q29" s="10" t="s">
        <v>36</v>
      </c>
      <c r="R29" s="2" t="s">
        <v>370</v>
      </c>
      <c r="S29" s="3">
        <v>2212.7000000000003</v>
      </c>
      <c r="T29" s="11">
        <f t="shared" si="0"/>
        <v>1.8263381618587763E-2</v>
      </c>
      <c r="U29" s="1" t="s">
        <v>371</v>
      </c>
      <c r="V29" s="6"/>
      <c r="W29" s="318" t="s">
        <v>448</v>
      </c>
      <c r="X29" s="6" t="s">
        <v>373</v>
      </c>
      <c r="Y29" s="1" t="s">
        <v>374</v>
      </c>
    </row>
    <row r="30" spans="6:27">
      <c r="F30" t="s">
        <v>464</v>
      </c>
      <c r="P30" s="2" t="s">
        <v>145</v>
      </c>
      <c r="Q30" s="319" t="s">
        <v>38</v>
      </c>
      <c r="R30" s="319" t="s">
        <v>465</v>
      </c>
      <c r="S30" s="3">
        <v>1818.3000000000002</v>
      </c>
      <c r="T30" s="11">
        <f t="shared" ref="T30:T93" si="2">S30/$B$2</f>
        <v>1.5008047542404359E-2</v>
      </c>
      <c r="U30" s="1" t="s">
        <v>371</v>
      </c>
      <c r="V30" s="2"/>
      <c r="W30" s="319" t="s">
        <v>466</v>
      </c>
      <c r="X30" s="6" t="s">
        <v>373</v>
      </c>
      <c r="Y30" s="1" t="s">
        <v>374</v>
      </c>
    </row>
    <row r="31" spans="6:27">
      <c r="F31" t="s">
        <v>467</v>
      </c>
      <c r="P31" s="2" t="s">
        <v>146</v>
      </c>
      <c r="Q31" s="319" t="s">
        <v>38</v>
      </c>
      <c r="R31" s="319" t="s">
        <v>465</v>
      </c>
      <c r="S31" s="3">
        <v>1898.05</v>
      </c>
      <c r="T31" s="11">
        <f t="shared" si="2"/>
        <v>1.566629524163262E-2</v>
      </c>
      <c r="U31" s="1" t="s">
        <v>371</v>
      </c>
      <c r="V31" s="2"/>
      <c r="W31" s="319" t="s">
        <v>466</v>
      </c>
      <c r="X31" s="6" t="s">
        <v>373</v>
      </c>
      <c r="Y31" s="1" t="s">
        <v>374</v>
      </c>
    </row>
    <row r="32" spans="6:27">
      <c r="P32" s="2" t="s">
        <v>147</v>
      </c>
      <c r="Q32" s="319" t="s">
        <v>38</v>
      </c>
      <c r="R32" s="319" t="s">
        <v>465</v>
      </c>
      <c r="S32" s="3">
        <v>1834.25</v>
      </c>
      <c r="T32" s="11">
        <f t="shared" si="2"/>
        <v>1.5139697082250009E-2</v>
      </c>
      <c r="U32" s="1" t="s">
        <v>371</v>
      </c>
      <c r="V32" s="2"/>
      <c r="W32" s="319" t="s">
        <v>466</v>
      </c>
      <c r="X32" s="6" t="s">
        <v>373</v>
      </c>
      <c r="Y32" s="1" t="s">
        <v>374</v>
      </c>
    </row>
    <row r="33" spans="16:25">
      <c r="P33" s="2" t="s">
        <v>148</v>
      </c>
      <c r="Q33" s="319" t="s">
        <v>38</v>
      </c>
      <c r="R33" s="319" t="s">
        <v>465</v>
      </c>
      <c r="S33" s="3">
        <v>1866.1</v>
      </c>
      <c r="T33" s="11">
        <f t="shared" si="2"/>
        <v>1.5402583467459039E-2</v>
      </c>
      <c r="U33" s="1" t="s">
        <v>371</v>
      </c>
      <c r="V33" s="2"/>
      <c r="W33" s="319" t="s">
        <v>466</v>
      </c>
      <c r="X33" s="6" t="s">
        <v>373</v>
      </c>
      <c r="Y33" s="1" t="s">
        <v>374</v>
      </c>
    </row>
    <row r="34" spans="16:25">
      <c r="P34" s="2" t="s">
        <v>149</v>
      </c>
      <c r="Q34" s="319" t="s">
        <v>37</v>
      </c>
      <c r="R34" s="319" t="s">
        <v>468</v>
      </c>
      <c r="S34" s="3">
        <v>1802.35</v>
      </c>
      <c r="T34" s="11">
        <f t="shared" si="2"/>
        <v>1.4876398002558706E-2</v>
      </c>
      <c r="U34" s="1" t="s">
        <v>371</v>
      </c>
      <c r="V34" s="2"/>
      <c r="W34" s="319" t="s">
        <v>466</v>
      </c>
      <c r="X34" s="6" t="s">
        <v>373</v>
      </c>
      <c r="Y34" s="1" t="s">
        <v>374</v>
      </c>
    </row>
    <row r="35" spans="16:25">
      <c r="P35" s="2" t="s">
        <v>150</v>
      </c>
      <c r="Q35" s="319" t="s">
        <v>37</v>
      </c>
      <c r="R35" s="319" t="s">
        <v>468</v>
      </c>
      <c r="S35" s="3">
        <v>1913.9999999999998</v>
      </c>
      <c r="T35" s="11">
        <f t="shared" si="2"/>
        <v>1.5797944781478269E-2</v>
      </c>
      <c r="U35" s="1" t="s">
        <v>371</v>
      </c>
      <c r="V35" s="2"/>
      <c r="W35" s="319" t="s">
        <v>466</v>
      </c>
      <c r="X35" s="6" t="s">
        <v>373</v>
      </c>
      <c r="Y35" s="1" t="s">
        <v>374</v>
      </c>
    </row>
    <row r="36" spans="16:25">
      <c r="P36" s="2" t="s">
        <v>151</v>
      </c>
      <c r="Q36" s="319" t="s">
        <v>37</v>
      </c>
      <c r="R36" s="319" t="s">
        <v>468</v>
      </c>
      <c r="S36" s="3">
        <v>1882.1</v>
      </c>
      <c r="T36" s="11">
        <f t="shared" si="2"/>
        <v>1.5534645701786967E-2</v>
      </c>
      <c r="U36" s="1" t="s">
        <v>371</v>
      </c>
      <c r="V36" s="2"/>
      <c r="W36" s="319" t="s">
        <v>466</v>
      </c>
      <c r="X36" s="6" t="s">
        <v>373</v>
      </c>
      <c r="Y36" s="1" t="s">
        <v>374</v>
      </c>
    </row>
    <row r="37" spans="16:25">
      <c r="P37" s="2" t="s">
        <v>152</v>
      </c>
      <c r="Q37" s="319" t="s">
        <v>37</v>
      </c>
      <c r="R37" s="319" t="s">
        <v>468</v>
      </c>
      <c r="S37" s="3">
        <v>1850.2</v>
      </c>
      <c r="T37" s="11">
        <f t="shared" si="2"/>
        <v>1.5271346622095663E-2</v>
      </c>
      <c r="U37" s="1" t="s">
        <v>371</v>
      </c>
      <c r="V37" s="2"/>
      <c r="W37" s="319" t="s">
        <v>466</v>
      </c>
      <c r="X37" s="6" t="s">
        <v>373</v>
      </c>
      <c r="Y37" s="1" t="s">
        <v>374</v>
      </c>
    </row>
    <row r="38" spans="16:25">
      <c r="P38" s="2" t="s">
        <v>153</v>
      </c>
      <c r="Q38" s="319" t="s">
        <v>39</v>
      </c>
      <c r="R38" s="319" t="s">
        <v>469</v>
      </c>
      <c r="S38" s="3">
        <v>1485.67</v>
      </c>
      <c r="T38" s="11">
        <f t="shared" si="2"/>
        <v>1.226255622962321E-2</v>
      </c>
      <c r="U38" s="1" t="s">
        <v>371</v>
      </c>
      <c r="V38" s="2"/>
      <c r="W38" s="319" t="s">
        <v>466</v>
      </c>
      <c r="X38" s="6" t="s">
        <v>373</v>
      </c>
      <c r="Y38" s="1" t="s">
        <v>374</v>
      </c>
    </row>
    <row r="39" spans="16:25">
      <c r="P39" s="319" t="s">
        <v>154</v>
      </c>
      <c r="Q39" s="319" t="s">
        <v>39</v>
      </c>
      <c r="R39" s="319" t="s">
        <v>469</v>
      </c>
      <c r="S39" s="3">
        <v>1485.67</v>
      </c>
      <c r="T39" s="11">
        <f t="shared" si="2"/>
        <v>1.226255622962321E-2</v>
      </c>
      <c r="U39" s="1" t="s">
        <v>371</v>
      </c>
      <c r="V39" s="2"/>
      <c r="W39" s="319" t="s">
        <v>466</v>
      </c>
      <c r="X39" s="6" t="s">
        <v>373</v>
      </c>
      <c r="Y39" s="1" t="s">
        <v>374</v>
      </c>
    </row>
    <row r="40" spans="16:25">
      <c r="P40" s="319" t="s">
        <v>155</v>
      </c>
      <c r="Q40" s="319" t="s">
        <v>40</v>
      </c>
      <c r="R40" s="319" t="s">
        <v>470</v>
      </c>
      <c r="S40" s="3">
        <v>1485.67</v>
      </c>
      <c r="T40" s="11">
        <f t="shared" si="2"/>
        <v>1.226255622962321E-2</v>
      </c>
      <c r="U40" s="1" t="s">
        <v>371</v>
      </c>
      <c r="V40" s="2"/>
      <c r="W40" s="319" t="s">
        <v>466</v>
      </c>
      <c r="X40" s="6" t="s">
        <v>373</v>
      </c>
      <c r="Y40" s="1" t="s">
        <v>374</v>
      </c>
    </row>
    <row r="41" spans="16:25">
      <c r="P41" s="319" t="s">
        <v>156</v>
      </c>
      <c r="Q41" s="319" t="s">
        <v>40</v>
      </c>
      <c r="R41" s="319" t="s">
        <v>470</v>
      </c>
      <c r="S41" s="3">
        <v>1485.67</v>
      </c>
      <c r="T41" s="11">
        <f t="shared" si="2"/>
        <v>1.226255622962321E-2</v>
      </c>
      <c r="U41" s="1" t="s">
        <v>371</v>
      </c>
      <c r="V41" s="2"/>
      <c r="W41" s="319" t="s">
        <v>466</v>
      </c>
      <c r="X41" s="6" t="s">
        <v>373</v>
      </c>
      <c r="Y41" s="1" t="s">
        <v>374</v>
      </c>
    </row>
    <row r="42" spans="16:25">
      <c r="P42" s="319" t="s">
        <v>157</v>
      </c>
      <c r="Q42" s="319" t="s">
        <v>40</v>
      </c>
      <c r="R42" s="319" t="s">
        <v>470</v>
      </c>
      <c r="S42" s="3">
        <v>1519.6000000000001</v>
      </c>
      <c r="T42" s="11">
        <f t="shared" si="2"/>
        <v>1.2542610705294872E-2</v>
      </c>
      <c r="U42" s="1" t="s">
        <v>371</v>
      </c>
      <c r="V42" s="2"/>
      <c r="W42" s="319" t="s">
        <v>466</v>
      </c>
      <c r="X42" s="6" t="s">
        <v>373</v>
      </c>
      <c r="Y42" s="1" t="s">
        <v>374</v>
      </c>
    </row>
    <row r="43" spans="16:25">
      <c r="P43" s="319" t="s">
        <v>158</v>
      </c>
      <c r="Q43" s="319" t="s">
        <v>40</v>
      </c>
      <c r="R43" s="319" t="s">
        <v>470</v>
      </c>
      <c r="S43" s="3">
        <v>1501.4749999999999</v>
      </c>
      <c r="T43" s="11">
        <f t="shared" si="2"/>
        <v>1.2393008955470264E-2</v>
      </c>
      <c r="U43" s="1" t="s">
        <v>371</v>
      </c>
      <c r="V43" s="2"/>
      <c r="W43" s="319" t="s">
        <v>466</v>
      </c>
      <c r="X43" s="6" t="s">
        <v>373</v>
      </c>
      <c r="Y43" s="1" t="s">
        <v>374</v>
      </c>
    </row>
    <row r="44" spans="16:25">
      <c r="P44" s="2" t="s">
        <v>159</v>
      </c>
      <c r="Q44" s="319" t="s">
        <v>40</v>
      </c>
      <c r="R44" s="319" t="s">
        <v>470</v>
      </c>
      <c r="S44" s="3">
        <v>2133.6750000000002</v>
      </c>
      <c r="T44" s="11">
        <f t="shared" si="2"/>
        <v>1.7611117989352484E-2</v>
      </c>
      <c r="U44" s="1" t="s">
        <v>371</v>
      </c>
      <c r="V44" s="2"/>
      <c r="W44" s="319" t="s">
        <v>466</v>
      </c>
      <c r="X44" s="6" t="s">
        <v>373</v>
      </c>
      <c r="Y44" s="1" t="s">
        <v>374</v>
      </c>
    </row>
    <row r="45" spans="16:25">
      <c r="P45" s="2" t="s">
        <v>160</v>
      </c>
      <c r="Q45" s="319" t="s">
        <v>40</v>
      </c>
      <c r="R45" s="319" t="s">
        <v>470</v>
      </c>
      <c r="S45" s="3">
        <v>2370.75</v>
      </c>
      <c r="T45" s="11">
        <f t="shared" si="2"/>
        <v>1.9567908877058313E-2</v>
      </c>
      <c r="U45" s="1" t="s">
        <v>371</v>
      </c>
      <c r="V45" s="2"/>
      <c r="W45" s="319" t="s">
        <v>466</v>
      </c>
      <c r="X45" s="6" t="s">
        <v>373</v>
      </c>
      <c r="Y45" s="1" t="s">
        <v>374</v>
      </c>
    </row>
    <row r="46" spans="16:25">
      <c r="P46" s="2" t="s">
        <v>161</v>
      </c>
      <c r="Q46" s="319" t="s">
        <v>40</v>
      </c>
      <c r="R46" s="319" t="s">
        <v>470</v>
      </c>
      <c r="S46" s="3">
        <v>1722.7450000000001</v>
      </c>
      <c r="T46" s="11">
        <f t="shared" si="2"/>
        <v>1.4219347117329043E-2</v>
      </c>
      <c r="U46" s="1" t="s">
        <v>371</v>
      </c>
      <c r="V46" s="2"/>
      <c r="W46" s="319" t="s">
        <v>466</v>
      </c>
      <c r="X46" s="6" t="s">
        <v>373</v>
      </c>
      <c r="Y46" s="1" t="s">
        <v>374</v>
      </c>
    </row>
    <row r="47" spans="16:25">
      <c r="P47" s="2" t="s">
        <v>162</v>
      </c>
      <c r="Q47" s="319" t="s">
        <v>40</v>
      </c>
      <c r="R47" s="319" t="s">
        <v>470</v>
      </c>
      <c r="S47" s="3">
        <v>2117.8700000000003</v>
      </c>
      <c r="T47" s="11">
        <f t="shared" si="2"/>
        <v>1.7480665263505429E-2</v>
      </c>
      <c r="U47" s="1" t="s">
        <v>371</v>
      </c>
      <c r="V47" s="2"/>
      <c r="W47" s="319" t="s">
        <v>466</v>
      </c>
      <c r="X47" s="6" t="s">
        <v>373</v>
      </c>
      <c r="Y47" s="1" t="s">
        <v>374</v>
      </c>
    </row>
    <row r="48" spans="16:25">
      <c r="P48" s="2" t="s">
        <v>471</v>
      </c>
      <c r="Q48" s="319" t="s">
        <v>36</v>
      </c>
      <c r="R48" s="2"/>
      <c r="S48" s="3">
        <v>6209.335</v>
      </c>
      <c r="T48" s="11">
        <f t="shared" si="2"/>
        <v>5.1251165861912425E-2</v>
      </c>
      <c r="U48" s="1" t="s">
        <v>371</v>
      </c>
      <c r="V48" s="2"/>
      <c r="W48" s="319" t="s">
        <v>372</v>
      </c>
      <c r="X48" s="6" t="s">
        <v>373</v>
      </c>
      <c r="Y48" s="1" t="s">
        <v>374</v>
      </c>
    </row>
    <row r="49" spans="16:25">
      <c r="P49" s="2" t="s">
        <v>472</v>
      </c>
      <c r="Q49" s="319" t="s">
        <v>36</v>
      </c>
      <c r="R49" s="2"/>
      <c r="S49" s="3">
        <v>6291.8399999999983</v>
      </c>
      <c r="T49" s="11">
        <f t="shared" si="2"/>
        <v>5.1932153027114014E-2</v>
      </c>
      <c r="U49" s="1" t="s">
        <v>371</v>
      </c>
      <c r="V49" s="2"/>
      <c r="W49" s="319" t="s">
        <v>372</v>
      </c>
      <c r="X49" s="6" t="s">
        <v>373</v>
      </c>
      <c r="Y49" s="1" t="s">
        <v>374</v>
      </c>
    </row>
    <row r="50" spans="16:25">
      <c r="P50" s="2" t="s">
        <v>473</v>
      </c>
      <c r="Q50" s="319" t="s">
        <v>36</v>
      </c>
      <c r="R50" s="2"/>
      <c r="S50" s="3">
        <v>6196.074999999998</v>
      </c>
      <c r="T50" s="11">
        <f t="shared" si="2"/>
        <v>5.114171928521314E-2</v>
      </c>
      <c r="U50" s="1" t="s">
        <v>371</v>
      </c>
      <c r="V50" s="2"/>
      <c r="W50" s="319" t="s">
        <v>372</v>
      </c>
      <c r="X50" s="6" t="s">
        <v>373</v>
      </c>
      <c r="Y50" s="1" t="s">
        <v>374</v>
      </c>
    </row>
    <row r="51" spans="16:25">
      <c r="P51" s="2" t="s">
        <v>474</v>
      </c>
      <c r="Q51" s="319" t="s">
        <v>36</v>
      </c>
      <c r="R51" s="2"/>
      <c r="S51" s="3">
        <v>6311.1</v>
      </c>
      <c r="T51" s="11">
        <f t="shared" si="2"/>
        <v>5.2091122941686274E-2</v>
      </c>
      <c r="U51" s="1" t="s">
        <v>371</v>
      </c>
      <c r="V51" s="2"/>
      <c r="W51" s="319" t="s">
        <v>372</v>
      </c>
      <c r="X51" s="6" t="s">
        <v>373</v>
      </c>
      <c r="Y51" s="1" t="s">
        <v>374</v>
      </c>
    </row>
    <row r="52" spans="16:25">
      <c r="P52" s="2" t="s">
        <v>475</v>
      </c>
      <c r="Q52" s="319" t="s">
        <v>36</v>
      </c>
      <c r="R52" s="2"/>
      <c r="S52" s="3">
        <v>4603.5999999999995</v>
      </c>
      <c r="T52" s="11">
        <f t="shared" si="2"/>
        <v>3.79976063720028E-2</v>
      </c>
      <c r="U52" s="1" t="s">
        <v>371</v>
      </c>
      <c r="V52" s="2"/>
      <c r="W52" s="319" t="s">
        <v>448</v>
      </c>
      <c r="X52" s="6" t="s">
        <v>373</v>
      </c>
      <c r="Y52" s="1" t="s">
        <v>374</v>
      </c>
    </row>
    <row r="53" spans="16:25">
      <c r="P53" s="2" t="s">
        <v>476</v>
      </c>
      <c r="Q53" s="319" t="s">
        <v>36</v>
      </c>
      <c r="R53" s="2"/>
      <c r="S53" s="3">
        <v>4307.8500000000004</v>
      </c>
      <c r="T53" s="11">
        <f t="shared" si="2"/>
        <v>3.5556518509347532E-2</v>
      </c>
      <c r="U53" s="1" t="s">
        <v>371</v>
      </c>
      <c r="V53" s="2"/>
      <c r="W53" s="319" t="s">
        <v>448</v>
      </c>
      <c r="X53" s="6" t="s">
        <v>373</v>
      </c>
      <c r="Y53" s="1" t="s">
        <v>374</v>
      </c>
    </row>
    <row r="54" spans="16:25">
      <c r="P54" s="2" t="s">
        <v>477</v>
      </c>
      <c r="Q54" s="319" t="s">
        <v>36</v>
      </c>
      <c r="R54" s="2"/>
      <c r="S54" s="3">
        <v>3865.9049999999997</v>
      </c>
      <c r="T54" s="11">
        <f t="shared" si="2"/>
        <v>3.1908753249969043E-2</v>
      </c>
      <c r="U54" s="1" t="s">
        <v>371</v>
      </c>
      <c r="V54" s="2"/>
      <c r="W54" s="319" t="s">
        <v>448</v>
      </c>
      <c r="X54" s="6" t="s">
        <v>373</v>
      </c>
      <c r="Y54" s="1" t="s">
        <v>374</v>
      </c>
    </row>
    <row r="55" spans="16:25">
      <c r="P55" s="2" t="s">
        <v>478</v>
      </c>
      <c r="Q55" s="319" t="s">
        <v>36</v>
      </c>
      <c r="R55" s="2"/>
      <c r="S55" s="3">
        <v>4409.0500000000011</v>
      </c>
      <c r="T55" s="11">
        <f t="shared" si="2"/>
        <v>3.6391812141471677E-2</v>
      </c>
      <c r="U55" s="1" t="s">
        <v>371</v>
      </c>
      <c r="V55" s="2"/>
      <c r="W55" s="319" t="s">
        <v>448</v>
      </c>
      <c r="X55" s="6" t="s">
        <v>373</v>
      </c>
      <c r="Y55" s="1" t="s">
        <v>374</v>
      </c>
    </row>
    <row r="56" spans="16:25">
      <c r="P56" s="2" t="s">
        <v>479</v>
      </c>
      <c r="Q56" s="319" t="s">
        <v>36</v>
      </c>
      <c r="R56" s="2"/>
      <c r="S56" s="3">
        <v>4351.05</v>
      </c>
      <c r="T56" s="11">
        <f t="shared" si="2"/>
        <v>3.5913086542032936E-2</v>
      </c>
      <c r="U56" s="1" t="s">
        <v>371</v>
      </c>
      <c r="V56" s="2"/>
      <c r="W56" s="319" t="s">
        <v>448</v>
      </c>
      <c r="X56" s="6" t="s">
        <v>373</v>
      </c>
      <c r="Y56" s="1" t="s">
        <v>374</v>
      </c>
    </row>
    <row r="57" spans="16:25">
      <c r="P57" s="2" t="s">
        <v>480</v>
      </c>
      <c r="Q57" s="319" t="s">
        <v>36</v>
      </c>
      <c r="R57" s="2"/>
      <c r="S57" s="3">
        <v>4393.7900000000009</v>
      </c>
      <c r="T57" s="11">
        <f t="shared" si="2"/>
        <v>3.6265857785481415E-2</v>
      </c>
      <c r="U57" s="1" t="s">
        <v>371</v>
      </c>
      <c r="V57" s="2"/>
      <c r="W57" s="319" t="s">
        <v>448</v>
      </c>
      <c r="X57" s="6" t="s">
        <v>373</v>
      </c>
      <c r="Y57" s="1" t="s">
        <v>374</v>
      </c>
    </row>
    <row r="58" spans="16:25">
      <c r="P58" s="2" t="s">
        <v>481</v>
      </c>
      <c r="Q58" s="319" t="s">
        <v>38</v>
      </c>
      <c r="R58" s="2"/>
      <c r="S58" s="3">
        <v>3716.3500000000004</v>
      </c>
      <c r="T58" s="11">
        <f t="shared" si="2"/>
        <v>3.0674342784036981E-2</v>
      </c>
      <c r="U58" s="1" t="s">
        <v>371</v>
      </c>
      <c r="V58" s="2"/>
      <c r="W58" s="319" t="s">
        <v>466</v>
      </c>
      <c r="X58" s="6" t="s">
        <v>373</v>
      </c>
      <c r="Y58" s="1" t="s">
        <v>374</v>
      </c>
    </row>
    <row r="59" spans="16:25">
      <c r="P59" s="2" t="s">
        <v>482</v>
      </c>
      <c r="Q59" s="319" t="s">
        <v>38</v>
      </c>
      <c r="R59" s="2"/>
      <c r="S59" s="3">
        <v>3700.3500000000004</v>
      </c>
      <c r="T59" s="11">
        <f t="shared" si="2"/>
        <v>3.0542280549709054E-2</v>
      </c>
      <c r="U59" s="1" t="s">
        <v>371</v>
      </c>
      <c r="V59" s="2"/>
      <c r="W59" s="319" t="s">
        <v>466</v>
      </c>
      <c r="X59" s="6" t="s">
        <v>373</v>
      </c>
      <c r="Y59" s="1" t="s">
        <v>374</v>
      </c>
    </row>
    <row r="60" spans="16:25">
      <c r="P60" s="2" t="s">
        <v>483</v>
      </c>
      <c r="Q60" s="319" t="s">
        <v>37</v>
      </c>
      <c r="R60" s="2"/>
      <c r="S60" s="3">
        <v>3716.35</v>
      </c>
      <c r="T60" s="11">
        <f t="shared" si="2"/>
        <v>3.0674342784036978E-2</v>
      </c>
      <c r="U60" s="1" t="s">
        <v>371</v>
      </c>
      <c r="V60" s="2"/>
      <c r="W60" s="319" t="s">
        <v>466</v>
      </c>
      <c r="X60" s="6" t="s">
        <v>373</v>
      </c>
      <c r="Y60" s="1" t="s">
        <v>374</v>
      </c>
    </row>
    <row r="61" spans="16:25">
      <c r="P61" s="2" t="s">
        <v>484</v>
      </c>
      <c r="Q61" s="319" t="s">
        <v>37</v>
      </c>
      <c r="R61" s="2"/>
      <c r="S61" s="3">
        <v>3732.3000000000006</v>
      </c>
      <c r="T61" s="11">
        <f t="shared" si="2"/>
        <v>3.0805992323882633E-2</v>
      </c>
      <c r="U61" s="1" t="s">
        <v>371</v>
      </c>
      <c r="V61" s="2"/>
      <c r="W61" s="319" t="s">
        <v>466</v>
      </c>
      <c r="X61" s="6" t="s">
        <v>373</v>
      </c>
      <c r="Y61" s="1" t="s">
        <v>374</v>
      </c>
    </row>
    <row r="62" spans="16:25">
      <c r="P62" s="2" t="s">
        <v>485</v>
      </c>
      <c r="Q62" s="319" t="s">
        <v>39</v>
      </c>
      <c r="R62" s="2"/>
      <c r="S62" s="3">
        <v>1485.67</v>
      </c>
      <c r="T62" s="11">
        <f t="shared" si="2"/>
        <v>1.226255622962321E-2</v>
      </c>
      <c r="U62" s="1" t="s">
        <v>371</v>
      </c>
      <c r="V62" s="2"/>
      <c r="W62" s="319" t="s">
        <v>466</v>
      </c>
      <c r="X62" s="6" t="s">
        <v>373</v>
      </c>
      <c r="Y62" s="1" t="s">
        <v>374</v>
      </c>
    </row>
    <row r="63" spans="16:25">
      <c r="P63" s="2" t="s">
        <v>486</v>
      </c>
      <c r="Q63" s="319" t="s">
        <v>39</v>
      </c>
      <c r="R63" s="2"/>
      <c r="S63" s="3">
        <v>1485.67</v>
      </c>
      <c r="T63" s="11">
        <f t="shared" si="2"/>
        <v>1.226255622962321E-2</v>
      </c>
      <c r="U63" s="1" t="s">
        <v>371</v>
      </c>
      <c r="V63" s="2"/>
      <c r="W63" s="319" t="s">
        <v>466</v>
      </c>
      <c r="X63" s="6" t="s">
        <v>373</v>
      </c>
      <c r="Y63" s="1" t="s">
        <v>374</v>
      </c>
    </row>
    <row r="64" spans="16:25">
      <c r="P64" s="2" t="s">
        <v>487</v>
      </c>
      <c r="Q64" s="319" t="s">
        <v>40</v>
      </c>
      <c r="R64" s="2"/>
      <c r="S64" s="3">
        <v>5992.4150000000009</v>
      </c>
      <c r="T64" s="11">
        <f t="shared" si="2"/>
        <v>4.9460732120011563E-2</v>
      </c>
      <c r="U64" s="1" t="s">
        <v>371</v>
      </c>
      <c r="V64" s="2"/>
      <c r="W64" s="319" t="s">
        <v>466</v>
      </c>
      <c r="X64" s="6" t="s">
        <v>373</v>
      </c>
      <c r="Y64" s="1" t="s">
        <v>374</v>
      </c>
    </row>
    <row r="65" spans="16:25">
      <c r="P65" s="2" t="s">
        <v>488</v>
      </c>
      <c r="Q65" s="319" t="s">
        <v>40</v>
      </c>
      <c r="R65" s="2"/>
      <c r="S65" s="3">
        <v>4504.4250000000002</v>
      </c>
      <c r="T65" s="11">
        <f t="shared" si="2"/>
        <v>3.7179026866410794E-2</v>
      </c>
      <c r="U65" s="1" t="s">
        <v>371</v>
      </c>
      <c r="V65" s="2"/>
      <c r="W65" s="319" t="s">
        <v>466</v>
      </c>
      <c r="X65" s="6" t="s">
        <v>373</v>
      </c>
      <c r="Y65" s="1" t="s">
        <v>374</v>
      </c>
    </row>
    <row r="66" spans="16:25">
      <c r="P66" s="2" t="s">
        <v>489</v>
      </c>
      <c r="Q66" s="319" t="s">
        <v>40</v>
      </c>
      <c r="R66" s="2"/>
      <c r="S66" s="3">
        <v>3840.6150000000007</v>
      </c>
      <c r="T66" s="11">
        <f t="shared" si="2"/>
        <v>3.1700012380834475E-2</v>
      </c>
      <c r="U66" s="1" t="s">
        <v>371</v>
      </c>
      <c r="V66" s="2"/>
      <c r="W66" s="319" t="s">
        <v>466</v>
      </c>
      <c r="X66" s="6" t="s">
        <v>373</v>
      </c>
      <c r="Y66" s="1" t="s">
        <v>374</v>
      </c>
    </row>
    <row r="67" spans="16:25">
      <c r="P67" s="2" t="s">
        <v>490</v>
      </c>
      <c r="Q67" s="2"/>
      <c r="R67" s="2"/>
      <c r="S67" s="3">
        <v>252.88</v>
      </c>
      <c r="T67" s="11">
        <f t="shared" si="2"/>
        <v>2.0872436135528868E-3</v>
      </c>
      <c r="U67" s="1" t="s">
        <v>371</v>
      </c>
      <c r="V67" s="2"/>
      <c r="W67" s="2"/>
      <c r="X67" s="6" t="s">
        <v>373</v>
      </c>
      <c r="Y67" s="1" t="s">
        <v>374</v>
      </c>
    </row>
    <row r="68" spans="16:25">
      <c r="P68" s="2" t="s">
        <v>491</v>
      </c>
      <c r="Q68" s="2"/>
      <c r="R68" s="2"/>
      <c r="S68" s="3">
        <v>237.07499999999999</v>
      </c>
      <c r="T68" s="11">
        <f t="shared" si="2"/>
        <v>1.9567908877058311E-3</v>
      </c>
      <c r="U68" s="1" t="s">
        <v>371</v>
      </c>
      <c r="V68" s="2"/>
      <c r="W68" s="2"/>
      <c r="X68" s="6" t="s">
        <v>373</v>
      </c>
      <c r="Y68" s="1" t="s">
        <v>374</v>
      </c>
    </row>
    <row r="69" spans="16:25">
      <c r="P69" s="2" t="s">
        <v>492</v>
      </c>
      <c r="Q69" s="2"/>
      <c r="R69" s="2"/>
      <c r="S69" s="3">
        <v>252.88</v>
      </c>
      <c r="T69" s="11">
        <f t="shared" si="2"/>
        <v>2.0872436135528868E-3</v>
      </c>
      <c r="U69" s="1" t="s">
        <v>371</v>
      </c>
      <c r="V69" s="2"/>
      <c r="W69" s="2"/>
      <c r="X69" s="6" t="s">
        <v>373</v>
      </c>
      <c r="Y69" s="1" t="s">
        <v>374</v>
      </c>
    </row>
    <row r="70" spans="16:25">
      <c r="P70" s="2" t="s">
        <v>493</v>
      </c>
      <c r="Q70" s="2"/>
      <c r="R70" s="2"/>
      <c r="S70" s="3">
        <v>284.49</v>
      </c>
      <c r="T70" s="11">
        <f t="shared" si="2"/>
        <v>2.3481490652469978E-3</v>
      </c>
      <c r="U70" s="1" t="s">
        <v>371</v>
      </c>
      <c r="V70" s="2"/>
      <c r="W70" s="2"/>
      <c r="X70" s="6" t="s">
        <v>373</v>
      </c>
      <c r="Y70" s="1" t="s">
        <v>374</v>
      </c>
    </row>
    <row r="71" spans="16:25">
      <c r="P71" s="2" t="s">
        <v>494</v>
      </c>
      <c r="Q71" s="2"/>
      <c r="R71" s="2"/>
      <c r="S71" s="3">
        <v>284.49</v>
      </c>
      <c r="T71" s="11">
        <f t="shared" si="2"/>
        <v>2.3481490652469978E-3</v>
      </c>
      <c r="U71" s="1" t="s">
        <v>371</v>
      </c>
      <c r="V71" s="2"/>
      <c r="W71" s="2"/>
      <c r="X71" s="6" t="s">
        <v>373</v>
      </c>
      <c r="Y71" s="1" t="s">
        <v>374</v>
      </c>
    </row>
    <row r="72" spans="16:25">
      <c r="P72" s="2" t="s">
        <v>495</v>
      </c>
      <c r="Q72" s="2"/>
      <c r="R72" s="2"/>
      <c r="S72" s="3">
        <v>284.49</v>
      </c>
      <c r="T72" s="11">
        <f t="shared" si="2"/>
        <v>2.3481490652469978E-3</v>
      </c>
      <c r="U72" s="1" t="s">
        <v>371</v>
      </c>
      <c r="V72" s="2"/>
      <c r="W72" s="2"/>
      <c r="X72" s="6" t="s">
        <v>373</v>
      </c>
      <c r="Y72" s="1" t="s">
        <v>374</v>
      </c>
    </row>
    <row r="73" spans="16:25">
      <c r="P73" s="2" t="s">
        <v>496</v>
      </c>
      <c r="Q73" s="2"/>
      <c r="R73" s="2"/>
      <c r="S73" s="3">
        <v>268.685</v>
      </c>
      <c r="T73" s="11">
        <f t="shared" si="2"/>
        <v>2.2176963393999421E-3</v>
      </c>
      <c r="U73" s="1" t="s">
        <v>371</v>
      </c>
      <c r="V73" s="2"/>
      <c r="W73" s="2"/>
      <c r="X73" s="6" t="s">
        <v>373</v>
      </c>
      <c r="Y73" s="1" t="s">
        <v>374</v>
      </c>
    </row>
    <row r="74" spans="16:25">
      <c r="P74" s="2" t="s">
        <v>497</v>
      </c>
      <c r="Q74" s="2"/>
      <c r="R74" s="2"/>
      <c r="S74" s="3">
        <v>284.49</v>
      </c>
      <c r="T74" s="11">
        <f t="shared" si="2"/>
        <v>2.3481490652469978E-3</v>
      </c>
      <c r="U74" s="1" t="s">
        <v>371</v>
      </c>
      <c r="V74" s="2"/>
      <c r="W74" s="2"/>
      <c r="X74" s="6" t="s">
        <v>373</v>
      </c>
      <c r="Y74" s="1" t="s">
        <v>374</v>
      </c>
    </row>
    <row r="75" spans="16:25">
      <c r="P75" s="2" t="s">
        <v>498</v>
      </c>
      <c r="Q75" s="2"/>
      <c r="R75" s="2"/>
      <c r="S75" s="3">
        <v>252.88</v>
      </c>
      <c r="T75" s="11">
        <f t="shared" si="2"/>
        <v>2.0872436135528868E-3</v>
      </c>
      <c r="U75" s="1" t="s">
        <v>371</v>
      </c>
      <c r="V75" s="2"/>
      <c r="W75" s="2"/>
      <c r="X75" s="6" t="s">
        <v>373</v>
      </c>
      <c r="Y75" s="1" t="s">
        <v>374</v>
      </c>
    </row>
    <row r="76" spans="16:25">
      <c r="P76" s="2" t="s">
        <v>499</v>
      </c>
      <c r="Q76" s="2"/>
      <c r="R76" s="2"/>
      <c r="S76" s="3">
        <v>252.88</v>
      </c>
      <c r="T76" s="11">
        <f t="shared" si="2"/>
        <v>2.0872436135528868E-3</v>
      </c>
      <c r="U76" s="1" t="s">
        <v>371</v>
      </c>
      <c r="V76" s="2"/>
      <c r="W76" s="2"/>
      <c r="X76" s="6" t="s">
        <v>373</v>
      </c>
      <c r="Y76" s="1" t="s">
        <v>374</v>
      </c>
    </row>
    <row r="77" spans="16:25">
      <c r="P77" s="2" t="s">
        <v>500</v>
      </c>
      <c r="Q77" s="2"/>
      <c r="R77" s="2"/>
      <c r="S77" s="3">
        <v>252.88</v>
      </c>
      <c r="T77" s="11">
        <f t="shared" si="2"/>
        <v>2.0872436135528868E-3</v>
      </c>
      <c r="U77" s="1" t="s">
        <v>371</v>
      </c>
      <c r="V77" s="2"/>
      <c r="W77" s="2"/>
      <c r="X77" s="6" t="s">
        <v>373</v>
      </c>
      <c r="Y77" s="1" t="s">
        <v>374</v>
      </c>
    </row>
    <row r="78" spans="16:25">
      <c r="P78" s="2" t="s">
        <v>501</v>
      </c>
      <c r="Q78" s="2"/>
      <c r="R78" s="2"/>
      <c r="S78" s="3">
        <v>284.49</v>
      </c>
      <c r="T78" s="11">
        <f t="shared" si="2"/>
        <v>2.3481490652469978E-3</v>
      </c>
      <c r="U78" s="1" t="s">
        <v>371</v>
      </c>
      <c r="V78" s="2"/>
      <c r="W78" s="2"/>
      <c r="X78" s="6" t="s">
        <v>373</v>
      </c>
      <c r="Y78" s="1" t="s">
        <v>374</v>
      </c>
    </row>
    <row r="79" spans="16:25">
      <c r="P79" s="2" t="s">
        <v>502</v>
      </c>
      <c r="Q79" s="2"/>
      <c r="R79" s="2"/>
      <c r="S79" s="3">
        <v>284.49</v>
      </c>
      <c r="T79" s="11">
        <f t="shared" si="2"/>
        <v>2.3481490652469978E-3</v>
      </c>
      <c r="U79" s="1" t="s">
        <v>371</v>
      </c>
      <c r="V79" s="2"/>
      <c r="W79" s="2"/>
      <c r="X79" s="6" t="s">
        <v>373</v>
      </c>
      <c r="Y79" s="1" t="s">
        <v>374</v>
      </c>
    </row>
    <row r="80" spans="16:25">
      <c r="P80" s="2" t="s">
        <v>503</v>
      </c>
      <c r="Q80" s="2"/>
      <c r="R80" s="2"/>
      <c r="S80" s="3">
        <v>284.49</v>
      </c>
      <c r="T80" s="11">
        <f t="shared" si="2"/>
        <v>2.3481490652469978E-3</v>
      </c>
      <c r="U80" s="1" t="s">
        <v>371</v>
      </c>
      <c r="V80" s="2"/>
      <c r="W80" s="2"/>
      <c r="X80" s="6" t="s">
        <v>373</v>
      </c>
      <c r="Y80" s="1" t="s">
        <v>374</v>
      </c>
    </row>
    <row r="81" spans="16:25">
      <c r="P81" s="2" t="s">
        <v>504</v>
      </c>
      <c r="Q81" s="2"/>
      <c r="R81" s="2"/>
      <c r="S81" s="3">
        <v>268.685</v>
      </c>
      <c r="T81" s="11">
        <f t="shared" si="2"/>
        <v>2.2176963393999421E-3</v>
      </c>
      <c r="U81" s="1" t="s">
        <v>371</v>
      </c>
      <c r="V81" s="2"/>
      <c r="W81" s="2"/>
      <c r="X81" s="6" t="s">
        <v>373</v>
      </c>
      <c r="Y81" s="1" t="s">
        <v>374</v>
      </c>
    </row>
    <row r="82" spans="16:25">
      <c r="P82" s="2" t="s">
        <v>505</v>
      </c>
      <c r="Q82" s="2"/>
      <c r="R82" s="2"/>
      <c r="S82" s="3">
        <v>189.66</v>
      </c>
      <c r="T82" s="11">
        <f t="shared" si="2"/>
        <v>1.565432710164665E-3</v>
      </c>
      <c r="U82" s="1" t="s">
        <v>371</v>
      </c>
      <c r="V82" s="2"/>
      <c r="W82" s="2"/>
      <c r="X82" s="6" t="s">
        <v>373</v>
      </c>
      <c r="Y82" s="1" t="s">
        <v>374</v>
      </c>
    </row>
    <row r="83" spans="16:25">
      <c r="P83" s="2" t="s">
        <v>506</v>
      </c>
      <c r="Q83" s="2"/>
      <c r="R83" s="2"/>
      <c r="S83" s="3">
        <v>221.27</v>
      </c>
      <c r="T83" s="11">
        <f t="shared" si="2"/>
        <v>1.826338161858776E-3</v>
      </c>
      <c r="U83" s="1" t="s">
        <v>371</v>
      </c>
      <c r="V83" s="2"/>
      <c r="W83" s="2"/>
      <c r="X83" s="6" t="s">
        <v>373</v>
      </c>
      <c r="Y83" s="1" t="s">
        <v>374</v>
      </c>
    </row>
    <row r="84" spans="16:25">
      <c r="P84" s="2" t="s">
        <v>507</v>
      </c>
      <c r="Q84" s="2"/>
      <c r="R84" s="2"/>
      <c r="S84" s="3">
        <v>252.88</v>
      </c>
      <c r="T84" s="11">
        <f t="shared" si="2"/>
        <v>2.0872436135528868E-3</v>
      </c>
      <c r="U84" s="1" t="s">
        <v>371</v>
      </c>
      <c r="V84" s="2"/>
      <c r="W84" s="2"/>
      <c r="X84" s="6" t="s">
        <v>373</v>
      </c>
      <c r="Y84" s="1" t="s">
        <v>374</v>
      </c>
    </row>
    <row r="85" spans="16:25">
      <c r="P85" s="2" t="s">
        <v>508</v>
      </c>
      <c r="Q85" s="2"/>
      <c r="R85" s="2"/>
      <c r="S85" s="3">
        <v>223.3</v>
      </c>
      <c r="T85" s="11">
        <f t="shared" si="2"/>
        <v>1.8430935578391317E-3</v>
      </c>
      <c r="U85" s="1" t="s">
        <v>371</v>
      </c>
      <c r="V85" s="2"/>
      <c r="W85" s="2"/>
      <c r="X85" s="6" t="s">
        <v>373</v>
      </c>
      <c r="Y85" s="1" t="s">
        <v>374</v>
      </c>
    </row>
    <row r="86" spans="16:25">
      <c r="P86" s="2" t="s">
        <v>509</v>
      </c>
      <c r="Q86" s="2"/>
      <c r="R86" s="2"/>
      <c r="S86" s="3">
        <v>255.2</v>
      </c>
      <c r="T86" s="11">
        <f t="shared" si="2"/>
        <v>2.1063926375304363E-3</v>
      </c>
      <c r="U86" s="1" t="s">
        <v>371</v>
      </c>
      <c r="V86" s="2"/>
      <c r="W86" s="2"/>
      <c r="X86" s="6" t="s">
        <v>373</v>
      </c>
      <c r="Y86" s="1" t="s">
        <v>374</v>
      </c>
    </row>
    <row r="87" spans="16:25">
      <c r="P87" s="2" t="s">
        <v>510</v>
      </c>
      <c r="Q87" s="2"/>
      <c r="R87" s="2"/>
      <c r="S87" s="3">
        <v>255.2</v>
      </c>
      <c r="T87" s="11">
        <f t="shared" si="2"/>
        <v>2.1063926375304363E-3</v>
      </c>
      <c r="U87" s="1" t="s">
        <v>371</v>
      </c>
      <c r="V87" s="2"/>
      <c r="W87" s="2"/>
      <c r="X87" s="6" t="s">
        <v>373</v>
      </c>
      <c r="Y87" s="1" t="s">
        <v>374</v>
      </c>
    </row>
    <row r="88" spans="16:25">
      <c r="P88" s="2" t="s">
        <v>511</v>
      </c>
      <c r="Q88" s="2"/>
      <c r="R88" s="2"/>
      <c r="S88" s="3">
        <v>255.2</v>
      </c>
      <c r="T88" s="11">
        <f t="shared" si="2"/>
        <v>2.1063926375304363E-3</v>
      </c>
      <c r="U88" s="1" t="s">
        <v>371</v>
      </c>
      <c r="V88" s="2"/>
      <c r="W88" s="2"/>
      <c r="X88" s="6" t="s">
        <v>373</v>
      </c>
      <c r="Y88" s="1" t="s">
        <v>374</v>
      </c>
    </row>
    <row r="89" spans="16:25">
      <c r="P89" s="2" t="s">
        <v>512</v>
      </c>
      <c r="Q89" s="2"/>
      <c r="R89" s="2"/>
      <c r="S89" s="3">
        <v>255.2</v>
      </c>
      <c r="T89" s="11">
        <f t="shared" si="2"/>
        <v>2.1063926375304363E-3</v>
      </c>
      <c r="U89" s="1" t="s">
        <v>371</v>
      </c>
      <c r="V89" s="2"/>
      <c r="W89" s="2"/>
      <c r="X89" s="6" t="s">
        <v>373</v>
      </c>
      <c r="Y89" s="1" t="s">
        <v>374</v>
      </c>
    </row>
    <row r="90" spans="16:25">
      <c r="P90" s="2" t="s">
        <v>513</v>
      </c>
      <c r="Q90" s="2"/>
      <c r="R90" s="2"/>
      <c r="S90" s="3">
        <v>271.14999999999998</v>
      </c>
      <c r="T90" s="11">
        <f t="shared" si="2"/>
        <v>2.2380421773760882E-3</v>
      </c>
      <c r="U90" s="1" t="s">
        <v>371</v>
      </c>
      <c r="V90" s="2"/>
      <c r="W90" s="2"/>
      <c r="X90" s="6" t="s">
        <v>373</v>
      </c>
      <c r="Y90" s="1" t="s">
        <v>374</v>
      </c>
    </row>
    <row r="91" spans="16:25">
      <c r="P91" s="2" t="s">
        <v>514</v>
      </c>
      <c r="Q91" s="2"/>
      <c r="R91" s="2"/>
      <c r="S91" s="3">
        <v>255.2</v>
      </c>
      <c r="T91" s="11">
        <f t="shared" si="2"/>
        <v>2.1063926375304363E-3</v>
      </c>
      <c r="U91" s="1" t="s">
        <v>371</v>
      </c>
      <c r="V91" s="2"/>
      <c r="W91" s="2"/>
      <c r="X91" s="6" t="s">
        <v>373</v>
      </c>
      <c r="Y91" s="1" t="s">
        <v>374</v>
      </c>
    </row>
    <row r="92" spans="16:25">
      <c r="P92" s="2" t="s">
        <v>515</v>
      </c>
      <c r="Q92" s="2"/>
      <c r="R92" s="2"/>
      <c r="S92" s="3">
        <v>255.2</v>
      </c>
      <c r="T92" s="11">
        <f t="shared" si="2"/>
        <v>2.1063926375304363E-3</v>
      </c>
      <c r="U92" s="1" t="s">
        <v>371</v>
      </c>
      <c r="V92" s="2"/>
      <c r="W92" s="2"/>
      <c r="X92" s="6" t="s">
        <v>373</v>
      </c>
      <c r="Y92" s="1" t="s">
        <v>374</v>
      </c>
    </row>
    <row r="93" spans="16:25">
      <c r="P93" s="2" t="s">
        <v>516</v>
      </c>
      <c r="Q93" s="2"/>
      <c r="R93" s="2"/>
      <c r="S93" s="3">
        <v>255.2</v>
      </c>
      <c r="T93" s="11">
        <f t="shared" si="2"/>
        <v>2.1063926375304363E-3</v>
      </c>
      <c r="U93" s="1" t="s">
        <v>371</v>
      </c>
      <c r="V93" s="2"/>
      <c r="W93" s="2"/>
      <c r="X93" s="6" t="s">
        <v>373</v>
      </c>
      <c r="Y93" s="1" t="s">
        <v>374</v>
      </c>
    </row>
    <row r="94" spans="16:25">
      <c r="P94" s="2" t="s">
        <v>517</v>
      </c>
      <c r="Q94" s="2"/>
      <c r="R94" s="2"/>
      <c r="S94" s="3">
        <v>255.2</v>
      </c>
      <c r="T94" s="11">
        <f t="shared" ref="T94:T157" si="3">S94/$B$2</f>
        <v>2.1063926375304363E-3</v>
      </c>
      <c r="U94" s="1" t="s">
        <v>371</v>
      </c>
      <c r="V94" s="2"/>
      <c r="W94" s="2"/>
      <c r="X94" s="6" t="s">
        <v>373</v>
      </c>
      <c r="Y94" s="1" t="s">
        <v>374</v>
      </c>
    </row>
    <row r="95" spans="16:25">
      <c r="P95" s="2" t="s">
        <v>518</v>
      </c>
      <c r="Q95" s="2"/>
      <c r="R95" s="2"/>
      <c r="S95" s="3">
        <v>255.2</v>
      </c>
      <c r="T95" s="11">
        <f t="shared" si="3"/>
        <v>2.1063926375304363E-3</v>
      </c>
      <c r="U95" s="1" t="s">
        <v>371</v>
      </c>
      <c r="V95" s="2"/>
      <c r="W95" s="2"/>
      <c r="X95" s="6" t="s">
        <v>373</v>
      </c>
      <c r="Y95" s="1" t="s">
        <v>374</v>
      </c>
    </row>
    <row r="96" spans="16:25">
      <c r="P96" s="2" t="s">
        <v>519</v>
      </c>
      <c r="Q96" s="2"/>
      <c r="R96" s="2"/>
      <c r="S96" s="3">
        <v>284.49</v>
      </c>
      <c r="T96" s="11">
        <f t="shared" si="3"/>
        <v>2.3481490652469978E-3</v>
      </c>
      <c r="U96" s="1" t="s">
        <v>371</v>
      </c>
      <c r="V96" s="2"/>
      <c r="W96" s="2"/>
      <c r="X96" s="6" t="s">
        <v>373</v>
      </c>
      <c r="Y96" s="1" t="s">
        <v>374</v>
      </c>
    </row>
    <row r="97" spans="16:25">
      <c r="P97" s="2" t="s">
        <v>520</v>
      </c>
      <c r="Q97" s="2"/>
      <c r="R97" s="2"/>
      <c r="S97" s="3">
        <v>284.49</v>
      </c>
      <c r="T97" s="11">
        <f t="shared" si="3"/>
        <v>2.3481490652469978E-3</v>
      </c>
      <c r="U97" s="1" t="s">
        <v>371</v>
      </c>
      <c r="V97" s="2"/>
      <c r="W97" s="2"/>
      <c r="X97" s="6" t="s">
        <v>373</v>
      </c>
      <c r="Y97" s="1" t="s">
        <v>374</v>
      </c>
    </row>
    <row r="98" spans="16:25">
      <c r="P98" s="2" t="s">
        <v>521</v>
      </c>
      <c r="Q98" s="2"/>
      <c r="R98" s="2"/>
      <c r="S98" s="3">
        <v>284.49</v>
      </c>
      <c r="T98" s="11">
        <f t="shared" si="3"/>
        <v>2.3481490652469978E-3</v>
      </c>
      <c r="U98" s="1" t="s">
        <v>371</v>
      </c>
      <c r="V98" s="2"/>
      <c r="W98" s="2"/>
      <c r="X98" s="6" t="s">
        <v>373</v>
      </c>
      <c r="Y98" s="1" t="s">
        <v>374</v>
      </c>
    </row>
    <row r="99" spans="16:25">
      <c r="P99" s="2" t="s">
        <v>522</v>
      </c>
      <c r="Q99" s="2"/>
      <c r="R99" s="2"/>
      <c r="S99" s="3">
        <v>252.88</v>
      </c>
      <c r="T99" s="11">
        <f t="shared" si="3"/>
        <v>2.0872436135528868E-3</v>
      </c>
      <c r="U99" s="1" t="s">
        <v>371</v>
      </c>
      <c r="V99" s="2"/>
      <c r="W99" s="2"/>
      <c r="X99" s="6" t="s">
        <v>373</v>
      </c>
      <c r="Y99" s="1" t="s">
        <v>374</v>
      </c>
    </row>
    <row r="100" spans="16:25">
      <c r="P100" s="2" t="s">
        <v>523</v>
      </c>
      <c r="Q100" s="2"/>
      <c r="R100" s="2"/>
      <c r="S100" s="3">
        <v>252.88</v>
      </c>
      <c r="T100" s="11">
        <f t="shared" si="3"/>
        <v>2.0872436135528868E-3</v>
      </c>
      <c r="U100" s="1" t="s">
        <v>371</v>
      </c>
      <c r="V100" s="2"/>
      <c r="W100" s="2"/>
      <c r="X100" s="6" t="s">
        <v>373</v>
      </c>
      <c r="Y100" s="1" t="s">
        <v>374</v>
      </c>
    </row>
    <row r="101" spans="16:25">
      <c r="P101" s="2" t="s">
        <v>524</v>
      </c>
      <c r="Q101" s="2"/>
      <c r="R101" s="2"/>
      <c r="S101" s="3">
        <v>284.49</v>
      </c>
      <c r="T101" s="11">
        <f t="shared" si="3"/>
        <v>2.3481490652469978E-3</v>
      </c>
      <c r="U101" s="1" t="s">
        <v>371</v>
      </c>
      <c r="V101" s="2"/>
      <c r="W101" s="2"/>
      <c r="X101" s="6" t="s">
        <v>373</v>
      </c>
      <c r="Y101" s="1" t="s">
        <v>374</v>
      </c>
    </row>
    <row r="102" spans="16:25">
      <c r="P102" s="2" t="s">
        <v>525</v>
      </c>
      <c r="Q102" s="2"/>
      <c r="R102" s="2"/>
      <c r="S102" s="3">
        <v>223.3</v>
      </c>
      <c r="T102" s="11">
        <f t="shared" si="3"/>
        <v>1.8430935578391317E-3</v>
      </c>
      <c r="U102" s="1" t="s">
        <v>371</v>
      </c>
      <c r="V102" s="2"/>
      <c r="W102" s="2"/>
      <c r="X102" s="6" t="s">
        <v>373</v>
      </c>
      <c r="Y102" s="1" t="s">
        <v>374</v>
      </c>
    </row>
    <row r="103" spans="16:25">
      <c r="P103" s="2" t="s">
        <v>526</v>
      </c>
      <c r="Q103" s="2"/>
      <c r="R103" s="2"/>
      <c r="S103" s="3">
        <v>284.49</v>
      </c>
      <c r="T103" s="11">
        <f t="shared" si="3"/>
        <v>2.3481490652469978E-3</v>
      </c>
      <c r="U103" s="1" t="s">
        <v>371</v>
      </c>
      <c r="V103" s="2"/>
      <c r="W103" s="2"/>
      <c r="X103" s="6" t="s">
        <v>373</v>
      </c>
      <c r="Y103" s="1" t="s">
        <v>374</v>
      </c>
    </row>
    <row r="104" spans="16:25">
      <c r="P104" s="2" t="s">
        <v>527</v>
      </c>
      <c r="Q104" s="2"/>
      <c r="R104" s="2"/>
      <c r="S104" s="3">
        <v>284.49</v>
      </c>
      <c r="T104" s="11">
        <f t="shared" si="3"/>
        <v>2.3481490652469978E-3</v>
      </c>
      <c r="U104" s="1" t="s">
        <v>371</v>
      </c>
      <c r="V104" s="2"/>
      <c r="W104" s="2"/>
      <c r="X104" s="6" t="s">
        <v>373</v>
      </c>
      <c r="Y104" s="1" t="s">
        <v>374</v>
      </c>
    </row>
    <row r="105" spans="16:25">
      <c r="P105" s="2" t="s">
        <v>528</v>
      </c>
      <c r="Q105" s="2"/>
      <c r="R105" s="2"/>
      <c r="S105" s="3">
        <v>207.35</v>
      </c>
      <c r="T105" s="11">
        <f t="shared" si="3"/>
        <v>1.7114440179934794E-3</v>
      </c>
      <c r="U105" s="1" t="s">
        <v>371</v>
      </c>
      <c r="V105" s="2"/>
      <c r="W105" s="2"/>
      <c r="X105" s="6" t="s">
        <v>373</v>
      </c>
      <c r="Y105" s="1" t="s">
        <v>374</v>
      </c>
    </row>
    <row r="106" spans="16:25">
      <c r="P106" s="2" t="s">
        <v>529</v>
      </c>
      <c r="Q106" s="2"/>
      <c r="R106" s="2"/>
      <c r="S106" s="3">
        <v>252.88</v>
      </c>
      <c r="T106" s="11">
        <f t="shared" si="3"/>
        <v>2.0872436135528868E-3</v>
      </c>
      <c r="U106" s="1" t="s">
        <v>371</v>
      </c>
      <c r="V106" s="2"/>
      <c r="W106" s="2"/>
      <c r="X106" s="6" t="s">
        <v>373</v>
      </c>
      <c r="Y106" s="1" t="s">
        <v>374</v>
      </c>
    </row>
    <row r="107" spans="16:25">
      <c r="P107" s="2" t="s">
        <v>530</v>
      </c>
      <c r="Q107" s="2"/>
      <c r="R107" s="2"/>
      <c r="S107" s="3">
        <v>191.4</v>
      </c>
      <c r="T107" s="11">
        <f t="shared" si="3"/>
        <v>1.5797944781478271E-3</v>
      </c>
      <c r="U107" s="1" t="s">
        <v>371</v>
      </c>
      <c r="V107" s="2"/>
      <c r="W107" s="2"/>
      <c r="X107" s="6" t="s">
        <v>373</v>
      </c>
      <c r="Y107" s="1" t="s">
        <v>374</v>
      </c>
    </row>
    <row r="108" spans="16:25">
      <c r="P108" s="2" t="s">
        <v>531</v>
      </c>
      <c r="Q108" s="2"/>
      <c r="R108" s="2"/>
      <c r="S108" s="3">
        <v>252.88</v>
      </c>
      <c r="T108" s="11">
        <f t="shared" si="3"/>
        <v>2.0872436135528868E-3</v>
      </c>
      <c r="U108" s="1" t="s">
        <v>371</v>
      </c>
      <c r="V108" s="2"/>
      <c r="W108" s="2"/>
      <c r="X108" s="6" t="s">
        <v>373</v>
      </c>
      <c r="Y108" s="1" t="s">
        <v>374</v>
      </c>
    </row>
    <row r="109" spans="16:25">
      <c r="P109" s="2" t="s">
        <v>532</v>
      </c>
      <c r="Q109" s="2"/>
      <c r="R109" s="2"/>
      <c r="S109" s="3">
        <v>284.49</v>
      </c>
      <c r="T109" s="11">
        <f t="shared" si="3"/>
        <v>2.3481490652469978E-3</v>
      </c>
      <c r="U109" s="1" t="s">
        <v>371</v>
      </c>
      <c r="V109" s="2"/>
      <c r="W109" s="2"/>
      <c r="X109" s="6" t="s">
        <v>373</v>
      </c>
      <c r="Y109" s="1" t="s">
        <v>374</v>
      </c>
    </row>
    <row r="110" spans="16:25">
      <c r="P110" s="2" t="s">
        <v>533</v>
      </c>
      <c r="Q110" s="2"/>
      <c r="R110" s="2"/>
      <c r="S110" s="3">
        <v>284.49</v>
      </c>
      <c r="T110" s="11">
        <f t="shared" si="3"/>
        <v>2.3481490652469978E-3</v>
      </c>
      <c r="U110" s="1" t="s">
        <v>371</v>
      </c>
      <c r="V110" s="2"/>
      <c r="W110" s="2"/>
      <c r="X110" s="6" t="s">
        <v>373</v>
      </c>
      <c r="Y110" s="1" t="s">
        <v>374</v>
      </c>
    </row>
    <row r="111" spans="16:25">
      <c r="P111" s="2" t="s">
        <v>534</v>
      </c>
      <c r="Q111" s="2"/>
      <c r="R111" s="2"/>
      <c r="S111" s="3">
        <v>284.49</v>
      </c>
      <c r="T111" s="11">
        <f t="shared" si="3"/>
        <v>2.3481490652469978E-3</v>
      </c>
      <c r="U111" s="1" t="s">
        <v>371</v>
      </c>
      <c r="V111" s="2"/>
      <c r="W111" s="2"/>
      <c r="X111" s="6" t="s">
        <v>373</v>
      </c>
      <c r="Y111" s="1" t="s">
        <v>374</v>
      </c>
    </row>
    <row r="112" spans="16:25">
      <c r="P112" s="2" t="s">
        <v>535</v>
      </c>
      <c r="Q112" s="2"/>
      <c r="R112" s="2"/>
      <c r="S112" s="3">
        <v>284.49</v>
      </c>
      <c r="T112" s="11">
        <f t="shared" si="3"/>
        <v>2.3481490652469978E-3</v>
      </c>
      <c r="U112" s="1" t="s">
        <v>371</v>
      </c>
      <c r="V112" s="2"/>
      <c r="W112" s="2"/>
      <c r="X112" s="6" t="s">
        <v>373</v>
      </c>
      <c r="Y112" s="1" t="s">
        <v>374</v>
      </c>
    </row>
    <row r="113" spans="16:25">
      <c r="P113" s="2" t="s">
        <v>536</v>
      </c>
      <c r="Q113" s="2"/>
      <c r="R113" s="2"/>
      <c r="S113" s="3">
        <v>284.49</v>
      </c>
      <c r="T113" s="11">
        <f t="shared" si="3"/>
        <v>2.3481490652469978E-3</v>
      </c>
      <c r="U113" s="1" t="s">
        <v>371</v>
      </c>
      <c r="V113" s="2"/>
      <c r="W113" s="2"/>
      <c r="X113" s="6" t="s">
        <v>373</v>
      </c>
      <c r="Y113" s="1" t="s">
        <v>374</v>
      </c>
    </row>
    <row r="114" spans="16:25">
      <c r="P114" s="2" t="s">
        <v>537</v>
      </c>
      <c r="Q114" s="2"/>
      <c r="R114" s="2"/>
      <c r="S114" s="3">
        <v>252.88</v>
      </c>
      <c r="T114" s="11">
        <f t="shared" si="3"/>
        <v>2.0872436135528868E-3</v>
      </c>
      <c r="U114" s="1" t="s">
        <v>371</v>
      </c>
      <c r="V114" s="2"/>
      <c r="W114" s="2"/>
      <c r="X114" s="6" t="s">
        <v>373</v>
      </c>
      <c r="Y114" s="1" t="s">
        <v>374</v>
      </c>
    </row>
    <row r="115" spans="16:25">
      <c r="P115" s="2" t="s">
        <v>538</v>
      </c>
      <c r="Q115" s="2"/>
      <c r="R115" s="2"/>
      <c r="S115" s="3">
        <v>287.10000000000002</v>
      </c>
      <c r="T115" s="11">
        <f t="shared" si="3"/>
        <v>2.3696917172217409E-3</v>
      </c>
      <c r="U115" s="1" t="s">
        <v>371</v>
      </c>
      <c r="V115" s="2"/>
      <c r="W115" s="2"/>
      <c r="X115" s="6" t="s">
        <v>373</v>
      </c>
      <c r="Y115" s="1" t="s">
        <v>374</v>
      </c>
    </row>
    <row r="116" spans="16:25">
      <c r="P116" s="2" t="s">
        <v>539</v>
      </c>
      <c r="Q116" s="2"/>
      <c r="R116" s="2"/>
      <c r="S116" s="3">
        <v>255.2</v>
      </c>
      <c r="T116" s="11">
        <f t="shared" si="3"/>
        <v>2.1063926375304363E-3</v>
      </c>
      <c r="U116" s="1" t="s">
        <v>371</v>
      </c>
      <c r="V116" s="2"/>
      <c r="W116" s="2"/>
      <c r="X116" s="6" t="s">
        <v>373</v>
      </c>
      <c r="Y116" s="1" t="s">
        <v>374</v>
      </c>
    </row>
    <row r="117" spans="16:25">
      <c r="P117" s="2" t="s">
        <v>540</v>
      </c>
      <c r="Q117" s="2"/>
      <c r="R117" s="2"/>
      <c r="S117" s="3">
        <v>252.88</v>
      </c>
      <c r="T117" s="11">
        <f t="shared" si="3"/>
        <v>2.0872436135528868E-3</v>
      </c>
      <c r="U117" s="1" t="s">
        <v>371</v>
      </c>
      <c r="V117" s="2"/>
      <c r="W117" s="2"/>
      <c r="X117" s="6" t="s">
        <v>373</v>
      </c>
      <c r="Y117" s="1" t="s">
        <v>374</v>
      </c>
    </row>
    <row r="118" spans="16:25">
      <c r="P118" s="2" t="s">
        <v>541</v>
      </c>
      <c r="Q118" s="2"/>
      <c r="R118" s="2"/>
      <c r="S118" s="3">
        <v>268.685</v>
      </c>
      <c r="T118" s="11">
        <f t="shared" si="3"/>
        <v>2.2176963393999421E-3</v>
      </c>
      <c r="U118" s="1" t="s">
        <v>371</v>
      </c>
      <c r="V118" s="2"/>
      <c r="W118" s="2"/>
      <c r="X118" s="6" t="s">
        <v>373</v>
      </c>
      <c r="Y118" s="1" t="s">
        <v>374</v>
      </c>
    </row>
    <row r="119" spans="16:25">
      <c r="P119" s="2" t="s">
        <v>542</v>
      </c>
      <c r="Q119" s="2"/>
      <c r="R119" s="2"/>
      <c r="S119" s="3">
        <v>252.2</v>
      </c>
      <c r="T119" s="11">
        <f t="shared" si="3"/>
        <v>2.0816309685939499E-3</v>
      </c>
      <c r="U119" s="1" t="s">
        <v>371</v>
      </c>
      <c r="V119" s="2"/>
      <c r="W119" s="2"/>
      <c r="X119" s="6" t="s">
        <v>373</v>
      </c>
      <c r="Y119" s="1" t="s">
        <v>374</v>
      </c>
    </row>
    <row r="120" spans="16:25">
      <c r="P120" s="2" t="s">
        <v>543</v>
      </c>
      <c r="Q120" s="2"/>
      <c r="R120" s="2"/>
      <c r="S120" s="3">
        <v>252.2</v>
      </c>
      <c r="T120" s="11">
        <f t="shared" si="3"/>
        <v>2.0816309685939499E-3</v>
      </c>
      <c r="U120" s="1" t="s">
        <v>371</v>
      </c>
      <c r="V120" s="2"/>
      <c r="W120" s="2"/>
      <c r="X120" s="6" t="s">
        <v>373</v>
      </c>
      <c r="Y120" s="1" t="s">
        <v>374</v>
      </c>
    </row>
    <row r="121" spans="16:25">
      <c r="P121" s="2" t="s">
        <v>544</v>
      </c>
      <c r="Q121" s="2"/>
      <c r="R121" s="2"/>
      <c r="S121" s="3">
        <v>252.2</v>
      </c>
      <c r="T121" s="11">
        <f t="shared" si="3"/>
        <v>2.0816309685939499E-3</v>
      </c>
      <c r="U121" s="1" t="s">
        <v>371</v>
      </c>
      <c r="V121" s="2"/>
      <c r="W121" s="2"/>
      <c r="X121" s="6" t="s">
        <v>373</v>
      </c>
      <c r="Y121" s="1" t="s">
        <v>374</v>
      </c>
    </row>
    <row r="122" spans="16:25">
      <c r="P122" s="2" t="s">
        <v>545</v>
      </c>
      <c r="Q122" s="2"/>
      <c r="R122" s="2"/>
      <c r="S122" s="3">
        <v>252.2</v>
      </c>
      <c r="T122" s="11">
        <f t="shared" si="3"/>
        <v>2.0816309685939499E-3</v>
      </c>
      <c r="U122" s="1" t="s">
        <v>371</v>
      </c>
      <c r="V122" s="2"/>
      <c r="W122" s="2"/>
      <c r="X122" s="6" t="s">
        <v>373</v>
      </c>
      <c r="Y122" s="1" t="s">
        <v>374</v>
      </c>
    </row>
    <row r="123" spans="16:25">
      <c r="P123" s="2" t="s">
        <v>546</v>
      </c>
      <c r="Q123" s="2"/>
      <c r="R123" s="2"/>
      <c r="S123" s="3">
        <v>252.2</v>
      </c>
      <c r="T123" s="11">
        <f t="shared" si="3"/>
        <v>2.0816309685939499E-3</v>
      </c>
      <c r="U123" s="1" t="s">
        <v>371</v>
      </c>
      <c r="V123" s="2"/>
      <c r="W123" s="2"/>
      <c r="X123" s="6" t="s">
        <v>373</v>
      </c>
      <c r="Y123" s="1" t="s">
        <v>374</v>
      </c>
    </row>
    <row r="124" spans="16:25">
      <c r="P124" s="2" t="s">
        <v>547</v>
      </c>
      <c r="Q124" s="2"/>
      <c r="R124" s="2"/>
      <c r="S124" s="3">
        <v>255.2</v>
      </c>
      <c r="T124" s="11">
        <f t="shared" si="3"/>
        <v>2.1063926375304363E-3</v>
      </c>
      <c r="U124" s="1" t="s">
        <v>371</v>
      </c>
      <c r="V124" s="2"/>
      <c r="W124" s="2"/>
      <c r="X124" s="6" t="s">
        <v>373</v>
      </c>
      <c r="Y124" s="1" t="s">
        <v>374</v>
      </c>
    </row>
    <row r="125" spans="16:25">
      <c r="P125" s="2" t="s">
        <v>548</v>
      </c>
      <c r="Q125" s="2"/>
      <c r="R125" s="2"/>
      <c r="S125" s="3">
        <v>255.2</v>
      </c>
      <c r="T125" s="11">
        <f t="shared" si="3"/>
        <v>2.1063926375304363E-3</v>
      </c>
      <c r="U125" s="1" t="s">
        <v>371</v>
      </c>
      <c r="V125" s="2"/>
      <c r="W125" s="2"/>
      <c r="X125" s="6" t="s">
        <v>373</v>
      </c>
      <c r="Y125" s="1" t="s">
        <v>374</v>
      </c>
    </row>
    <row r="126" spans="16:25">
      <c r="P126" s="2" t="s">
        <v>549</v>
      </c>
      <c r="Q126" s="2"/>
      <c r="R126" s="2"/>
      <c r="S126" s="3">
        <v>255.2</v>
      </c>
      <c r="T126" s="11">
        <f t="shared" si="3"/>
        <v>2.1063926375304363E-3</v>
      </c>
      <c r="U126" s="1" t="s">
        <v>371</v>
      </c>
      <c r="V126" s="2"/>
      <c r="W126" s="2"/>
      <c r="X126" s="6" t="s">
        <v>373</v>
      </c>
      <c r="Y126" s="1" t="s">
        <v>374</v>
      </c>
    </row>
    <row r="127" spans="16:25">
      <c r="P127" s="2" t="s">
        <v>550</v>
      </c>
      <c r="Q127" s="2"/>
      <c r="R127" s="2"/>
      <c r="S127" s="3">
        <v>255.2</v>
      </c>
      <c r="T127" s="11">
        <f t="shared" si="3"/>
        <v>2.1063926375304363E-3</v>
      </c>
      <c r="U127" s="1" t="s">
        <v>371</v>
      </c>
      <c r="V127" s="2"/>
      <c r="W127" s="2"/>
      <c r="X127" s="6" t="s">
        <v>373</v>
      </c>
      <c r="Y127" s="1" t="s">
        <v>374</v>
      </c>
    </row>
    <row r="128" spans="16:25">
      <c r="P128" s="2" t="s">
        <v>551</v>
      </c>
      <c r="Q128" s="2"/>
      <c r="R128" s="2"/>
      <c r="S128" s="3">
        <v>255.2</v>
      </c>
      <c r="T128" s="11">
        <f t="shared" si="3"/>
        <v>2.1063926375304363E-3</v>
      </c>
      <c r="U128" s="1" t="s">
        <v>371</v>
      </c>
      <c r="V128" s="2"/>
      <c r="W128" s="2"/>
      <c r="X128" s="6" t="s">
        <v>373</v>
      </c>
      <c r="Y128" s="1" t="s">
        <v>374</v>
      </c>
    </row>
    <row r="129" spans="16:25">
      <c r="P129" s="2" t="s">
        <v>552</v>
      </c>
      <c r="Q129" s="2"/>
      <c r="R129" s="2"/>
      <c r="S129" s="3">
        <v>255.2</v>
      </c>
      <c r="T129" s="11">
        <f t="shared" si="3"/>
        <v>2.1063926375304363E-3</v>
      </c>
      <c r="U129" s="1" t="s">
        <v>371</v>
      </c>
      <c r="V129" s="2"/>
      <c r="W129" s="2"/>
      <c r="X129" s="6" t="s">
        <v>373</v>
      </c>
      <c r="Y129" s="1" t="s">
        <v>374</v>
      </c>
    </row>
    <row r="130" spans="16:25">
      <c r="P130" s="2" t="s">
        <v>553</v>
      </c>
      <c r="Q130" s="2"/>
      <c r="R130" s="2"/>
      <c r="S130" s="3">
        <v>271.14999999999998</v>
      </c>
      <c r="T130" s="11">
        <f t="shared" si="3"/>
        <v>2.2380421773760882E-3</v>
      </c>
      <c r="U130" s="1" t="s">
        <v>371</v>
      </c>
      <c r="V130" s="2"/>
      <c r="W130" s="2"/>
      <c r="X130" s="6" t="s">
        <v>373</v>
      </c>
      <c r="Y130" s="1" t="s">
        <v>374</v>
      </c>
    </row>
    <row r="131" spans="16:25">
      <c r="P131" s="2" t="s">
        <v>554</v>
      </c>
      <c r="Q131" s="2"/>
      <c r="R131" s="2"/>
      <c r="S131" s="3">
        <v>255.2</v>
      </c>
      <c r="T131" s="11">
        <f t="shared" si="3"/>
        <v>2.1063926375304363E-3</v>
      </c>
      <c r="U131" s="1" t="s">
        <v>371</v>
      </c>
      <c r="V131" s="2"/>
      <c r="W131" s="2"/>
      <c r="X131" s="6" t="s">
        <v>373</v>
      </c>
      <c r="Y131" s="1" t="s">
        <v>374</v>
      </c>
    </row>
    <row r="132" spans="16:25">
      <c r="P132" s="2" t="s">
        <v>555</v>
      </c>
      <c r="Q132" s="2"/>
      <c r="R132" s="2"/>
      <c r="S132" s="3">
        <v>255.2</v>
      </c>
      <c r="T132" s="11">
        <f t="shared" si="3"/>
        <v>2.1063926375304363E-3</v>
      </c>
      <c r="U132" s="1" t="s">
        <v>371</v>
      </c>
      <c r="V132" s="2"/>
      <c r="W132" s="2"/>
      <c r="X132" s="6" t="s">
        <v>373</v>
      </c>
      <c r="Y132" s="1" t="s">
        <v>374</v>
      </c>
    </row>
    <row r="133" spans="16:25">
      <c r="P133" s="2" t="s">
        <v>556</v>
      </c>
      <c r="Q133" s="2"/>
      <c r="R133" s="2"/>
      <c r="S133" s="3">
        <v>287.10000000000002</v>
      </c>
      <c r="T133" s="11">
        <f t="shared" si="3"/>
        <v>2.3696917172217409E-3</v>
      </c>
      <c r="U133" s="1" t="s">
        <v>371</v>
      </c>
      <c r="V133" s="2"/>
      <c r="W133" s="2"/>
      <c r="X133" s="6" t="s">
        <v>373</v>
      </c>
      <c r="Y133" s="1" t="s">
        <v>374</v>
      </c>
    </row>
    <row r="134" spans="16:25">
      <c r="P134" s="2" t="s">
        <v>557</v>
      </c>
      <c r="Q134" s="2"/>
      <c r="R134" s="2"/>
      <c r="S134" s="3">
        <v>255.2</v>
      </c>
      <c r="T134" s="11">
        <f t="shared" si="3"/>
        <v>2.1063926375304363E-3</v>
      </c>
      <c r="U134" s="1" t="s">
        <v>371</v>
      </c>
      <c r="V134" s="2"/>
      <c r="W134" s="2"/>
      <c r="X134" s="6" t="s">
        <v>373</v>
      </c>
      <c r="Y134" s="1" t="s">
        <v>374</v>
      </c>
    </row>
    <row r="135" spans="16:25">
      <c r="P135" s="2" t="s">
        <v>558</v>
      </c>
      <c r="Q135" s="2"/>
      <c r="R135" s="2"/>
      <c r="S135" s="3">
        <v>255.2</v>
      </c>
      <c r="T135" s="11">
        <f t="shared" si="3"/>
        <v>2.1063926375304363E-3</v>
      </c>
      <c r="U135" s="1" t="s">
        <v>371</v>
      </c>
      <c r="V135" s="2"/>
      <c r="W135" s="2"/>
      <c r="X135" s="6" t="s">
        <v>373</v>
      </c>
      <c r="Y135" s="1" t="s">
        <v>374</v>
      </c>
    </row>
    <row r="136" spans="16:25">
      <c r="P136" s="2" t="s">
        <v>559</v>
      </c>
      <c r="Q136" s="2"/>
      <c r="R136" s="2"/>
      <c r="S136" s="3">
        <v>255.2</v>
      </c>
      <c r="T136" s="11">
        <f t="shared" si="3"/>
        <v>2.1063926375304363E-3</v>
      </c>
      <c r="U136" s="1" t="s">
        <v>371</v>
      </c>
      <c r="V136" s="2"/>
      <c r="W136" s="2"/>
      <c r="X136" s="6" t="s">
        <v>373</v>
      </c>
      <c r="Y136" s="1" t="s">
        <v>374</v>
      </c>
    </row>
    <row r="137" spans="16:25">
      <c r="P137" s="2" t="s">
        <v>560</v>
      </c>
      <c r="Q137" s="2"/>
      <c r="R137" s="2"/>
      <c r="S137" s="3">
        <v>252.88</v>
      </c>
      <c r="T137" s="11">
        <f t="shared" si="3"/>
        <v>2.0872436135528868E-3</v>
      </c>
      <c r="U137" s="1" t="s">
        <v>371</v>
      </c>
      <c r="V137" s="2"/>
      <c r="W137" s="2"/>
      <c r="X137" s="6" t="s">
        <v>373</v>
      </c>
      <c r="Y137" s="1" t="s">
        <v>374</v>
      </c>
    </row>
    <row r="138" spans="16:25">
      <c r="P138" s="2" t="s">
        <v>561</v>
      </c>
      <c r="Q138" s="2"/>
      <c r="R138" s="2"/>
      <c r="S138" s="3">
        <v>252.88</v>
      </c>
      <c r="T138" s="11">
        <f t="shared" si="3"/>
        <v>2.0872436135528868E-3</v>
      </c>
      <c r="U138" s="1" t="s">
        <v>371</v>
      </c>
      <c r="V138" s="2"/>
      <c r="W138" s="2"/>
      <c r="X138" s="6" t="s">
        <v>373</v>
      </c>
      <c r="Y138" s="1" t="s">
        <v>374</v>
      </c>
    </row>
    <row r="139" spans="16:25">
      <c r="P139" s="2" t="s">
        <v>562</v>
      </c>
      <c r="Q139" s="2"/>
      <c r="R139" s="2"/>
      <c r="S139" s="3">
        <v>221.27</v>
      </c>
      <c r="T139" s="11">
        <f t="shared" si="3"/>
        <v>1.826338161858776E-3</v>
      </c>
      <c r="U139" s="1" t="s">
        <v>371</v>
      </c>
      <c r="V139" s="2"/>
      <c r="W139" s="2"/>
      <c r="X139" s="6" t="s">
        <v>373</v>
      </c>
      <c r="Y139" s="1" t="s">
        <v>374</v>
      </c>
    </row>
    <row r="140" spans="16:25">
      <c r="P140" s="2" t="s">
        <v>563</v>
      </c>
      <c r="Q140" s="2"/>
      <c r="R140" s="2"/>
      <c r="S140" s="3">
        <v>284.49</v>
      </c>
      <c r="T140" s="11">
        <f t="shared" si="3"/>
        <v>2.3481490652469978E-3</v>
      </c>
      <c r="U140" s="1" t="s">
        <v>371</v>
      </c>
      <c r="V140" s="2"/>
      <c r="W140" s="2"/>
      <c r="X140" s="6" t="s">
        <v>373</v>
      </c>
      <c r="Y140" s="1" t="s">
        <v>374</v>
      </c>
    </row>
    <row r="141" spans="16:25">
      <c r="P141" s="2" t="s">
        <v>564</v>
      </c>
      <c r="Q141" s="2"/>
      <c r="R141" s="2"/>
      <c r="S141" s="3">
        <v>287.10000000000002</v>
      </c>
      <c r="T141" s="11">
        <f t="shared" si="3"/>
        <v>2.3696917172217409E-3</v>
      </c>
      <c r="U141" s="1" t="s">
        <v>371</v>
      </c>
      <c r="V141" s="2"/>
      <c r="W141" s="2"/>
      <c r="X141" s="6" t="s">
        <v>373</v>
      </c>
      <c r="Y141" s="1" t="s">
        <v>374</v>
      </c>
    </row>
    <row r="142" spans="16:25">
      <c r="P142" s="2" t="s">
        <v>565</v>
      </c>
      <c r="Q142" s="2"/>
      <c r="R142" s="2"/>
      <c r="S142" s="3">
        <v>287.10000000000002</v>
      </c>
      <c r="T142" s="11">
        <f t="shared" si="3"/>
        <v>2.3696917172217409E-3</v>
      </c>
      <c r="U142" s="1" t="s">
        <v>371</v>
      </c>
      <c r="V142" s="2"/>
      <c r="W142" s="2"/>
      <c r="X142" s="6" t="s">
        <v>373</v>
      </c>
      <c r="Y142" s="1" t="s">
        <v>374</v>
      </c>
    </row>
    <row r="143" spans="16:25">
      <c r="P143" s="2" t="s">
        <v>566</v>
      </c>
      <c r="Q143" s="2"/>
      <c r="R143" s="2"/>
      <c r="S143" s="3">
        <v>287.10000000000002</v>
      </c>
      <c r="T143" s="11">
        <f t="shared" si="3"/>
        <v>2.3696917172217409E-3</v>
      </c>
      <c r="U143" s="1" t="s">
        <v>371</v>
      </c>
      <c r="V143" s="2"/>
      <c r="W143" s="2"/>
      <c r="X143" s="6" t="s">
        <v>373</v>
      </c>
      <c r="Y143" s="1" t="s">
        <v>374</v>
      </c>
    </row>
    <row r="144" spans="16:25">
      <c r="P144" s="2" t="s">
        <v>567</v>
      </c>
      <c r="Q144" s="2"/>
      <c r="R144" s="2"/>
      <c r="S144" s="3">
        <v>255.2</v>
      </c>
      <c r="T144" s="11">
        <f t="shared" si="3"/>
        <v>2.1063926375304363E-3</v>
      </c>
      <c r="U144" s="1" t="s">
        <v>371</v>
      </c>
      <c r="V144" s="2"/>
      <c r="W144" s="2"/>
      <c r="X144" s="6" t="s">
        <v>373</v>
      </c>
      <c r="Y144" s="1" t="s">
        <v>374</v>
      </c>
    </row>
    <row r="145" spans="16:25">
      <c r="P145" s="2" t="s">
        <v>568</v>
      </c>
      <c r="Q145" s="2"/>
      <c r="R145" s="2"/>
      <c r="S145" s="3">
        <v>239.25</v>
      </c>
      <c r="T145" s="11">
        <f t="shared" si="3"/>
        <v>1.974743097684784E-3</v>
      </c>
      <c r="U145" s="1" t="s">
        <v>371</v>
      </c>
      <c r="V145" s="2"/>
      <c r="W145" s="2"/>
      <c r="X145" s="6" t="s">
        <v>373</v>
      </c>
      <c r="Y145" s="1" t="s">
        <v>374</v>
      </c>
    </row>
    <row r="146" spans="16:25">
      <c r="P146" s="2" t="s">
        <v>569</v>
      </c>
      <c r="Q146" s="2"/>
      <c r="R146" s="2"/>
      <c r="S146" s="3">
        <v>252.88</v>
      </c>
      <c r="T146" s="11">
        <f t="shared" si="3"/>
        <v>2.0872436135528868E-3</v>
      </c>
      <c r="U146" s="1" t="s">
        <v>371</v>
      </c>
      <c r="V146" s="2"/>
      <c r="W146" s="2"/>
      <c r="X146" s="6" t="s">
        <v>373</v>
      </c>
      <c r="Y146" s="1" t="s">
        <v>374</v>
      </c>
    </row>
    <row r="147" spans="16:25">
      <c r="P147" s="2" t="s">
        <v>570</v>
      </c>
      <c r="Q147" s="2"/>
      <c r="R147" s="2"/>
      <c r="S147" s="3">
        <v>255.2</v>
      </c>
      <c r="T147" s="11">
        <f t="shared" si="3"/>
        <v>2.1063926375304363E-3</v>
      </c>
      <c r="U147" s="1" t="s">
        <v>371</v>
      </c>
      <c r="V147" s="2"/>
      <c r="W147" s="2"/>
      <c r="X147" s="6" t="s">
        <v>373</v>
      </c>
      <c r="Y147" s="1" t="s">
        <v>374</v>
      </c>
    </row>
    <row r="148" spans="16:25">
      <c r="P148" s="2" t="s">
        <v>571</v>
      </c>
      <c r="Q148" s="2"/>
      <c r="R148" s="2"/>
      <c r="S148" s="3">
        <v>271.14999999999998</v>
      </c>
      <c r="T148" s="11">
        <f t="shared" si="3"/>
        <v>2.2380421773760882E-3</v>
      </c>
      <c r="U148" s="1" t="s">
        <v>371</v>
      </c>
      <c r="V148" s="2"/>
      <c r="W148" s="2"/>
      <c r="X148" s="6" t="s">
        <v>373</v>
      </c>
      <c r="Y148" s="1" t="s">
        <v>374</v>
      </c>
    </row>
    <row r="149" spans="16:25">
      <c r="P149" s="2" t="s">
        <v>572</v>
      </c>
      <c r="Q149" s="2"/>
      <c r="R149" s="2"/>
      <c r="S149" s="3">
        <v>271.14999999999998</v>
      </c>
      <c r="T149" s="11">
        <f t="shared" si="3"/>
        <v>2.2380421773760882E-3</v>
      </c>
      <c r="U149" s="1" t="s">
        <v>371</v>
      </c>
      <c r="V149" s="2"/>
      <c r="W149" s="2"/>
      <c r="X149" s="6" t="s">
        <v>373</v>
      </c>
      <c r="Y149" s="1" t="s">
        <v>374</v>
      </c>
    </row>
    <row r="150" spans="16:25">
      <c r="P150" s="2" t="s">
        <v>573</v>
      </c>
      <c r="Q150" s="2"/>
      <c r="R150" s="2"/>
      <c r="S150" s="3">
        <v>223.3</v>
      </c>
      <c r="T150" s="11">
        <f t="shared" si="3"/>
        <v>1.8430935578391317E-3</v>
      </c>
      <c r="U150" s="1" t="s">
        <v>371</v>
      </c>
      <c r="V150" s="2"/>
      <c r="W150" s="2"/>
      <c r="X150" s="6" t="s">
        <v>373</v>
      </c>
      <c r="Y150" s="1" t="s">
        <v>374</v>
      </c>
    </row>
    <row r="151" spans="16:25">
      <c r="P151" s="2" t="s">
        <v>574</v>
      </c>
      <c r="Q151" s="2"/>
      <c r="R151" s="2"/>
      <c r="S151" s="3">
        <v>284.89999999999998</v>
      </c>
      <c r="T151" s="11">
        <f t="shared" si="3"/>
        <v>2.3515331600016507E-3</v>
      </c>
      <c r="U151" s="1" t="s">
        <v>371</v>
      </c>
      <c r="V151" s="2"/>
      <c r="W151" s="2"/>
      <c r="X151" s="6" t="s">
        <v>373</v>
      </c>
      <c r="Y151" s="1" t="s">
        <v>374</v>
      </c>
    </row>
    <row r="152" spans="16:25">
      <c r="P152" s="2" t="s">
        <v>575</v>
      </c>
      <c r="Q152" s="2"/>
      <c r="R152" s="2"/>
      <c r="S152" s="3">
        <v>252.88</v>
      </c>
      <c r="T152" s="11">
        <f t="shared" si="3"/>
        <v>2.0872436135528868E-3</v>
      </c>
      <c r="U152" s="1" t="s">
        <v>371</v>
      </c>
      <c r="V152" s="2"/>
      <c r="W152" s="2"/>
      <c r="X152" s="6" t="s">
        <v>373</v>
      </c>
      <c r="Y152" s="1" t="s">
        <v>374</v>
      </c>
    </row>
    <row r="153" spans="16:25">
      <c r="P153" s="2" t="s">
        <v>576</v>
      </c>
      <c r="Q153" s="2"/>
      <c r="R153" s="2"/>
      <c r="S153" s="3">
        <v>255.2</v>
      </c>
      <c r="T153" s="11">
        <f t="shared" si="3"/>
        <v>2.1063926375304363E-3</v>
      </c>
      <c r="U153" s="1" t="s">
        <v>371</v>
      </c>
      <c r="V153" s="2"/>
      <c r="W153" s="2"/>
      <c r="X153" s="6" t="s">
        <v>373</v>
      </c>
      <c r="Y153" s="1" t="s">
        <v>374</v>
      </c>
    </row>
    <row r="154" spans="16:25">
      <c r="P154" s="2" t="s">
        <v>577</v>
      </c>
      <c r="Q154" s="2"/>
      <c r="R154" s="2"/>
      <c r="S154" s="3">
        <v>255.2</v>
      </c>
      <c r="T154" s="11">
        <f t="shared" si="3"/>
        <v>2.1063926375304363E-3</v>
      </c>
      <c r="U154" s="1" t="s">
        <v>371</v>
      </c>
      <c r="V154" s="2"/>
      <c r="W154" s="2"/>
      <c r="X154" s="6" t="s">
        <v>373</v>
      </c>
      <c r="Y154" s="1" t="s">
        <v>374</v>
      </c>
    </row>
    <row r="155" spans="16:25">
      <c r="P155" s="2" t="s">
        <v>578</v>
      </c>
      <c r="Q155" s="2"/>
      <c r="R155" s="2"/>
      <c r="S155" s="3">
        <v>287.10000000000002</v>
      </c>
      <c r="T155" s="11">
        <f t="shared" si="3"/>
        <v>2.3696917172217409E-3</v>
      </c>
      <c r="U155" s="1" t="s">
        <v>371</v>
      </c>
      <c r="V155" s="2"/>
      <c r="W155" s="2"/>
      <c r="X155" s="6" t="s">
        <v>373</v>
      </c>
      <c r="Y155" s="1" t="s">
        <v>374</v>
      </c>
    </row>
    <row r="156" spans="16:25">
      <c r="P156" s="2" t="s">
        <v>579</v>
      </c>
      <c r="Q156" s="2"/>
      <c r="R156" s="2"/>
      <c r="S156" s="3">
        <v>287.10000000000002</v>
      </c>
      <c r="T156" s="11">
        <f t="shared" si="3"/>
        <v>2.3696917172217409E-3</v>
      </c>
      <c r="U156" s="1" t="s">
        <v>371</v>
      </c>
      <c r="V156" s="2"/>
      <c r="W156" s="2"/>
      <c r="X156" s="6" t="s">
        <v>373</v>
      </c>
      <c r="Y156" s="1" t="s">
        <v>374</v>
      </c>
    </row>
    <row r="157" spans="16:25">
      <c r="P157" s="2" t="s">
        <v>580</v>
      </c>
      <c r="Q157" s="2"/>
      <c r="R157" s="2"/>
      <c r="S157" s="3">
        <v>284.49</v>
      </c>
      <c r="T157" s="11">
        <f t="shared" si="3"/>
        <v>2.3481490652469978E-3</v>
      </c>
      <c r="U157" s="1" t="s">
        <v>371</v>
      </c>
      <c r="V157" s="2"/>
      <c r="W157" s="2"/>
      <c r="X157" s="6" t="s">
        <v>373</v>
      </c>
      <c r="Y157" s="1" t="s">
        <v>374</v>
      </c>
    </row>
    <row r="158" spans="16:25">
      <c r="P158" s="2" t="s">
        <v>581</v>
      </c>
      <c r="Q158" s="2"/>
      <c r="R158" s="2"/>
      <c r="S158" s="3">
        <v>252.88</v>
      </c>
      <c r="T158" s="11">
        <f t="shared" ref="T158:T221" si="4">S158/$B$2</f>
        <v>2.0872436135528868E-3</v>
      </c>
      <c r="U158" s="1" t="s">
        <v>371</v>
      </c>
      <c r="V158" s="2"/>
      <c r="W158" s="2"/>
      <c r="X158" s="6" t="s">
        <v>373</v>
      </c>
      <c r="Y158" s="1" t="s">
        <v>374</v>
      </c>
    </row>
    <row r="159" spans="16:25">
      <c r="P159" s="2" t="s">
        <v>582</v>
      </c>
      <c r="Q159" s="2"/>
      <c r="R159" s="2"/>
      <c r="S159" s="3">
        <v>252.88</v>
      </c>
      <c r="T159" s="11">
        <f t="shared" si="4"/>
        <v>2.0872436135528868E-3</v>
      </c>
      <c r="U159" s="1" t="s">
        <v>371</v>
      </c>
      <c r="V159" s="2"/>
      <c r="W159" s="2"/>
      <c r="X159" s="6" t="s">
        <v>373</v>
      </c>
      <c r="Y159" s="1" t="s">
        <v>374</v>
      </c>
    </row>
    <row r="160" spans="16:25">
      <c r="P160" s="2" t="s">
        <v>583</v>
      </c>
      <c r="Q160" s="2"/>
      <c r="R160" s="2"/>
      <c r="S160" s="3">
        <v>255.2</v>
      </c>
      <c r="T160" s="11">
        <f t="shared" si="4"/>
        <v>2.1063926375304363E-3</v>
      </c>
      <c r="U160" s="1" t="s">
        <v>371</v>
      </c>
      <c r="V160" s="2"/>
      <c r="W160" s="2"/>
      <c r="X160" s="6" t="s">
        <v>373</v>
      </c>
      <c r="Y160" s="1" t="s">
        <v>374</v>
      </c>
    </row>
    <row r="161" spans="16:25">
      <c r="P161" s="2" t="s">
        <v>584</v>
      </c>
      <c r="Q161" s="2"/>
      <c r="R161" s="2"/>
      <c r="S161" s="3">
        <v>255.2</v>
      </c>
      <c r="T161" s="11">
        <f t="shared" si="4"/>
        <v>2.1063926375304363E-3</v>
      </c>
      <c r="U161" s="1" t="s">
        <v>371</v>
      </c>
      <c r="V161" s="2"/>
      <c r="W161" s="2"/>
      <c r="X161" s="6" t="s">
        <v>373</v>
      </c>
      <c r="Y161" s="1" t="s">
        <v>374</v>
      </c>
    </row>
    <row r="162" spans="16:25">
      <c r="P162" s="2" t="s">
        <v>585</v>
      </c>
      <c r="Q162" s="2"/>
      <c r="R162" s="2"/>
      <c r="S162" s="3">
        <v>252.88</v>
      </c>
      <c r="T162" s="11">
        <f t="shared" si="4"/>
        <v>2.0872436135528868E-3</v>
      </c>
      <c r="U162" s="1" t="s">
        <v>371</v>
      </c>
      <c r="V162" s="2"/>
      <c r="W162" s="2"/>
      <c r="X162" s="6" t="s">
        <v>373</v>
      </c>
      <c r="Y162" s="1" t="s">
        <v>374</v>
      </c>
    </row>
    <row r="163" spans="16:25">
      <c r="P163" s="2" t="s">
        <v>586</v>
      </c>
      <c r="Q163" s="2"/>
      <c r="R163" s="2"/>
      <c r="S163" s="3">
        <v>287.10000000000002</v>
      </c>
      <c r="T163" s="11">
        <f t="shared" si="4"/>
        <v>2.3696917172217409E-3</v>
      </c>
      <c r="U163" s="1" t="s">
        <v>371</v>
      </c>
      <c r="V163" s="2"/>
      <c r="W163" s="2"/>
      <c r="X163" s="6" t="s">
        <v>373</v>
      </c>
      <c r="Y163" s="1" t="s">
        <v>374</v>
      </c>
    </row>
    <row r="164" spans="16:25">
      <c r="P164" s="2" t="s">
        <v>587</v>
      </c>
      <c r="Q164" s="2"/>
      <c r="R164" s="2"/>
      <c r="S164" s="3">
        <v>287.10000000000002</v>
      </c>
      <c r="T164" s="11">
        <f t="shared" si="4"/>
        <v>2.3696917172217409E-3</v>
      </c>
      <c r="U164" s="1" t="s">
        <v>371</v>
      </c>
      <c r="V164" s="2"/>
      <c r="W164" s="2"/>
      <c r="X164" s="6" t="s">
        <v>373</v>
      </c>
      <c r="Y164" s="1" t="s">
        <v>374</v>
      </c>
    </row>
    <row r="165" spans="16:25">
      <c r="P165" s="2" t="s">
        <v>588</v>
      </c>
      <c r="Q165" s="2"/>
      <c r="R165" s="2"/>
      <c r="S165" s="3">
        <v>223.3</v>
      </c>
      <c r="T165" s="11">
        <f t="shared" si="4"/>
        <v>1.8430935578391317E-3</v>
      </c>
      <c r="U165" s="1" t="s">
        <v>371</v>
      </c>
      <c r="V165" s="2"/>
      <c r="W165" s="2"/>
      <c r="X165" s="6" t="s">
        <v>373</v>
      </c>
      <c r="Y165" s="1" t="s">
        <v>374</v>
      </c>
    </row>
    <row r="166" spans="16:25">
      <c r="P166" s="2" t="s">
        <v>589</v>
      </c>
      <c r="Q166" s="2"/>
      <c r="R166" s="2"/>
      <c r="S166" s="3">
        <v>223.3</v>
      </c>
      <c r="T166" s="11">
        <f t="shared" si="4"/>
        <v>1.8430935578391317E-3</v>
      </c>
      <c r="U166" s="1" t="s">
        <v>371</v>
      </c>
      <c r="V166" s="2"/>
      <c r="W166" s="2"/>
      <c r="X166" s="6" t="s">
        <v>373</v>
      </c>
      <c r="Y166" s="1" t="s">
        <v>374</v>
      </c>
    </row>
    <row r="167" spans="16:25">
      <c r="P167" s="2" t="s">
        <v>590</v>
      </c>
      <c r="Q167" s="2"/>
      <c r="R167" s="2"/>
      <c r="S167" s="3">
        <v>221.27</v>
      </c>
      <c r="T167" s="11">
        <f t="shared" si="4"/>
        <v>1.826338161858776E-3</v>
      </c>
      <c r="U167" s="1" t="s">
        <v>371</v>
      </c>
      <c r="V167" s="2"/>
      <c r="W167" s="2"/>
      <c r="X167" s="6" t="s">
        <v>373</v>
      </c>
      <c r="Y167" s="1" t="s">
        <v>374</v>
      </c>
    </row>
    <row r="168" spans="16:25">
      <c r="P168" s="2" t="s">
        <v>591</v>
      </c>
      <c r="Q168" s="2"/>
      <c r="R168" s="2"/>
      <c r="S168" s="3">
        <v>255.2</v>
      </c>
      <c r="T168" s="11">
        <f t="shared" si="4"/>
        <v>2.1063926375304363E-3</v>
      </c>
      <c r="U168" s="1" t="s">
        <v>371</v>
      </c>
      <c r="V168" s="2"/>
      <c r="W168" s="2"/>
      <c r="X168" s="6" t="s">
        <v>373</v>
      </c>
      <c r="Y168" s="1" t="s">
        <v>374</v>
      </c>
    </row>
    <row r="169" spans="16:25">
      <c r="P169" s="2" t="s">
        <v>592</v>
      </c>
      <c r="Q169" s="2"/>
      <c r="R169" s="2"/>
      <c r="S169" s="3">
        <v>223.3</v>
      </c>
      <c r="T169" s="11">
        <f t="shared" si="4"/>
        <v>1.8430935578391317E-3</v>
      </c>
      <c r="U169" s="1" t="s">
        <v>371</v>
      </c>
      <c r="V169" s="2"/>
      <c r="W169" s="2"/>
      <c r="X169" s="6" t="s">
        <v>373</v>
      </c>
      <c r="Y169" s="1" t="s">
        <v>374</v>
      </c>
    </row>
    <row r="170" spans="16:25">
      <c r="P170" s="2" t="s">
        <v>593</v>
      </c>
      <c r="Q170" s="2"/>
      <c r="R170" s="2"/>
      <c r="S170" s="3">
        <v>223.3</v>
      </c>
      <c r="T170" s="11">
        <f t="shared" si="4"/>
        <v>1.8430935578391317E-3</v>
      </c>
      <c r="U170" s="1" t="s">
        <v>371</v>
      </c>
      <c r="V170" s="2"/>
      <c r="W170" s="2"/>
      <c r="X170" s="6" t="s">
        <v>373</v>
      </c>
      <c r="Y170" s="1" t="s">
        <v>374</v>
      </c>
    </row>
    <row r="171" spans="16:25">
      <c r="P171" s="2" t="s">
        <v>594</v>
      </c>
      <c r="Q171" s="2"/>
      <c r="R171" s="2"/>
      <c r="S171" s="3">
        <v>255.2</v>
      </c>
      <c r="T171" s="11">
        <f t="shared" si="4"/>
        <v>2.1063926375304363E-3</v>
      </c>
      <c r="U171" s="1" t="s">
        <v>371</v>
      </c>
      <c r="V171" s="2"/>
      <c r="W171" s="2"/>
      <c r="X171" s="6" t="s">
        <v>373</v>
      </c>
      <c r="Y171" s="1" t="s">
        <v>374</v>
      </c>
    </row>
    <row r="172" spans="16:25">
      <c r="P172" s="2" t="s">
        <v>595</v>
      </c>
      <c r="Q172" s="2"/>
      <c r="R172" s="2"/>
      <c r="S172" s="3">
        <v>223.3</v>
      </c>
      <c r="T172" s="11">
        <f t="shared" si="4"/>
        <v>1.8430935578391317E-3</v>
      </c>
      <c r="U172" s="1" t="s">
        <v>371</v>
      </c>
      <c r="V172" s="2"/>
      <c r="W172" s="2"/>
      <c r="X172" s="6" t="s">
        <v>373</v>
      </c>
      <c r="Y172" s="1" t="s">
        <v>374</v>
      </c>
    </row>
    <row r="173" spans="16:25">
      <c r="P173" s="2" t="s">
        <v>596</v>
      </c>
      <c r="Q173" s="2"/>
      <c r="R173" s="2"/>
      <c r="S173" s="3">
        <v>287.10000000000002</v>
      </c>
      <c r="T173" s="11">
        <f t="shared" si="4"/>
        <v>2.3696917172217409E-3</v>
      </c>
      <c r="U173" s="1" t="s">
        <v>371</v>
      </c>
      <c r="V173" s="2"/>
      <c r="W173" s="2"/>
      <c r="X173" s="6" t="s">
        <v>373</v>
      </c>
      <c r="Y173" s="1" t="s">
        <v>374</v>
      </c>
    </row>
    <row r="174" spans="16:25">
      <c r="P174" s="2" t="s">
        <v>597</v>
      </c>
      <c r="Q174" s="2"/>
      <c r="R174" s="2"/>
      <c r="S174" s="3">
        <v>287.10000000000002</v>
      </c>
      <c r="T174" s="11">
        <f t="shared" si="4"/>
        <v>2.3696917172217409E-3</v>
      </c>
      <c r="U174" s="1" t="s">
        <v>371</v>
      </c>
      <c r="V174" s="2"/>
      <c r="W174" s="2"/>
      <c r="X174" s="6" t="s">
        <v>373</v>
      </c>
      <c r="Y174" s="1" t="s">
        <v>374</v>
      </c>
    </row>
    <row r="175" spans="16:25">
      <c r="P175" s="2" t="s">
        <v>598</v>
      </c>
      <c r="Q175" s="2"/>
      <c r="R175" s="2"/>
      <c r="S175" s="3">
        <v>221.7</v>
      </c>
      <c r="T175" s="11">
        <f t="shared" si="4"/>
        <v>1.8298873344063389E-3</v>
      </c>
      <c r="U175" s="1" t="s">
        <v>371</v>
      </c>
      <c r="V175" s="2"/>
      <c r="W175" s="2"/>
      <c r="X175" s="6" t="s">
        <v>373</v>
      </c>
      <c r="Y175" s="1" t="s">
        <v>374</v>
      </c>
    </row>
    <row r="176" spans="16:25">
      <c r="P176" s="2" t="s">
        <v>599</v>
      </c>
      <c r="Q176" s="2"/>
      <c r="R176" s="2"/>
      <c r="S176" s="3">
        <v>287.10000000000002</v>
      </c>
      <c r="T176" s="11">
        <f t="shared" si="4"/>
        <v>2.3696917172217409E-3</v>
      </c>
      <c r="U176" s="1" t="s">
        <v>371</v>
      </c>
      <c r="V176" s="2"/>
      <c r="W176" s="2"/>
      <c r="X176" s="6" t="s">
        <v>373</v>
      </c>
      <c r="Y176" s="1" t="s">
        <v>374</v>
      </c>
    </row>
    <row r="177" spans="16:25">
      <c r="P177" s="2" t="s">
        <v>600</v>
      </c>
      <c r="Q177" s="2"/>
      <c r="R177" s="2"/>
      <c r="S177" s="3">
        <v>287.10000000000002</v>
      </c>
      <c r="T177" s="11">
        <f t="shared" si="4"/>
        <v>2.3696917172217409E-3</v>
      </c>
      <c r="U177" s="1" t="s">
        <v>371</v>
      </c>
      <c r="V177" s="2"/>
      <c r="W177" s="2"/>
      <c r="X177" s="6" t="s">
        <v>373</v>
      </c>
      <c r="Y177" s="1" t="s">
        <v>374</v>
      </c>
    </row>
    <row r="178" spans="16:25">
      <c r="P178" s="2" t="s">
        <v>601</v>
      </c>
      <c r="Q178" s="2"/>
      <c r="R178" s="2"/>
      <c r="S178" s="3">
        <v>271.14999999999998</v>
      </c>
      <c r="T178" s="11">
        <f t="shared" si="4"/>
        <v>2.2380421773760882E-3</v>
      </c>
      <c r="U178" s="1" t="s">
        <v>371</v>
      </c>
      <c r="V178" s="2"/>
      <c r="W178" s="2"/>
      <c r="X178" s="6" t="s">
        <v>373</v>
      </c>
      <c r="Y178" s="1" t="s">
        <v>374</v>
      </c>
    </row>
    <row r="179" spans="16:25">
      <c r="P179" s="2" t="s">
        <v>602</v>
      </c>
      <c r="Q179" s="2"/>
      <c r="R179" s="2"/>
      <c r="S179" s="3">
        <v>252.88</v>
      </c>
      <c r="T179" s="11">
        <f t="shared" si="4"/>
        <v>2.0872436135528868E-3</v>
      </c>
      <c r="U179" s="1" t="s">
        <v>371</v>
      </c>
      <c r="V179" s="2"/>
      <c r="W179" s="2"/>
      <c r="X179" s="6" t="s">
        <v>373</v>
      </c>
      <c r="Y179" s="1" t="s">
        <v>374</v>
      </c>
    </row>
    <row r="180" spans="16:25">
      <c r="P180" s="2" t="s">
        <v>603</v>
      </c>
      <c r="Q180" s="2"/>
      <c r="R180" s="2"/>
      <c r="S180" s="3">
        <v>287.10000000000002</v>
      </c>
      <c r="T180" s="11">
        <f t="shared" si="4"/>
        <v>2.3696917172217409E-3</v>
      </c>
      <c r="U180" s="1" t="s">
        <v>371</v>
      </c>
      <c r="V180" s="2"/>
      <c r="W180" s="2"/>
      <c r="X180" s="6" t="s">
        <v>373</v>
      </c>
      <c r="Y180" s="1" t="s">
        <v>374</v>
      </c>
    </row>
    <row r="181" spans="16:25">
      <c r="P181" s="2" t="s">
        <v>604</v>
      </c>
      <c r="Q181" s="2"/>
      <c r="R181" s="2"/>
      <c r="S181" s="3">
        <v>255.2</v>
      </c>
      <c r="T181" s="11">
        <f t="shared" si="4"/>
        <v>2.1063926375304363E-3</v>
      </c>
      <c r="U181" s="1" t="s">
        <v>371</v>
      </c>
      <c r="V181" s="2"/>
      <c r="W181" s="2"/>
      <c r="X181" s="6" t="s">
        <v>373</v>
      </c>
      <c r="Y181" s="1" t="s">
        <v>374</v>
      </c>
    </row>
    <row r="182" spans="16:25">
      <c r="P182" s="2" t="s">
        <v>605</v>
      </c>
      <c r="Q182" s="2"/>
      <c r="R182" s="2"/>
      <c r="S182" s="3">
        <v>287.10000000000002</v>
      </c>
      <c r="T182" s="11">
        <f t="shared" si="4"/>
        <v>2.3696917172217409E-3</v>
      </c>
      <c r="U182" s="1" t="s">
        <v>371</v>
      </c>
      <c r="V182" s="2"/>
      <c r="W182" s="2"/>
      <c r="X182" s="6" t="s">
        <v>373</v>
      </c>
      <c r="Y182" s="1" t="s">
        <v>374</v>
      </c>
    </row>
    <row r="183" spans="16:25">
      <c r="P183" s="2" t="s">
        <v>606</v>
      </c>
      <c r="Q183" s="2"/>
      <c r="R183" s="2"/>
      <c r="S183" s="3">
        <v>223.3</v>
      </c>
      <c r="T183" s="11">
        <f t="shared" si="4"/>
        <v>1.8430935578391317E-3</v>
      </c>
      <c r="U183" s="1" t="s">
        <v>371</v>
      </c>
      <c r="V183" s="2"/>
      <c r="W183" s="2"/>
      <c r="X183" s="6" t="s">
        <v>373</v>
      </c>
      <c r="Y183" s="1" t="s">
        <v>374</v>
      </c>
    </row>
    <row r="184" spans="16:25">
      <c r="P184" s="2" t="s">
        <v>607</v>
      </c>
      <c r="Q184" s="2"/>
      <c r="R184" s="2"/>
      <c r="S184" s="3">
        <v>252.88</v>
      </c>
      <c r="T184" s="11">
        <f t="shared" si="4"/>
        <v>2.0872436135528868E-3</v>
      </c>
      <c r="U184" s="1" t="s">
        <v>371</v>
      </c>
      <c r="V184" s="2"/>
      <c r="W184" s="2"/>
      <c r="X184" s="6" t="s">
        <v>373</v>
      </c>
      <c r="Y184" s="1" t="s">
        <v>374</v>
      </c>
    </row>
    <row r="185" spans="16:25">
      <c r="P185" s="2" t="s">
        <v>608</v>
      </c>
      <c r="Q185" s="2"/>
      <c r="R185" s="2"/>
      <c r="S185" s="3">
        <v>223.3</v>
      </c>
      <c r="T185" s="11">
        <f t="shared" si="4"/>
        <v>1.8430935578391317E-3</v>
      </c>
      <c r="U185" s="1" t="s">
        <v>371</v>
      </c>
      <c r="V185" s="2"/>
      <c r="W185" s="2"/>
      <c r="X185" s="6" t="s">
        <v>373</v>
      </c>
      <c r="Y185" s="1" t="s">
        <v>374</v>
      </c>
    </row>
    <row r="186" spans="16:25">
      <c r="P186" s="2" t="s">
        <v>609</v>
      </c>
      <c r="Q186" s="2"/>
      <c r="R186" s="2"/>
      <c r="S186" s="3">
        <v>158.05000000000001</v>
      </c>
      <c r="T186" s="11">
        <f t="shared" si="4"/>
        <v>1.3045272584705544E-3</v>
      </c>
      <c r="U186" s="1" t="s">
        <v>371</v>
      </c>
      <c r="V186" s="2"/>
      <c r="W186" s="2"/>
      <c r="X186" s="6" t="s">
        <v>373</v>
      </c>
      <c r="Y186" s="1" t="s">
        <v>374</v>
      </c>
    </row>
    <row r="187" spans="16:25">
      <c r="P187" s="2" t="s">
        <v>610</v>
      </c>
      <c r="Q187" s="2"/>
      <c r="R187" s="2"/>
      <c r="S187" s="3">
        <v>252.88</v>
      </c>
      <c r="T187" s="11">
        <f t="shared" si="4"/>
        <v>2.0872436135528868E-3</v>
      </c>
      <c r="U187" s="1" t="s">
        <v>371</v>
      </c>
      <c r="V187" s="2"/>
      <c r="W187" s="2"/>
      <c r="X187" s="6" t="s">
        <v>373</v>
      </c>
      <c r="Y187" s="1" t="s">
        <v>374</v>
      </c>
    </row>
    <row r="188" spans="16:25">
      <c r="P188" s="2" t="s">
        <v>611</v>
      </c>
      <c r="Q188" s="2"/>
      <c r="R188" s="2"/>
      <c r="S188" s="3">
        <v>252.88</v>
      </c>
      <c r="T188" s="11">
        <f t="shared" si="4"/>
        <v>2.0872436135528868E-3</v>
      </c>
      <c r="U188" s="1" t="s">
        <v>371</v>
      </c>
      <c r="V188" s="2"/>
      <c r="W188" s="2"/>
      <c r="X188" s="6" t="s">
        <v>373</v>
      </c>
      <c r="Y188" s="1" t="s">
        <v>374</v>
      </c>
    </row>
    <row r="189" spans="16:25">
      <c r="P189" s="2" t="s">
        <v>612</v>
      </c>
      <c r="Q189" s="2"/>
      <c r="R189" s="2"/>
      <c r="S189" s="3">
        <v>221.27</v>
      </c>
      <c r="T189" s="11">
        <f t="shared" si="4"/>
        <v>1.826338161858776E-3</v>
      </c>
      <c r="U189" s="1" t="s">
        <v>371</v>
      </c>
      <c r="V189" s="2"/>
      <c r="W189" s="2"/>
      <c r="X189" s="6" t="s">
        <v>373</v>
      </c>
      <c r="Y189" s="1" t="s">
        <v>374</v>
      </c>
    </row>
    <row r="190" spans="16:25">
      <c r="P190" s="2" t="s">
        <v>613</v>
      </c>
      <c r="Q190" s="2"/>
      <c r="R190" s="2"/>
      <c r="S190" s="3">
        <v>252.88</v>
      </c>
      <c r="T190" s="11">
        <f t="shared" si="4"/>
        <v>2.0872436135528868E-3</v>
      </c>
      <c r="U190" s="1" t="s">
        <v>371</v>
      </c>
      <c r="V190" s="2"/>
      <c r="W190" s="2"/>
      <c r="X190" s="6" t="s">
        <v>373</v>
      </c>
      <c r="Y190" s="1" t="s">
        <v>374</v>
      </c>
    </row>
    <row r="191" spans="16:25">
      <c r="P191" s="2" t="s">
        <v>614</v>
      </c>
      <c r="Q191" s="2"/>
      <c r="R191" s="2"/>
      <c r="S191" s="3">
        <v>252.88</v>
      </c>
      <c r="T191" s="11">
        <f t="shared" si="4"/>
        <v>2.0872436135528868E-3</v>
      </c>
      <c r="U191" s="1" t="s">
        <v>371</v>
      </c>
      <c r="V191" s="2"/>
      <c r="W191" s="2"/>
      <c r="X191" s="6" t="s">
        <v>373</v>
      </c>
      <c r="Y191" s="1" t="s">
        <v>374</v>
      </c>
    </row>
    <row r="192" spans="16:25">
      <c r="P192" s="2" t="s">
        <v>615</v>
      </c>
      <c r="Q192" s="2"/>
      <c r="R192" s="2"/>
      <c r="S192" s="3">
        <v>221.27</v>
      </c>
      <c r="T192" s="11">
        <f t="shared" si="4"/>
        <v>1.826338161858776E-3</v>
      </c>
      <c r="U192" s="1" t="s">
        <v>371</v>
      </c>
      <c r="V192" s="2"/>
      <c r="W192" s="2"/>
      <c r="X192" s="6" t="s">
        <v>373</v>
      </c>
      <c r="Y192" s="1" t="s">
        <v>374</v>
      </c>
    </row>
    <row r="193" spans="16:25">
      <c r="P193" s="2" t="s">
        <v>616</v>
      </c>
      <c r="Q193" s="2"/>
      <c r="R193" s="2"/>
      <c r="S193" s="3">
        <v>221.27</v>
      </c>
      <c r="T193" s="11">
        <f t="shared" si="4"/>
        <v>1.826338161858776E-3</v>
      </c>
      <c r="U193" s="1" t="s">
        <v>371</v>
      </c>
      <c r="V193" s="2"/>
      <c r="W193" s="2"/>
      <c r="X193" s="6" t="s">
        <v>373</v>
      </c>
      <c r="Y193" s="1" t="s">
        <v>374</v>
      </c>
    </row>
    <row r="194" spans="16:25">
      <c r="P194" s="2" t="s">
        <v>617</v>
      </c>
      <c r="Q194" s="2"/>
      <c r="R194" s="2"/>
      <c r="S194" s="3">
        <v>252.88</v>
      </c>
      <c r="T194" s="11">
        <f t="shared" si="4"/>
        <v>2.0872436135528868E-3</v>
      </c>
      <c r="U194" s="1" t="s">
        <v>371</v>
      </c>
      <c r="V194" s="2"/>
      <c r="W194" s="2"/>
      <c r="X194" s="6" t="s">
        <v>373</v>
      </c>
      <c r="Y194" s="1" t="s">
        <v>374</v>
      </c>
    </row>
    <row r="195" spans="16:25">
      <c r="P195" s="2" t="s">
        <v>618</v>
      </c>
      <c r="Q195" s="2"/>
      <c r="R195" s="2"/>
      <c r="S195" s="3">
        <v>221.17</v>
      </c>
      <c r="T195" s="11">
        <f t="shared" si="4"/>
        <v>1.8255127728942263E-3</v>
      </c>
      <c r="U195" s="1" t="s">
        <v>371</v>
      </c>
      <c r="V195" s="2"/>
      <c r="W195" s="2"/>
      <c r="X195" s="6" t="s">
        <v>373</v>
      </c>
      <c r="Y195" s="1" t="s">
        <v>374</v>
      </c>
    </row>
    <row r="196" spans="16:25">
      <c r="P196" s="2" t="s">
        <v>619</v>
      </c>
      <c r="Q196" s="2"/>
      <c r="R196" s="2"/>
      <c r="S196" s="3">
        <v>252.88</v>
      </c>
      <c r="T196" s="11">
        <f t="shared" si="4"/>
        <v>2.0872436135528868E-3</v>
      </c>
      <c r="U196" s="1" t="s">
        <v>371</v>
      </c>
      <c r="V196" s="2"/>
      <c r="W196" s="2"/>
      <c r="X196" s="6" t="s">
        <v>373</v>
      </c>
      <c r="Y196" s="1" t="s">
        <v>374</v>
      </c>
    </row>
    <row r="197" spans="16:25">
      <c r="P197" s="2" t="s">
        <v>620</v>
      </c>
      <c r="Q197" s="2"/>
      <c r="R197" s="2"/>
      <c r="S197" s="3">
        <v>252.88</v>
      </c>
      <c r="T197" s="11">
        <f t="shared" si="4"/>
        <v>2.0872436135528868E-3</v>
      </c>
      <c r="U197" s="1" t="s">
        <v>371</v>
      </c>
      <c r="V197" s="2"/>
      <c r="W197" s="2"/>
      <c r="X197" s="6" t="s">
        <v>373</v>
      </c>
      <c r="Y197" s="1" t="s">
        <v>374</v>
      </c>
    </row>
    <row r="198" spans="16:25">
      <c r="P198" s="2" t="s">
        <v>621</v>
      </c>
      <c r="Q198" s="2"/>
      <c r="R198" s="2"/>
      <c r="S198" s="3">
        <v>252.88</v>
      </c>
      <c r="T198" s="11">
        <f t="shared" si="4"/>
        <v>2.0872436135528868E-3</v>
      </c>
      <c r="U198" s="1" t="s">
        <v>371</v>
      </c>
      <c r="V198" s="2"/>
      <c r="W198" s="2"/>
      <c r="X198" s="6" t="s">
        <v>373</v>
      </c>
      <c r="Y198" s="1" t="s">
        <v>374</v>
      </c>
    </row>
    <row r="199" spans="16:25">
      <c r="P199" s="2" t="s">
        <v>622</v>
      </c>
      <c r="Q199" s="2"/>
      <c r="R199" s="2"/>
      <c r="S199" s="3">
        <v>287.10000000000002</v>
      </c>
      <c r="T199" s="11">
        <f t="shared" si="4"/>
        <v>2.3696917172217409E-3</v>
      </c>
      <c r="U199" s="1" t="s">
        <v>371</v>
      </c>
      <c r="V199" s="2"/>
      <c r="W199" s="2"/>
      <c r="X199" s="6" t="s">
        <v>373</v>
      </c>
      <c r="Y199" s="1" t="s">
        <v>374</v>
      </c>
    </row>
    <row r="200" spans="16:25">
      <c r="P200" s="2" t="s">
        <v>623</v>
      </c>
      <c r="Q200" s="2"/>
      <c r="R200" s="2"/>
      <c r="S200" s="3">
        <v>287.10000000000002</v>
      </c>
      <c r="T200" s="11">
        <f t="shared" si="4"/>
        <v>2.3696917172217409E-3</v>
      </c>
      <c r="U200" s="1" t="s">
        <v>371</v>
      </c>
      <c r="V200" s="2"/>
      <c r="W200" s="2"/>
      <c r="X200" s="6" t="s">
        <v>373</v>
      </c>
      <c r="Y200" s="1" t="s">
        <v>374</v>
      </c>
    </row>
    <row r="201" spans="16:25">
      <c r="P201" s="2" t="s">
        <v>624</v>
      </c>
      <c r="Q201" s="2"/>
      <c r="R201" s="2"/>
      <c r="S201" s="3">
        <v>287.10000000000002</v>
      </c>
      <c r="T201" s="11">
        <f t="shared" si="4"/>
        <v>2.3696917172217409E-3</v>
      </c>
      <c r="U201" s="1" t="s">
        <v>371</v>
      </c>
      <c r="V201" s="2"/>
      <c r="W201" s="2"/>
      <c r="X201" s="6" t="s">
        <v>373</v>
      </c>
      <c r="Y201" s="1" t="s">
        <v>374</v>
      </c>
    </row>
    <row r="202" spans="16:25">
      <c r="P202" s="2" t="s">
        <v>625</v>
      </c>
      <c r="Q202" s="2"/>
      <c r="R202" s="2"/>
      <c r="S202" s="3">
        <v>223.3</v>
      </c>
      <c r="T202" s="11">
        <f t="shared" si="4"/>
        <v>1.8430935578391317E-3</v>
      </c>
      <c r="U202" s="1" t="s">
        <v>371</v>
      </c>
      <c r="V202" s="2"/>
      <c r="W202" s="2"/>
      <c r="X202" s="6" t="s">
        <v>373</v>
      </c>
      <c r="Y202" s="1" t="s">
        <v>374</v>
      </c>
    </row>
    <row r="203" spans="16:25">
      <c r="P203" s="2" t="s">
        <v>626</v>
      </c>
      <c r="Q203" s="2"/>
      <c r="R203" s="2"/>
      <c r="S203" s="3">
        <v>286</v>
      </c>
      <c r="T203" s="11">
        <f t="shared" si="4"/>
        <v>2.3606124386116958E-3</v>
      </c>
      <c r="U203" s="1" t="s">
        <v>371</v>
      </c>
      <c r="V203" s="2"/>
      <c r="W203" s="2"/>
      <c r="X203" s="6" t="s">
        <v>373</v>
      </c>
      <c r="Y203" s="1" t="s">
        <v>374</v>
      </c>
    </row>
    <row r="204" spans="16:25">
      <c r="P204" s="2" t="s">
        <v>627</v>
      </c>
      <c r="Q204" s="2"/>
      <c r="R204" s="2"/>
      <c r="S204" s="3">
        <v>287.10000000000002</v>
      </c>
      <c r="T204" s="11">
        <f t="shared" si="4"/>
        <v>2.3696917172217409E-3</v>
      </c>
      <c r="U204" s="1" t="s">
        <v>371</v>
      </c>
      <c r="V204" s="2"/>
      <c r="W204" s="2"/>
      <c r="X204" s="6" t="s">
        <v>373</v>
      </c>
      <c r="Y204" s="1" t="s">
        <v>374</v>
      </c>
    </row>
    <row r="205" spans="16:25">
      <c r="P205" s="2" t="s">
        <v>628</v>
      </c>
      <c r="Q205" s="2"/>
      <c r="R205" s="2"/>
      <c r="S205" s="3">
        <v>223.3</v>
      </c>
      <c r="T205" s="11">
        <f t="shared" si="4"/>
        <v>1.8430935578391317E-3</v>
      </c>
      <c r="U205" s="1" t="s">
        <v>371</v>
      </c>
      <c r="V205" s="2"/>
      <c r="W205" s="2"/>
      <c r="X205" s="6" t="s">
        <v>373</v>
      </c>
      <c r="Y205" s="1" t="s">
        <v>374</v>
      </c>
    </row>
    <row r="206" spans="16:25">
      <c r="P206" s="2" t="s">
        <v>629</v>
      </c>
      <c r="Q206" s="2"/>
      <c r="R206" s="2"/>
      <c r="S206" s="3">
        <v>223.3</v>
      </c>
      <c r="T206" s="11">
        <f t="shared" si="4"/>
        <v>1.8430935578391317E-3</v>
      </c>
      <c r="U206" s="1" t="s">
        <v>371</v>
      </c>
      <c r="V206" s="2"/>
      <c r="W206" s="2"/>
      <c r="X206" s="6" t="s">
        <v>373</v>
      </c>
      <c r="Y206" s="1" t="s">
        <v>374</v>
      </c>
    </row>
    <row r="207" spans="16:25">
      <c r="P207" s="2" t="s">
        <v>630</v>
      </c>
      <c r="Q207" s="2"/>
      <c r="R207" s="2"/>
      <c r="S207" s="3">
        <v>287.10000000000002</v>
      </c>
      <c r="T207" s="11">
        <f t="shared" si="4"/>
        <v>2.3696917172217409E-3</v>
      </c>
      <c r="U207" s="1" t="s">
        <v>371</v>
      </c>
      <c r="V207" s="2"/>
      <c r="W207" s="2"/>
      <c r="X207" s="6" t="s">
        <v>373</v>
      </c>
      <c r="Y207" s="1" t="s">
        <v>374</v>
      </c>
    </row>
    <row r="208" spans="16:25">
      <c r="P208" s="2" t="s">
        <v>631</v>
      </c>
      <c r="Q208" s="2"/>
      <c r="R208" s="2"/>
      <c r="S208" s="3">
        <v>255.2</v>
      </c>
      <c r="T208" s="11">
        <f t="shared" si="4"/>
        <v>2.1063926375304363E-3</v>
      </c>
      <c r="U208" s="1" t="s">
        <v>371</v>
      </c>
      <c r="V208" s="2"/>
      <c r="W208" s="2"/>
      <c r="X208" s="6" t="s">
        <v>373</v>
      </c>
      <c r="Y208" s="1" t="s">
        <v>374</v>
      </c>
    </row>
    <row r="209" spans="16:25">
      <c r="P209" s="2" t="s">
        <v>632</v>
      </c>
      <c r="Q209" s="2"/>
      <c r="R209" s="2"/>
      <c r="S209" s="3">
        <v>255.2</v>
      </c>
      <c r="T209" s="11">
        <f t="shared" si="4"/>
        <v>2.1063926375304363E-3</v>
      </c>
      <c r="U209" s="1" t="s">
        <v>371</v>
      </c>
      <c r="V209" s="2"/>
      <c r="W209" s="2"/>
      <c r="X209" s="6" t="s">
        <v>373</v>
      </c>
      <c r="Y209" s="1" t="s">
        <v>374</v>
      </c>
    </row>
    <row r="210" spans="16:25">
      <c r="P210" s="2" t="s">
        <v>633</v>
      </c>
      <c r="Q210" s="2"/>
      <c r="R210" s="2"/>
      <c r="S210" s="3">
        <v>284.49</v>
      </c>
      <c r="T210" s="11">
        <f t="shared" si="4"/>
        <v>2.3481490652469978E-3</v>
      </c>
      <c r="U210" s="1" t="s">
        <v>371</v>
      </c>
      <c r="V210" s="2"/>
      <c r="W210" s="2"/>
      <c r="X210" s="6" t="s">
        <v>373</v>
      </c>
      <c r="Y210" s="1" t="s">
        <v>374</v>
      </c>
    </row>
    <row r="211" spans="16:25">
      <c r="P211" s="2" t="s">
        <v>634</v>
      </c>
      <c r="Q211" s="2"/>
      <c r="R211" s="2"/>
      <c r="S211" s="3">
        <v>284.49</v>
      </c>
      <c r="T211" s="11">
        <f t="shared" si="4"/>
        <v>2.3481490652469978E-3</v>
      </c>
      <c r="U211" s="1" t="s">
        <v>371</v>
      </c>
      <c r="V211" s="2"/>
      <c r="W211" s="2"/>
      <c r="X211" s="6" t="s">
        <v>373</v>
      </c>
      <c r="Y211" s="1" t="s">
        <v>374</v>
      </c>
    </row>
    <row r="212" spans="16:25">
      <c r="P212" s="2" t="s">
        <v>635</v>
      </c>
      <c r="Q212" s="2"/>
      <c r="R212" s="2"/>
      <c r="S212" s="3">
        <v>189.66</v>
      </c>
      <c r="T212" s="11">
        <f t="shared" si="4"/>
        <v>1.565432710164665E-3</v>
      </c>
      <c r="U212" s="1" t="s">
        <v>371</v>
      </c>
      <c r="V212" s="2"/>
      <c r="W212" s="2"/>
      <c r="X212" s="6" t="s">
        <v>373</v>
      </c>
      <c r="Y212" s="1" t="s">
        <v>374</v>
      </c>
    </row>
    <row r="213" spans="16:25">
      <c r="P213" s="2" t="s">
        <v>636</v>
      </c>
      <c r="Q213" s="2"/>
      <c r="R213" s="2"/>
      <c r="S213" s="3">
        <v>205.465</v>
      </c>
      <c r="T213" s="11">
        <f t="shared" si="4"/>
        <v>1.6958854360117205E-3</v>
      </c>
      <c r="U213" s="1" t="s">
        <v>371</v>
      </c>
      <c r="V213" s="2"/>
      <c r="W213" s="2"/>
      <c r="X213" s="6" t="s">
        <v>373</v>
      </c>
      <c r="Y213" s="1" t="s">
        <v>374</v>
      </c>
    </row>
    <row r="214" spans="16:25">
      <c r="P214" s="2" t="s">
        <v>637</v>
      </c>
      <c r="Q214" s="2"/>
      <c r="R214" s="2"/>
      <c r="S214" s="3">
        <v>0</v>
      </c>
      <c r="T214" s="11">
        <f t="shared" si="4"/>
        <v>0</v>
      </c>
      <c r="U214" s="1" t="s">
        <v>371</v>
      </c>
      <c r="V214" s="2"/>
      <c r="W214" s="2"/>
      <c r="X214" s="6" t="s">
        <v>373</v>
      </c>
      <c r="Y214" s="1" t="s">
        <v>374</v>
      </c>
    </row>
    <row r="215" spans="16:25">
      <c r="P215" s="2" t="s">
        <v>638</v>
      </c>
      <c r="Q215" s="2"/>
      <c r="R215" s="2"/>
      <c r="S215" s="3">
        <v>0</v>
      </c>
      <c r="T215" s="11">
        <f t="shared" si="4"/>
        <v>0</v>
      </c>
      <c r="U215" s="1" t="s">
        <v>371</v>
      </c>
      <c r="V215" s="2"/>
      <c r="W215" s="2"/>
      <c r="X215" s="6" t="s">
        <v>373</v>
      </c>
      <c r="Y215" s="1" t="s">
        <v>374</v>
      </c>
    </row>
    <row r="216" spans="16:25">
      <c r="P216" s="2" t="s">
        <v>639</v>
      </c>
      <c r="Q216" s="2"/>
      <c r="R216" s="2"/>
      <c r="S216" s="3">
        <v>0</v>
      </c>
      <c r="T216" s="11">
        <f t="shared" si="4"/>
        <v>0</v>
      </c>
      <c r="U216" s="1" t="s">
        <v>371</v>
      </c>
      <c r="V216" s="2"/>
      <c r="W216" s="2"/>
      <c r="X216" s="6" t="s">
        <v>373</v>
      </c>
      <c r="Y216" s="1" t="s">
        <v>374</v>
      </c>
    </row>
    <row r="217" spans="16:25">
      <c r="P217" s="2" t="s">
        <v>640</v>
      </c>
      <c r="Q217" s="2"/>
      <c r="R217" s="2"/>
      <c r="S217" s="3">
        <v>252.88</v>
      </c>
      <c r="T217" s="11">
        <f t="shared" si="4"/>
        <v>2.0872436135528868E-3</v>
      </c>
      <c r="U217" s="1" t="s">
        <v>371</v>
      </c>
      <c r="V217" s="2"/>
      <c r="W217" s="2"/>
      <c r="X217" s="6" t="s">
        <v>373</v>
      </c>
      <c r="Y217" s="1" t="s">
        <v>374</v>
      </c>
    </row>
    <row r="218" spans="16:25">
      <c r="P218" s="2" t="s">
        <v>641</v>
      </c>
      <c r="Q218" s="2"/>
      <c r="R218" s="2"/>
      <c r="S218" s="3">
        <v>221.27</v>
      </c>
      <c r="T218" s="11">
        <f t="shared" si="4"/>
        <v>1.826338161858776E-3</v>
      </c>
      <c r="U218" s="1" t="s">
        <v>371</v>
      </c>
      <c r="V218" s="2"/>
      <c r="W218" s="2"/>
      <c r="X218" s="6" t="s">
        <v>373</v>
      </c>
      <c r="Y218" s="1" t="s">
        <v>374</v>
      </c>
    </row>
    <row r="219" spans="16:25">
      <c r="P219" s="2" t="s">
        <v>642</v>
      </c>
      <c r="Q219" s="2"/>
      <c r="R219" s="2"/>
      <c r="S219" s="3">
        <v>252.88</v>
      </c>
      <c r="T219" s="11">
        <f t="shared" si="4"/>
        <v>2.0872436135528868E-3</v>
      </c>
      <c r="U219" s="1" t="s">
        <v>371</v>
      </c>
      <c r="V219" s="2"/>
      <c r="W219" s="2"/>
      <c r="X219" s="6" t="s">
        <v>373</v>
      </c>
      <c r="Y219" s="1" t="s">
        <v>374</v>
      </c>
    </row>
    <row r="220" spans="16:25">
      <c r="P220" s="2" t="s">
        <v>643</v>
      </c>
      <c r="Q220" s="2"/>
      <c r="R220" s="2"/>
      <c r="S220" s="3">
        <v>252.88</v>
      </c>
      <c r="T220" s="11">
        <f t="shared" si="4"/>
        <v>2.0872436135528868E-3</v>
      </c>
      <c r="U220" s="1" t="s">
        <v>371</v>
      </c>
      <c r="V220" s="2"/>
      <c r="W220" s="2"/>
      <c r="X220" s="6" t="s">
        <v>373</v>
      </c>
      <c r="Y220" s="1" t="s">
        <v>374</v>
      </c>
    </row>
    <row r="221" spans="16:25">
      <c r="P221" s="2" t="s">
        <v>644</v>
      </c>
      <c r="Q221" s="2"/>
      <c r="R221" s="2"/>
      <c r="S221" s="3">
        <v>221.27</v>
      </c>
      <c r="T221" s="11">
        <f t="shared" si="4"/>
        <v>1.826338161858776E-3</v>
      </c>
      <c r="U221" s="1" t="s">
        <v>371</v>
      </c>
      <c r="V221" s="2"/>
      <c r="W221" s="2"/>
      <c r="X221" s="6" t="s">
        <v>373</v>
      </c>
      <c r="Y221" s="1" t="s">
        <v>374</v>
      </c>
    </row>
    <row r="222" spans="16:25">
      <c r="P222" s="2" t="s">
        <v>645</v>
      </c>
      <c r="Q222" s="2"/>
      <c r="R222" s="2"/>
      <c r="S222" s="3">
        <v>221.27</v>
      </c>
      <c r="T222" s="11">
        <f t="shared" ref="T222:T285" si="5">S222/$B$2</f>
        <v>1.826338161858776E-3</v>
      </c>
      <c r="U222" s="1" t="s">
        <v>371</v>
      </c>
      <c r="V222" s="2"/>
      <c r="W222" s="2"/>
      <c r="X222" s="6" t="s">
        <v>373</v>
      </c>
      <c r="Y222" s="1" t="s">
        <v>374</v>
      </c>
    </row>
    <row r="223" spans="16:25">
      <c r="P223" s="2" t="s">
        <v>646</v>
      </c>
      <c r="Q223" s="2"/>
      <c r="R223" s="2"/>
      <c r="S223" s="3">
        <v>252.88</v>
      </c>
      <c r="T223" s="11">
        <f t="shared" si="5"/>
        <v>2.0872436135528868E-3</v>
      </c>
      <c r="U223" s="1" t="s">
        <v>371</v>
      </c>
      <c r="V223" s="2"/>
      <c r="W223" s="2"/>
      <c r="X223" s="6" t="s">
        <v>373</v>
      </c>
      <c r="Y223" s="1" t="s">
        <v>374</v>
      </c>
    </row>
    <row r="224" spans="16:25">
      <c r="P224" s="2" t="s">
        <v>647</v>
      </c>
      <c r="Q224" s="2"/>
      <c r="R224" s="2"/>
      <c r="S224" s="3">
        <v>252.88</v>
      </c>
      <c r="T224" s="11">
        <f t="shared" si="5"/>
        <v>2.0872436135528868E-3</v>
      </c>
      <c r="U224" s="1" t="s">
        <v>371</v>
      </c>
      <c r="V224" s="2"/>
      <c r="W224" s="2"/>
      <c r="X224" s="6" t="s">
        <v>373</v>
      </c>
      <c r="Y224" s="1" t="s">
        <v>374</v>
      </c>
    </row>
    <row r="225" spans="16:25">
      <c r="P225" s="2" t="s">
        <v>648</v>
      </c>
      <c r="Q225" s="2"/>
      <c r="R225" s="2"/>
      <c r="S225" s="3">
        <v>252.88</v>
      </c>
      <c r="T225" s="11">
        <f t="shared" si="5"/>
        <v>2.0872436135528868E-3</v>
      </c>
      <c r="U225" s="1" t="s">
        <v>371</v>
      </c>
      <c r="V225" s="2"/>
      <c r="W225" s="2"/>
      <c r="X225" s="6" t="s">
        <v>373</v>
      </c>
      <c r="Y225" s="1" t="s">
        <v>374</v>
      </c>
    </row>
    <row r="226" spans="16:25">
      <c r="P226" s="2" t="s">
        <v>649</v>
      </c>
      <c r="Q226" s="2"/>
      <c r="R226" s="2"/>
      <c r="S226" s="3">
        <v>252.88</v>
      </c>
      <c r="T226" s="11">
        <f t="shared" si="5"/>
        <v>2.0872436135528868E-3</v>
      </c>
      <c r="U226" s="1" t="s">
        <v>371</v>
      </c>
      <c r="V226" s="2"/>
      <c r="W226" s="2"/>
      <c r="X226" s="6" t="s">
        <v>373</v>
      </c>
      <c r="Y226" s="1" t="s">
        <v>374</v>
      </c>
    </row>
    <row r="227" spans="16:25">
      <c r="P227" s="2" t="s">
        <v>650</v>
      </c>
      <c r="Q227" s="2"/>
      <c r="R227" s="2"/>
      <c r="S227" s="3">
        <v>221.27</v>
      </c>
      <c r="T227" s="11">
        <f t="shared" si="5"/>
        <v>1.826338161858776E-3</v>
      </c>
      <c r="U227" s="1" t="s">
        <v>371</v>
      </c>
      <c r="V227" s="2"/>
      <c r="W227" s="2"/>
      <c r="X227" s="6" t="s">
        <v>373</v>
      </c>
      <c r="Y227" s="1" t="s">
        <v>374</v>
      </c>
    </row>
    <row r="228" spans="16:25">
      <c r="P228" s="2" t="s">
        <v>651</v>
      </c>
      <c r="Q228" s="2"/>
      <c r="R228" s="2"/>
      <c r="S228" s="3">
        <v>252.88</v>
      </c>
      <c r="T228" s="11">
        <f t="shared" si="5"/>
        <v>2.0872436135528868E-3</v>
      </c>
      <c r="U228" s="1" t="s">
        <v>371</v>
      </c>
      <c r="V228" s="2"/>
      <c r="W228" s="2"/>
      <c r="X228" s="6" t="s">
        <v>373</v>
      </c>
      <c r="Y228" s="1" t="s">
        <v>374</v>
      </c>
    </row>
    <row r="229" spans="16:25">
      <c r="P229" s="2" t="s">
        <v>652</v>
      </c>
      <c r="Q229" s="2"/>
      <c r="R229" s="2"/>
      <c r="S229" s="3">
        <v>252.88</v>
      </c>
      <c r="T229" s="11">
        <f t="shared" si="5"/>
        <v>2.0872436135528868E-3</v>
      </c>
      <c r="U229" s="1" t="s">
        <v>371</v>
      </c>
      <c r="V229" s="2"/>
      <c r="W229" s="2"/>
      <c r="X229" s="6" t="s">
        <v>373</v>
      </c>
      <c r="Y229" s="1" t="s">
        <v>374</v>
      </c>
    </row>
    <row r="230" spans="16:25">
      <c r="P230" s="2" t="s">
        <v>653</v>
      </c>
      <c r="Q230" s="2"/>
      <c r="R230" s="2"/>
      <c r="S230" s="3">
        <v>220.72499999999999</v>
      </c>
      <c r="T230" s="11">
        <f t="shared" si="5"/>
        <v>1.8218397920019809E-3</v>
      </c>
      <c r="U230" s="1" t="s">
        <v>371</v>
      </c>
      <c r="V230" s="2"/>
      <c r="W230" s="2"/>
      <c r="X230" s="6" t="s">
        <v>373</v>
      </c>
      <c r="Y230" s="1" t="s">
        <v>374</v>
      </c>
    </row>
    <row r="231" spans="16:25">
      <c r="P231" s="2" t="s">
        <v>654</v>
      </c>
      <c r="Q231" s="2"/>
      <c r="R231" s="2"/>
      <c r="S231" s="3">
        <v>252.88</v>
      </c>
      <c r="T231" s="11">
        <f t="shared" si="5"/>
        <v>2.0872436135528868E-3</v>
      </c>
      <c r="U231" s="1" t="s">
        <v>371</v>
      </c>
      <c r="V231" s="2"/>
      <c r="W231" s="2"/>
      <c r="X231" s="6" t="s">
        <v>373</v>
      </c>
      <c r="Y231" s="1" t="s">
        <v>374</v>
      </c>
    </row>
    <row r="232" spans="16:25">
      <c r="P232" s="2" t="s">
        <v>655</v>
      </c>
      <c r="Q232" s="2"/>
      <c r="R232" s="2"/>
      <c r="S232" s="3">
        <v>252.88</v>
      </c>
      <c r="T232" s="11">
        <f t="shared" si="5"/>
        <v>2.0872436135528868E-3</v>
      </c>
      <c r="U232" s="1" t="s">
        <v>371</v>
      </c>
      <c r="V232" s="2"/>
      <c r="W232" s="2"/>
      <c r="X232" s="6" t="s">
        <v>373</v>
      </c>
      <c r="Y232" s="1" t="s">
        <v>374</v>
      </c>
    </row>
    <row r="233" spans="16:25">
      <c r="P233" s="2" t="s">
        <v>656</v>
      </c>
      <c r="Q233" s="2"/>
      <c r="R233" s="2"/>
      <c r="S233" s="3">
        <v>252.88</v>
      </c>
      <c r="T233" s="11">
        <f t="shared" si="5"/>
        <v>2.0872436135528868E-3</v>
      </c>
      <c r="U233" s="1" t="s">
        <v>371</v>
      </c>
      <c r="V233" s="2"/>
      <c r="W233" s="2"/>
      <c r="X233" s="6" t="s">
        <v>373</v>
      </c>
      <c r="Y233" s="1" t="s">
        <v>374</v>
      </c>
    </row>
    <row r="234" spans="16:25">
      <c r="P234" s="2" t="s">
        <v>657</v>
      </c>
      <c r="Q234" s="2"/>
      <c r="R234" s="2"/>
      <c r="S234" s="3">
        <v>268.685</v>
      </c>
      <c r="T234" s="11">
        <f t="shared" si="5"/>
        <v>2.2176963393999421E-3</v>
      </c>
      <c r="U234" s="1" t="s">
        <v>371</v>
      </c>
      <c r="V234" s="2"/>
      <c r="W234" s="2"/>
      <c r="X234" s="6" t="s">
        <v>373</v>
      </c>
      <c r="Y234" s="1" t="s">
        <v>374</v>
      </c>
    </row>
    <row r="235" spans="16:25">
      <c r="P235" s="2" t="s">
        <v>658</v>
      </c>
      <c r="Q235" s="2"/>
      <c r="R235" s="2"/>
      <c r="S235" s="3">
        <v>223.3</v>
      </c>
      <c r="T235" s="11">
        <f t="shared" si="5"/>
        <v>1.8430935578391317E-3</v>
      </c>
      <c r="U235" s="1" t="s">
        <v>371</v>
      </c>
      <c r="V235" s="2"/>
      <c r="W235" s="2"/>
      <c r="X235" s="6" t="s">
        <v>373</v>
      </c>
      <c r="Y235" s="1" t="s">
        <v>374</v>
      </c>
    </row>
    <row r="236" spans="16:25">
      <c r="P236" s="2" t="s">
        <v>659</v>
      </c>
      <c r="Q236" s="2"/>
      <c r="R236" s="2"/>
      <c r="S236" s="3">
        <v>223.3</v>
      </c>
      <c r="T236" s="11">
        <f t="shared" si="5"/>
        <v>1.8430935578391317E-3</v>
      </c>
      <c r="U236" s="1" t="s">
        <v>371</v>
      </c>
      <c r="V236" s="2"/>
      <c r="W236" s="2"/>
      <c r="X236" s="6" t="s">
        <v>373</v>
      </c>
      <c r="Y236" s="1" t="s">
        <v>374</v>
      </c>
    </row>
    <row r="237" spans="16:25">
      <c r="P237" s="2" t="s">
        <v>660</v>
      </c>
      <c r="Q237" s="2"/>
      <c r="R237" s="2"/>
      <c r="S237" s="3">
        <v>255.2</v>
      </c>
      <c r="T237" s="11">
        <f t="shared" si="5"/>
        <v>2.1063926375304363E-3</v>
      </c>
      <c r="U237" s="1" t="s">
        <v>371</v>
      </c>
      <c r="V237" s="2"/>
      <c r="W237" s="2"/>
      <c r="X237" s="6" t="s">
        <v>373</v>
      </c>
      <c r="Y237" s="1" t="s">
        <v>374</v>
      </c>
    </row>
    <row r="238" spans="16:25">
      <c r="P238" s="2" t="s">
        <v>661</v>
      </c>
      <c r="Q238" s="2"/>
      <c r="R238" s="2"/>
      <c r="S238" s="3">
        <v>287.10000000000002</v>
      </c>
      <c r="T238" s="11">
        <f t="shared" si="5"/>
        <v>2.3696917172217409E-3</v>
      </c>
      <c r="U238" s="1" t="s">
        <v>371</v>
      </c>
      <c r="V238" s="2"/>
      <c r="W238" s="2"/>
      <c r="X238" s="6" t="s">
        <v>373</v>
      </c>
      <c r="Y238" s="1" t="s">
        <v>374</v>
      </c>
    </row>
    <row r="239" spans="16:25">
      <c r="P239" s="2" t="s">
        <v>662</v>
      </c>
      <c r="Q239" s="2"/>
      <c r="R239" s="2"/>
      <c r="S239" s="3">
        <v>220.55</v>
      </c>
      <c r="T239" s="11">
        <f t="shared" si="5"/>
        <v>1.8203953613140193E-3</v>
      </c>
      <c r="U239" s="1" t="s">
        <v>371</v>
      </c>
      <c r="V239" s="2"/>
      <c r="W239" s="2"/>
      <c r="X239" s="6" t="s">
        <v>373</v>
      </c>
      <c r="Y239" s="1" t="s">
        <v>374</v>
      </c>
    </row>
    <row r="240" spans="16:25">
      <c r="P240" s="2" t="s">
        <v>663</v>
      </c>
      <c r="Q240" s="2"/>
      <c r="R240" s="2"/>
      <c r="S240" s="3">
        <v>223.3</v>
      </c>
      <c r="T240" s="11">
        <f t="shared" si="5"/>
        <v>1.8430935578391317E-3</v>
      </c>
      <c r="U240" s="1" t="s">
        <v>371</v>
      </c>
      <c r="V240" s="2"/>
      <c r="W240" s="2"/>
      <c r="X240" s="6" t="s">
        <v>373</v>
      </c>
      <c r="Y240" s="1" t="s">
        <v>374</v>
      </c>
    </row>
    <row r="241" spans="16:25">
      <c r="P241" s="2" t="s">
        <v>664</v>
      </c>
      <c r="Q241" s="2"/>
      <c r="R241" s="2"/>
      <c r="S241" s="3">
        <v>254.65</v>
      </c>
      <c r="T241" s="11">
        <f t="shared" si="5"/>
        <v>2.1018529982254138E-3</v>
      </c>
      <c r="U241" s="1" t="s">
        <v>371</v>
      </c>
      <c r="V241" s="2"/>
      <c r="W241" s="2"/>
      <c r="X241" s="6" t="s">
        <v>373</v>
      </c>
      <c r="Y241" s="1" t="s">
        <v>374</v>
      </c>
    </row>
    <row r="242" spans="16:25">
      <c r="P242" s="2" t="s">
        <v>665</v>
      </c>
      <c r="Q242" s="2"/>
      <c r="R242" s="2"/>
      <c r="S242" s="3">
        <v>255.2</v>
      </c>
      <c r="T242" s="11">
        <f t="shared" si="5"/>
        <v>2.1063926375304363E-3</v>
      </c>
      <c r="U242" s="1" t="s">
        <v>371</v>
      </c>
      <c r="V242" s="2"/>
      <c r="W242" s="2"/>
      <c r="X242" s="6" t="s">
        <v>373</v>
      </c>
      <c r="Y242" s="1" t="s">
        <v>374</v>
      </c>
    </row>
    <row r="243" spans="16:25">
      <c r="P243" s="2" t="s">
        <v>666</v>
      </c>
      <c r="Q243" s="2"/>
      <c r="R243" s="2"/>
      <c r="S243" s="3">
        <v>207.35</v>
      </c>
      <c r="T243" s="11">
        <f t="shared" si="5"/>
        <v>1.7114440179934794E-3</v>
      </c>
      <c r="U243" s="1" t="s">
        <v>371</v>
      </c>
      <c r="V243" s="2"/>
      <c r="W243" s="2"/>
      <c r="X243" s="6" t="s">
        <v>373</v>
      </c>
      <c r="Y243" s="1" t="s">
        <v>374</v>
      </c>
    </row>
    <row r="244" spans="16:25">
      <c r="P244" s="2" t="s">
        <v>667</v>
      </c>
      <c r="Q244" s="2"/>
      <c r="R244" s="2"/>
      <c r="S244" s="3">
        <v>223.3</v>
      </c>
      <c r="T244" s="11">
        <f t="shared" si="5"/>
        <v>1.8430935578391317E-3</v>
      </c>
      <c r="U244" s="1" t="s">
        <v>371</v>
      </c>
      <c r="V244" s="2"/>
      <c r="W244" s="2"/>
      <c r="X244" s="6" t="s">
        <v>373</v>
      </c>
      <c r="Y244" s="1" t="s">
        <v>374</v>
      </c>
    </row>
    <row r="245" spans="16:25">
      <c r="P245" s="2" t="s">
        <v>668</v>
      </c>
      <c r="Q245" s="2"/>
      <c r="R245" s="2"/>
      <c r="S245" s="3">
        <v>255.2</v>
      </c>
      <c r="T245" s="11">
        <f t="shared" si="5"/>
        <v>2.1063926375304363E-3</v>
      </c>
      <c r="U245" s="1" t="s">
        <v>371</v>
      </c>
      <c r="V245" s="2"/>
      <c r="W245" s="2"/>
      <c r="X245" s="6" t="s">
        <v>373</v>
      </c>
      <c r="Y245" s="1" t="s">
        <v>374</v>
      </c>
    </row>
    <row r="246" spans="16:25">
      <c r="P246" s="2" t="s">
        <v>669</v>
      </c>
      <c r="Q246" s="2"/>
      <c r="R246" s="2"/>
      <c r="S246" s="3">
        <v>255.2</v>
      </c>
      <c r="T246" s="11">
        <f t="shared" si="5"/>
        <v>2.1063926375304363E-3</v>
      </c>
      <c r="U246" s="1" t="s">
        <v>371</v>
      </c>
      <c r="V246" s="2"/>
      <c r="W246" s="2"/>
      <c r="X246" s="6" t="s">
        <v>373</v>
      </c>
      <c r="Y246" s="1" t="s">
        <v>374</v>
      </c>
    </row>
    <row r="247" spans="16:25">
      <c r="P247" s="2" t="s">
        <v>670</v>
      </c>
      <c r="Q247" s="2"/>
      <c r="R247" s="2"/>
      <c r="S247" s="3">
        <v>255.2</v>
      </c>
      <c r="T247" s="11">
        <f t="shared" si="5"/>
        <v>2.1063926375304363E-3</v>
      </c>
      <c r="U247" s="1" t="s">
        <v>371</v>
      </c>
      <c r="V247" s="2"/>
      <c r="W247" s="2"/>
      <c r="X247" s="6" t="s">
        <v>373</v>
      </c>
      <c r="Y247" s="1" t="s">
        <v>374</v>
      </c>
    </row>
    <row r="248" spans="16:25">
      <c r="P248" s="2" t="s">
        <v>671</v>
      </c>
      <c r="Q248" s="2"/>
      <c r="R248" s="2"/>
      <c r="S248" s="3">
        <v>255.2</v>
      </c>
      <c r="T248" s="11">
        <f t="shared" si="5"/>
        <v>2.1063926375304363E-3</v>
      </c>
      <c r="U248" s="1" t="s">
        <v>371</v>
      </c>
      <c r="V248" s="2"/>
      <c r="W248" s="2"/>
      <c r="X248" s="6" t="s">
        <v>373</v>
      </c>
      <c r="Y248" s="1" t="s">
        <v>374</v>
      </c>
    </row>
    <row r="249" spans="16:25">
      <c r="P249" s="2" t="s">
        <v>672</v>
      </c>
      <c r="Q249" s="2"/>
      <c r="R249" s="2"/>
      <c r="S249" s="3">
        <v>223.3</v>
      </c>
      <c r="T249" s="11">
        <f t="shared" si="5"/>
        <v>1.8430935578391317E-3</v>
      </c>
      <c r="U249" s="1" t="s">
        <v>371</v>
      </c>
      <c r="V249" s="2"/>
      <c r="W249" s="2"/>
      <c r="X249" s="6" t="s">
        <v>373</v>
      </c>
      <c r="Y249" s="1" t="s">
        <v>374</v>
      </c>
    </row>
    <row r="250" spans="16:25">
      <c r="P250" s="2" t="s">
        <v>673</v>
      </c>
      <c r="Q250" s="2"/>
      <c r="R250" s="2"/>
      <c r="S250" s="3">
        <v>255.2</v>
      </c>
      <c r="T250" s="11">
        <f t="shared" si="5"/>
        <v>2.1063926375304363E-3</v>
      </c>
      <c r="U250" s="1" t="s">
        <v>371</v>
      </c>
      <c r="V250" s="2"/>
      <c r="W250" s="2"/>
      <c r="X250" s="6" t="s">
        <v>373</v>
      </c>
      <c r="Y250" s="1" t="s">
        <v>374</v>
      </c>
    </row>
    <row r="251" spans="16:25">
      <c r="P251" s="2" t="s">
        <v>674</v>
      </c>
      <c r="Q251" s="2"/>
      <c r="R251" s="2"/>
      <c r="S251" s="3">
        <v>255.2</v>
      </c>
      <c r="T251" s="11">
        <f t="shared" si="5"/>
        <v>2.1063926375304363E-3</v>
      </c>
      <c r="U251" s="1" t="s">
        <v>371</v>
      </c>
      <c r="V251" s="2"/>
      <c r="W251" s="2"/>
      <c r="X251" s="6" t="s">
        <v>373</v>
      </c>
      <c r="Y251" s="1" t="s">
        <v>374</v>
      </c>
    </row>
    <row r="252" spans="16:25">
      <c r="P252" s="2" t="s">
        <v>675</v>
      </c>
      <c r="Q252" s="2"/>
      <c r="R252" s="2"/>
      <c r="S252" s="3">
        <v>223.3</v>
      </c>
      <c r="T252" s="11">
        <f t="shared" si="5"/>
        <v>1.8430935578391317E-3</v>
      </c>
      <c r="U252" s="1" t="s">
        <v>371</v>
      </c>
      <c r="V252" s="2"/>
      <c r="W252" s="2"/>
      <c r="X252" s="6" t="s">
        <v>373</v>
      </c>
      <c r="Y252" s="1" t="s">
        <v>374</v>
      </c>
    </row>
    <row r="253" spans="16:25">
      <c r="P253" s="2" t="s">
        <v>676</v>
      </c>
      <c r="Q253" s="2"/>
      <c r="R253" s="2"/>
      <c r="S253" s="3">
        <v>221.27</v>
      </c>
      <c r="T253" s="11">
        <f t="shared" si="5"/>
        <v>1.826338161858776E-3</v>
      </c>
      <c r="U253" s="1" t="s">
        <v>371</v>
      </c>
      <c r="V253" s="2"/>
      <c r="W253" s="2"/>
      <c r="X253" s="6" t="s">
        <v>373</v>
      </c>
      <c r="Y253" s="1" t="s">
        <v>374</v>
      </c>
    </row>
    <row r="254" spans="16:25">
      <c r="P254" s="2" t="s">
        <v>677</v>
      </c>
      <c r="Q254" s="2"/>
      <c r="R254" s="2"/>
      <c r="S254" s="3">
        <v>252.88</v>
      </c>
      <c r="T254" s="11">
        <f t="shared" si="5"/>
        <v>2.0872436135528868E-3</v>
      </c>
      <c r="U254" s="1" t="s">
        <v>371</v>
      </c>
      <c r="V254" s="2"/>
      <c r="W254" s="2"/>
      <c r="X254" s="6" t="s">
        <v>373</v>
      </c>
      <c r="Y254" s="1" t="s">
        <v>374</v>
      </c>
    </row>
    <row r="255" spans="16:25">
      <c r="P255" s="2" t="s">
        <v>678</v>
      </c>
      <c r="Q255" s="2"/>
      <c r="R255" s="2"/>
      <c r="S255" s="3">
        <v>252.88</v>
      </c>
      <c r="T255" s="11">
        <f t="shared" si="5"/>
        <v>2.0872436135528868E-3</v>
      </c>
      <c r="U255" s="1" t="s">
        <v>371</v>
      </c>
      <c r="V255" s="2"/>
      <c r="W255" s="2"/>
      <c r="X255" s="6" t="s">
        <v>373</v>
      </c>
      <c r="Y255" s="1" t="s">
        <v>374</v>
      </c>
    </row>
    <row r="256" spans="16:25">
      <c r="P256" s="2" t="s">
        <v>679</v>
      </c>
      <c r="Q256" s="2"/>
      <c r="R256" s="2"/>
      <c r="S256" s="3">
        <v>252.88</v>
      </c>
      <c r="T256" s="11">
        <f t="shared" si="5"/>
        <v>2.0872436135528868E-3</v>
      </c>
      <c r="U256" s="1" t="s">
        <v>371</v>
      </c>
      <c r="V256" s="2"/>
      <c r="W256" s="2"/>
      <c r="X256" s="6" t="s">
        <v>373</v>
      </c>
      <c r="Y256" s="1" t="s">
        <v>374</v>
      </c>
    </row>
    <row r="257" spans="16:25">
      <c r="P257" s="2" t="s">
        <v>680</v>
      </c>
      <c r="Q257" s="2"/>
      <c r="R257" s="2"/>
      <c r="S257" s="3">
        <v>221.27</v>
      </c>
      <c r="T257" s="11">
        <f t="shared" si="5"/>
        <v>1.826338161858776E-3</v>
      </c>
      <c r="U257" s="1" t="s">
        <v>371</v>
      </c>
      <c r="V257" s="2"/>
      <c r="W257" s="2"/>
      <c r="X257" s="6" t="s">
        <v>373</v>
      </c>
      <c r="Y257" s="1" t="s">
        <v>374</v>
      </c>
    </row>
    <row r="258" spans="16:25">
      <c r="P258" s="2" t="s">
        <v>681</v>
      </c>
      <c r="Q258" s="2"/>
      <c r="R258" s="2"/>
      <c r="S258" s="3">
        <v>252.88</v>
      </c>
      <c r="T258" s="11">
        <f t="shared" si="5"/>
        <v>2.0872436135528868E-3</v>
      </c>
      <c r="U258" s="1" t="s">
        <v>371</v>
      </c>
      <c r="V258" s="2"/>
      <c r="W258" s="2"/>
      <c r="X258" s="6" t="s">
        <v>373</v>
      </c>
      <c r="Y258" s="1" t="s">
        <v>374</v>
      </c>
    </row>
    <row r="259" spans="16:25">
      <c r="P259" s="2" t="s">
        <v>682</v>
      </c>
      <c r="Q259" s="2"/>
      <c r="R259" s="2"/>
      <c r="S259" s="3">
        <v>252.88</v>
      </c>
      <c r="T259" s="11">
        <f t="shared" si="5"/>
        <v>2.0872436135528868E-3</v>
      </c>
      <c r="U259" s="1" t="s">
        <v>371</v>
      </c>
      <c r="V259" s="2"/>
      <c r="W259" s="2"/>
      <c r="X259" s="6" t="s">
        <v>373</v>
      </c>
      <c r="Y259" s="1" t="s">
        <v>374</v>
      </c>
    </row>
    <row r="260" spans="16:25">
      <c r="P260" s="2" t="s">
        <v>683</v>
      </c>
      <c r="Q260" s="2"/>
      <c r="R260" s="2"/>
      <c r="S260" s="3">
        <v>252.88</v>
      </c>
      <c r="T260" s="11">
        <f t="shared" si="5"/>
        <v>2.0872436135528868E-3</v>
      </c>
      <c r="U260" s="1" t="s">
        <v>371</v>
      </c>
      <c r="V260" s="2"/>
      <c r="W260" s="2"/>
      <c r="X260" s="6" t="s">
        <v>373</v>
      </c>
      <c r="Y260" s="1" t="s">
        <v>374</v>
      </c>
    </row>
    <row r="261" spans="16:25">
      <c r="P261" s="2" t="s">
        <v>684</v>
      </c>
      <c r="Q261" s="2"/>
      <c r="R261" s="2"/>
      <c r="S261" s="3">
        <v>221.27</v>
      </c>
      <c r="T261" s="11">
        <f t="shared" si="5"/>
        <v>1.826338161858776E-3</v>
      </c>
      <c r="U261" s="1" t="s">
        <v>371</v>
      </c>
      <c r="V261" s="2"/>
      <c r="W261" s="2"/>
      <c r="X261" s="6" t="s">
        <v>373</v>
      </c>
      <c r="Y261" s="1" t="s">
        <v>374</v>
      </c>
    </row>
    <row r="262" spans="16:25">
      <c r="P262" s="2" t="s">
        <v>685</v>
      </c>
      <c r="Q262" s="2"/>
      <c r="R262" s="2"/>
      <c r="S262" s="3">
        <v>252.88</v>
      </c>
      <c r="T262" s="11">
        <f t="shared" si="5"/>
        <v>2.0872436135528868E-3</v>
      </c>
      <c r="U262" s="1" t="s">
        <v>371</v>
      </c>
      <c r="V262" s="2"/>
      <c r="W262" s="2"/>
      <c r="X262" s="6" t="s">
        <v>373</v>
      </c>
      <c r="Y262" s="1" t="s">
        <v>374</v>
      </c>
    </row>
    <row r="263" spans="16:25">
      <c r="P263" s="2" t="s">
        <v>686</v>
      </c>
      <c r="Q263" s="2"/>
      <c r="R263" s="2"/>
      <c r="S263" s="3">
        <v>252.88</v>
      </c>
      <c r="T263" s="11">
        <f t="shared" si="5"/>
        <v>2.0872436135528868E-3</v>
      </c>
      <c r="U263" s="1" t="s">
        <v>371</v>
      </c>
      <c r="V263" s="2"/>
      <c r="W263" s="2"/>
      <c r="X263" s="6" t="s">
        <v>373</v>
      </c>
      <c r="Y263" s="1" t="s">
        <v>374</v>
      </c>
    </row>
    <row r="264" spans="16:25">
      <c r="P264" s="2" t="s">
        <v>687</v>
      </c>
      <c r="Q264" s="2"/>
      <c r="R264" s="2"/>
      <c r="S264" s="3">
        <v>252.88</v>
      </c>
      <c r="T264" s="11">
        <f t="shared" si="5"/>
        <v>2.0872436135528868E-3</v>
      </c>
      <c r="U264" s="1" t="s">
        <v>371</v>
      </c>
      <c r="V264" s="2"/>
      <c r="W264" s="2"/>
      <c r="X264" s="6" t="s">
        <v>373</v>
      </c>
      <c r="Y264" s="1" t="s">
        <v>374</v>
      </c>
    </row>
    <row r="265" spans="16:25">
      <c r="P265" s="2" t="s">
        <v>688</v>
      </c>
      <c r="Q265" s="2"/>
      <c r="R265" s="2"/>
      <c r="S265" s="3">
        <v>252.88</v>
      </c>
      <c r="T265" s="11">
        <f t="shared" si="5"/>
        <v>2.0872436135528868E-3</v>
      </c>
      <c r="U265" s="1" t="s">
        <v>371</v>
      </c>
      <c r="V265" s="2"/>
      <c r="W265" s="2"/>
      <c r="X265" s="6" t="s">
        <v>373</v>
      </c>
      <c r="Y265" s="1" t="s">
        <v>374</v>
      </c>
    </row>
    <row r="266" spans="16:25">
      <c r="P266" s="2" t="s">
        <v>689</v>
      </c>
      <c r="Q266" s="2"/>
      <c r="R266" s="2"/>
      <c r="S266" s="3">
        <v>252.88</v>
      </c>
      <c r="T266" s="11">
        <f t="shared" si="5"/>
        <v>2.0872436135528868E-3</v>
      </c>
      <c r="U266" s="1" t="s">
        <v>371</v>
      </c>
      <c r="V266" s="2"/>
      <c r="W266" s="2"/>
      <c r="X266" s="6" t="s">
        <v>373</v>
      </c>
      <c r="Y266" s="1" t="s">
        <v>374</v>
      </c>
    </row>
    <row r="267" spans="16:25">
      <c r="P267" s="2" t="s">
        <v>690</v>
      </c>
      <c r="Q267" s="2"/>
      <c r="R267" s="2"/>
      <c r="S267" s="3">
        <v>221.27</v>
      </c>
      <c r="T267" s="11">
        <f t="shared" si="5"/>
        <v>1.826338161858776E-3</v>
      </c>
      <c r="U267" s="1" t="s">
        <v>371</v>
      </c>
      <c r="V267" s="2"/>
      <c r="W267" s="2"/>
      <c r="X267" s="6" t="s">
        <v>373</v>
      </c>
      <c r="Y267" s="1" t="s">
        <v>374</v>
      </c>
    </row>
    <row r="268" spans="16:25">
      <c r="P268" s="2" t="s">
        <v>691</v>
      </c>
      <c r="Q268" s="2"/>
      <c r="R268" s="2"/>
      <c r="S268" s="3">
        <v>221.27</v>
      </c>
      <c r="T268" s="11">
        <f t="shared" si="5"/>
        <v>1.826338161858776E-3</v>
      </c>
      <c r="U268" s="1" t="s">
        <v>371</v>
      </c>
      <c r="V268" s="2"/>
      <c r="W268" s="2"/>
      <c r="X268" s="6" t="s">
        <v>373</v>
      </c>
      <c r="Y268" s="1" t="s">
        <v>374</v>
      </c>
    </row>
    <row r="269" spans="16:25">
      <c r="P269" s="2" t="s">
        <v>692</v>
      </c>
      <c r="Q269" s="2"/>
      <c r="R269" s="2"/>
      <c r="S269" s="3">
        <v>252.88</v>
      </c>
      <c r="T269" s="11">
        <f t="shared" si="5"/>
        <v>2.0872436135528868E-3</v>
      </c>
      <c r="U269" s="1" t="s">
        <v>371</v>
      </c>
      <c r="V269" s="2"/>
      <c r="W269" s="2"/>
      <c r="X269" s="6" t="s">
        <v>373</v>
      </c>
      <c r="Y269" s="1" t="s">
        <v>374</v>
      </c>
    </row>
    <row r="270" spans="16:25">
      <c r="P270" s="2" t="s">
        <v>693</v>
      </c>
      <c r="Q270" s="2"/>
      <c r="R270" s="2"/>
      <c r="S270" s="3">
        <v>252.88</v>
      </c>
      <c r="T270" s="11">
        <f t="shared" si="5"/>
        <v>2.0872436135528868E-3</v>
      </c>
      <c r="U270" s="1" t="s">
        <v>371</v>
      </c>
      <c r="V270" s="2"/>
      <c r="W270" s="2"/>
      <c r="X270" s="6" t="s">
        <v>373</v>
      </c>
      <c r="Y270" s="1" t="s">
        <v>374</v>
      </c>
    </row>
    <row r="271" spans="16:25">
      <c r="P271" s="2" t="s">
        <v>694</v>
      </c>
      <c r="Q271" s="2"/>
      <c r="R271" s="2"/>
      <c r="S271" s="3">
        <v>223.3</v>
      </c>
      <c r="T271" s="11">
        <f t="shared" si="5"/>
        <v>1.8430935578391317E-3</v>
      </c>
      <c r="U271" s="1" t="s">
        <v>371</v>
      </c>
      <c r="V271" s="2"/>
      <c r="W271" s="2"/>
      <c r="X271" s="6" t="s">
        <v>373</v>
      </c>
      <c r="Y271" s="1" t="s">
        <v>374</v>
      </c>
    </row>
    <row r="272" spans="16:25">
      <c r="P272" s="2" t="s">
        <v>695</v>
      </c>
      <c r="Q272" s="2"/>
      <c r="R272" s="2"/>
      <c r="S272" s="3">
        <v>223.3</v>
      </c>
      <c r="T272" s="11">
        <f t="shared" si="5"/>
        <v>1.8430935578391317E-3</v>
      </c>
      <c r="U272" s="1" t="s">
        <v>371</v>
      </c>
      <c r="V272" s="2"/>
      <c r="W272" s="2"/>
      <c r="X272" s="6" t="s">
        <v>373</v>
      </c>
      <c r="Y272" s="1" t="s">
        <v>374</v>
      </c>
    </row>
    <row r="273" spans="16:25">
      <c r="P273" s="2" t="s">
        <v>696</v>
      </c>
      <c r="Q273" s="2"/>
      <c r="R273" s="2"/>
      <c r="S273" s="3">
        <v>223.3</v>
      </c>
      <c r="T273" s="11">
        <f t="shared" si="5"/>
        <v>1.8430935578391317E-3</v>
      </c>
      <c r="U273" s="1" t="s">
        <v>371</v>
      </c>
      <c r="V273" s="2"/>
      <c r="W273" s="2"/>
      <c r="X273" s="6" t="s">
        <v>373</v>
      </c>
      <c r="Y273" s="1" t="s">
        <v>374</v>
      </c>
    </row>
    <row r="274" spans="16:25">
      <c r="P274" s="2" t="s">
        <v>697</v>
      </c>
      <c r="Q274" s="2"/>
      <c r="R274" s="2"/>
      <c r="S274" s="3">
        <v>223.3</v>
      </c>
      <c r="T274" s="11">
        <f t="shared" si="5"/>
        <v>1.8430935578391317E-3</v>
      </c>
      <c r="U274" s="1" t="s">
        <v>371</v>
      </c>
      <c r="V274" s="2"/>
      <c r="W274" s="2"/>
      <c r="X274" s="6" t="s">
        <v>373</v>
      </c>
      <c r="Y274" s="1" t="s">
        <v>374</v>
      </c>
    </row>
    <row r="275" spans="16:25">
      <c r="P275" s="2" t="s">
        <v>698</v>
      </c>
      <c r="Q275" s="2"/>
      <c r="R275" s="2"/>
      <c r="S275" s="3">
        <v>255.2</v>
      </c>
      <c r="T275" s="11">
        <f t="shared" si="5"/>
        <v>2.1063926375304363E-3</v>
      </c>
      <c r="U275" s="1" t="s">
        <v>371</v>
      </c>
      <c r="V275" s="2"/>
      <c r="W275" s="2"/>
      <c r="X275" s="6" t="s">
        <v>373</v>
      </c>
      <c r="Y275" s="1" t="s">
        <v>374</v>
      </c>
    </row>
    <row r="276" spans="16:25">
      <c r="P276" s="2" t="s">
        <v>699</v>
      </c>
      <c r="Q276" s="2"/>
      <c r="R276" s="2"/>
      <c r="S276" s="3">
        <v>223.3</v>
      </c>
      <c r="T276" s="11">
        <f t="shared" si="5"/>
        <v>1.8430935578391317E-3</v>
      </c>
      <c r="U276" s="1" t="s">
        <v>371</v>
      </c>
      <c r="V276" s="2"/>
      <c r="W276" s="2"/>
      <c r="X276" s="6" t="s">
        <v>373</v>
      </c>
      <c r="Y276" s="1" t="s">
        <v>374</v>
      </c>
    </row>
    <row r="277" spans="16:25">
      <c r="P277" s="2" t="s">
        <v>700</v>
      </c>
      <c r="Q277" s="2"/>
      <c r="R277" s="2"/>
      <c r="S277" s="3">
        <v>191.4</v>
      </c>
      <c r="T277" s="11">
        <f t="shared" si="5"/>
        <v>1.5797944781478271E-3</v>
      </c>
      <c r="U277" s="1" t="s">
        <v>371</v>
      </c>
      <c r="V277" s="2"/>
      <c r="W277" s="2"/>
      <c r="X277" s="6" t="s">
        <v>373</v>
      </c>
      <c r="Y277" s="1" t="s">
        <v>374</v>
      </c>
    </row>
    <row r="278" spans="16:25">
      <c r="P278" s="2" t="s">
        <v>701</v>
      </c>
      <c r="Q278" s="2"/>
      <c r="R278" s="2"/>
      <c r="S278" s="3">
        <v>255.2</v>
      </c>
      <c r="T278" s="11">
        <f t="shared" si="5"/>
        <v>2.1063926375304363E-3</v>
      </c>
      <c r="U278" s="1" t="s">
        <v>371</v>
      </c>
      <c r="V278" s="2"/>
      <c r="W278" s="2"/>
      <c r="X278" s="6" t="s">
        <v>373</v>
      </c>
      <c r="Y278" s="1" t="s">
        <v>374</v>
      </c>
    </row>
    <row r="279" spans="16:25">
      <c r="P279" s="2" t="s">
        <v>702</v>
      </c>
      <c r="Q279" s="2"/>
      <c r="R279" s="2"/>
      <c r="S279" s="3">
        <v>255.2</v>
      </c>
      <c r="T279" s="11">
        <f t="shared" si="5"/>
        <v>2.1063926375304363E-3</v>
      </c>
      <c r="U279" s="1" t="s">
        <v>371</v>
      </c>
      <c r="V279" s="2"/>
      <c r="W279" s="2"/>
      <c r="X279" s="6" t="s">
        <v>373</v>
      </c>
      <c r="Y279" s="1" t="s">
        <v>374</v>
      </c>
    </row>
    <row r="280" spans="16:25">
      <c r="P280" s="2" t="s">
        <v>703</v>
      </c>
      <c r="Q280" s="2"/>
      <c r="R280" s="2"/>
      <c r="S280" s="3">
        <v>239.25</v>
      </c>
      <c r="T280" s="11">
        <f t="shared" si="5"/>
        <v>1.974743097684784E-3</v>
      </c>
      <c r="U280" s="1" t="s">
        <v>371</v>
      </c>
      <c r="V280" s="2"/>
      <c r="W280" s="2"/>
      <c r="X280" s="6" t="s">
        <v>373</v>
      </c>
      <c r="Y280" s="1" t="s">
        <v>374</v>
      </c>
    </row>
    <row r="281" spans="16:25">
      <c r="P281" s="2" t="s">
        <v>704</v>
      </c>
      <c r="Q281" s="2"/>
      <c r="R281" s="2"/>
      <c r="S281" s="3">
        <v>255.2</v>
      </c>
      <c r="T281" s="11">
        <f t="shared" si="5"/>
        <v>2.1063926375304363E-3</v>
      </c>
      <c r="U281" s="1" t="s">
        <v>371</v>
      </c>
      <c r="V281" s="2"/>
      <c r="W281" s="2"/>
      <c r="X281" s="6" t="s">
        <v>373</v>
      </c>
      <c r="Y281" s="1" t="s">
        <v>374</v>
      </c>
    </row>
    <row r="282" spans="16:25">
      <c r="P282" s="2" t="s">
        <v>705</v>
      </c>
      <c r="Q282" s="2"/>
      <c r="R282" s="2"/>
      <c r="S282" s="3">
        <v>223.3</v>
      </c>
      <c r="T282" s="11">
        <f t="shared" si="5"/>
        <v>1.8430935578391317E-3</v>
      </c>
      <c r="U282" s="1" t="s">
        <v>371</v>
      </c>
      <c r="V282" s="2"/>
      <c r="W282" s="2"/>
      <c r="X282" s="6" t="s">
        <v>373</v>
      </c>
      <c r="Y282" s="1" t="s">
        <v>374</v>
      </c>
    </row>
    <row r="283" spans="16:25">
      <c r="P283" s="2" t="s">
        <v>706</v>
      </c>
      <c r="Q283" s="2"/>
      <c r="R283" s="2"/>
      <c r="S283" s="3">
        <v>223.3</v>
      </c>
      <c r="T283" s="11">
        <f t="shared" si="5"/>
        <v>1.8430935578391317E-3</v>
      </c>
      <c r="U283" s="1" t="s">
        <v>371</v>
      </c>
      <c r="V283" s="2"/>
      <c r="W283" s="2"/>
      <c r="X283" s="6" t="s">
        <v>373</v>
      </c>
      <c r="Y283" s="1" t="s">
        <v>374</v>
      </c>
    </row>
    <row r="284" spans="16:25">
      <c r="P284" s="2" t="s">
        <v>707</v>
      </c>
      <c r="Q284" s="2"/>
      <c r="R284" s="2"/>
      <c r="S284" s="3">
        <v>223.3</v>
      </c>
      <c r="T284" s="11">
        <f t="shared" si="5"/>
        <v>1.8430935578391317E-3</v>
      </c>
      <c r="U284" s="1" t="s">
        <v>371</v>
      </c>
      <c r="V284" s="2"/>
      <c r="W284" s="2"/>
      <c r="X284" s="6" t="s">
        <v>373</v>
      </c>
      <c r="Y284" s="1" t="s">
        <v>374</v>
      </c>
    </row>
    <row r="285" spans="16:25">
      <c r="P285" s="2" t="s">
        <v>708</v>
      </c>
      <c r="Q285" s="2"/>
      <c r="R285" s="2"/>
      <c r="S285" s="3">
        <v>255.2</v>
      </c>
      <c r="T285" s="11">
        <f t="shared" si="5"/>
        <v>2.1063926375304363E-3</v>
      </c>
      <c r="U285" s="1" t="s">
        <v>371</v>
      </c>
      <c r="V285" s="2"/>
      <c r="W285" s="2"/>
      <c r="X285" s="6" t="s">
        <v>373</v>
      </c>
      <c r="Y285" s="1" t="s">
        <v>374</v>
      </c>
    </row>
    <row r="286" spans="16:25">
      <c r="P286" s="2" t="s">
        <v>709</v>
      </c>
      <c r="Q286" s="2"/>
      <c r="R286" s="2"/>
      <c r="S286" s="3">
        <v>223.3</v>
      </c>
      <c r="T286" s="11">
        <f t="shared" ref="T286:T349" si="6">S286/$B$2</f>
        <v>1.8430935578391317E-3</v>
      </c>
      <c r="U286" s="1" t="s">
        <v>371</v>
      </c>
      <c r="V286" s="2"/>
      <c r="W286" s="2"/>
      <c r="X286" s="6" t="s">
        <v>373</v>
      </c>
      <c r="Y286" s="1" t="s">
        <v>374</v>
      </c>
    </row>
    <row r="287" spans="16:25">
      <c r="P287" s="2" t="s">
        <v>710</v>
      </c>
      <c r="Q287" s="2"/>
      <c r="R287" s="2"/>
      <c r="S287" s="3">
        <v>255.2</v>
      </c>
      <c r="T287" s="11">
        <f t="shared" si="6"/>
        <v>2.1063926375304363E-3</v>
      </c>
      <c r="U287" s="1" t="s">
        <v>371</v>
      </c>
      <c r="V287" s="2"/>
      <c r="W287" s="2"/>
      <c r="X287" s="6" t="s">
        <v>373</v>
      </c>
      <c r="Y287" s="1" t="s">
        <v>374</v>
      </c>
    </row>
    <row r="288" spans="16:25">
      <c r="P288" s="2" t="s">
        <v>711</v>
      </c>
      <c r="Q288" s="2"/>
      <c r="R288" s="2"/>
      <c r="S288" s="3">
        <v>255.2</v>
      </c>
      <c r="T288" s="11">
        <f t="shared" si="6"/>
        <v>2.1063926375304363E-3</v>
      </c>
      <c r="U288" s="1" t="s">
        <v>371</v>
      </c>
      <c r="V288" s="2"/>
      <c r="W288" s="2"/>
      <c r="X288" s="6" t="s">
        <v>373</v>
      </c>
      <c r="Y288" s="1" t="s">
        <v>374</v>
      </c>
    </row>
    <row r="289" spans="16:25">
      <c r="P289" s="2" t="s">
        <v>712</v>
      </c>
      <c r="Q289" s="2"/>
      <c r="R289" s="2"/>
      <c r="S289" s="3">
        <v>239.25</v>
      </c>
      <c r="T289" s="11">
        <f t="shared" si="6"/>
        <v>1.974743097684784E-3</v>
      </c>
      <c r="U289" s="1" t="s">
        <v>371</v>
      </c>
      <c r="V289" s="2"/>
      <c r="W289" s="2"/>
      <c r="X289" s="6" t="s">
        <v>373</v>
      </c>
      <c r="Y289" s="1" t="s">
        <v>374</v>
      </c>
    </row>
    <row r="290" spans="16:25">
      <c r="P290" s="2" t="s">
        <v>713</v>
      </c>
      <c r="Q290" s="2"/>
      <c r="R290" s="2"/>
      <c r="S290" s="3">
        <v>239.25</v>
      </c>
      <c r="T290" s="11">
        <f t="shared" si="6"/>
        <v>1.974743097684784E-3</v>
      </c>
      <c r="U290" s="1" t="s">
        <v>371</v>
      </c>
      <c r="V290" s="2"/>
      <c r="W290" s="2"/>
      <c r="X290" s="6" t="s">
        <v>373</v>
      </c>
      <c r="Y290" s="1" t="s">
        <v>374</v>
      </c>
    </row>
    <row r="291" spans="16:25">
      <c r="P291" s="2" t="s">
        <v>714</v>
      </c>
      <c r="Q291" s="2"/>
      <c r="R291" s="2"/>
      <c r="S291" s="3">
        <v>223.3</v>
      </c>
      <c r="T291" s="11">
        <f t="shared" si="6"/>
        <v>1.8430935578391317E-3</v>
      </c>
      <c r="U291" s="1" t="s">
        <v>371</v>
      </c>
      <c r="V291" s="2"/>
      <c r="W291" s="2"/>
      <c r="X291" s="6" t="s">
        <v>373</v>
      </c>
      <c r="Y291" s="1" t="s">
        <v>374</v>
      </c>
    </row>
    <row r="292" spans="16:25">
      <c r="P292" s="2" t="s">
        <v>715</v>
      </c>
      <c r="Q292" s="2"/>
      <c r="R292" s="2"/>
      <c r="S292" s="3">
        <v>207.35</v>
      </c>
      <c r="T292" s="11">
        <f t="shared" si="6"/>
        <v>1.7114440179934794E-3</v>
      </c>
      <c r="U292" s="1" t="s">
        <v>371</v>
      </c>
      <c r="V292" s="2"/>
      <c r="W292" s="2"/>
      <c r="X292" s="6" t="s">
        <v>373</v>
      </c>
      <c r="Y292" s="1" t="s">
        <v>374</v>
      </c>
    </row>
    <row r="293" spans="16:25">
      <c r="P293" s="2" t="s">
        <v>716</v>
      </c>
      <c r="Q293" s="2"/>
      <c r="R293" s="2"/>
      <c r="S293" s="3">
        <v>223.3</v>
      </c>
      <c r="T293" s="11">
        <f t="shared" si="6"/>
        <v>1.8430935578391317E-3</v>
      </c>
      <c r="U293" s="1" t="s">
        <v>371</v>
      </c>
      <c r="V293" s="2"/>
      <c r="W293" s="2"/>
      <c r="X293" s="6" t="s">
        <v>373</v>
      </c>
      <c r="Y293" s="1" t="s">
        <v>374</v>
      </c>
    </row>
    <row r="294" spans="16:25">
      <c r="P294" s="2" t="s">
        <v>717</v>
      </c>
      <c r="Q294" s="2"/>
      <c r="R294" s="2"/>
      <c r="S294" s="3">
        <v>191.4</v>
      </c>
      <c r="T294" s="11">
        <f t="shared" si="6"/>
        <v>1.5797944781478271E-3</v>
      </c>
      <c r="U294" s="1" t="s">
        <v>371</v>
      </c>
      <c r="V294" s="2"/>
      <c r="W294" s="2"/>
      <c r="X294" s="6" t="s">
        <v>373</v>
      </c>
      <c r="Y294" s="1" t="s">
        <v>374</v>
      </c>
    </row>
    <row r="295" spans="16:25">
      <c r="P295" s="2" t="s">
        <v>718</v>
      </c>
      <c r="Q295" s="2"/>
      <c r="R295" s="2"/>
      <c r="S295" s="3">
        <v>223.3</v>
      </c>
      <c r="T295" s="11">
        <f t="shared" si="6"/>
        <v>1.8430935578391317E-3</v>
      </c>
      <c r="U295" s="1" t="s">
        <v>371</v>
      </c>
      <c r="V295" s="2"/>
      <c r="W295" s="2"/>
      <c r="X295" s="6" t="s">
        <v>373</v>
      </c>
      <c r="Y295" s="1" t="s">
        <v>374</v>
      </c>
    </row>
    <row r="296" spans="16:25">
      <c r="P296" s="2" t="s">
        <v>719</v>
      </c>
      <c r="Q296" s="2"/>
      <c r="R296" s="2"/>
      <c r="S296" s="3">
        <v>255.2</v>
      </c>
      <c r="T296" s="11">
        <f t="shared" si="6"/>
        <v>2.1063926375304363E-3</v>
      </c>
      <c r="U296" s="1" t="s">
        <v>371</v>
      </c>
      <c r="V296" s="2"/>
      <c r="W296" s="2"/>
      <c r="X296" s="6" t="s">
        <v>373</v>
      </c>
      <c r="Y296" s="1" t="s">
        <v>374</v>
      </c>
    </row>
    <row r="297" spans="16:25">
      <c r="P297" s="2" t="s">
        <v>720</v>
      </c>
      <c r="Q297" s="2"/>
      <c r="R297" s="2"/>
      <c r="S297" s="3">
        <v>223.3</v>
      </c>
      <c r="T297" s="11">
        <f t="shared" si="6"/>
        <v>1.8430935578391317E-3</v>
      </c>
      <c r="U297" s="1" t="s">
        <v>371</v>
      </c>
      <c r="V297" s="2"/>
      <c r="W297" s="2"/>
      <c r="X297" s="6" t="s">
        <v>373</v>
      </c>
      <c r="Y297" s="1" t="s">
        <v>374</v>
      </c>
    </row>
    <row r="298" spans="16:25">
      <c r="P298" s="2" t="s">
        <v>721</v>
      </c>
      <c r="Q298" s="2"/>
      <c r="R298" s="2"/>
      <c r="S298" s="3">
        <v>223.3</v>
      </c>
      <c r="T298" s="11">
        <f t="shared" si="6"/>
        <v>1.8430935578391317E-3</v>
      </c>
      <c r="U298" s="1" t="s">
        <v>371</v>
      </c>
      <c r="V298" s="2"/>
      <c r="W298" s="2"/>
      <c r="X298" s="6" t="s">
        <v>373</v>
      </c>
      <c r="Y298" s="1" t="s">
        <v>374</v>
      </c>
    </row>
    <row r="299" spans="16:25">
      <c r="P299" s="2" t="s">
        <v>722</v>
      </c>
      <c r="Q299" s="2"/>
      <c r="R299" s="2"/>
      <c r="S299" s="3">
        <v>223.3</v>
      </c>
      <c r="T299" s="11">
        <f t="shared" si="6"/>
        <v>1.8430935578391317E-3</v>
      </c>
      <c r="U299" s="1" t="s">
        <v>371</v>
      </c>
      <c r="V299" s="2"/>
      <c r="W299" s="2"/>
      <c r="X299" s="6" t="s">
        <v>373</v>
      </c>
      <c r="Y299" s="1" t="s">
        <v>374</v>
      </c>
    </row>
    <row r="300" spans="16:25">
      <c r="P300" s="2" t="s">
        <v>723</v>
      </c>
      <c r="Q300" s="2"/>
      <c r="R300" s="2"/>
      <c r="S300" s="3">
        <v>255.2</v>
      </c>
      <c r="T300" s="11">
        <f t="shared" si="6"/>
        <v>2.1063926375304363E-3</v>
      </c>
      <c r="U300" s="1" t="s">
        <v>371</v>
      </c>
      <c r="V300" s="2"/>
      <c r="W300" s="2"/>
      <c r="X300" s="6" t="s">
        <v>373</v>
      </c>
      <c r="Y300" s="1" t="s">
        <v>374</v>
      </c>
    </row>
    <row r="301" spans="16:25">
      <c r="P301" s="2" t="s">
        <v>724</v>
      </c>
      <c r="Q301" s="2"/>
      <c r="R301" s="2"/>
      <c r="S301" s="3">
        <v>207.3</v>
      </c>
      <c r="T301" s="11">
        <f t="shared" si="6"/>
        <v>1.7110313235112048E-3</v>
      </c>
      <c r="U301" s="1" t="s">
        <v>371</v>
      </c>
      <c r="V301" s="2"/>
      <c r="W301" s="2"/>
      <c r="X301" s="6" t="s">
        <v>373</v>
      </c>
      <c r="Y301" s="1" t="s">
        <v>374</v>
      </c>
    </row>
    <row r="302" spans="16:25">
      <c r="P302" s="2" t="s">
        <v>725</v>
      </c>
      <c r="Q302" s="2"/>
      <c r="R302" s="2"/>
      <c r="S302" s="3">
        <v>255.2</v>
      </c>
      <c r="T302" s="11">
        <f t="shared" si="6"/>
        <v>2.1063926375304363E-3</v>
      </c>
      <c r="U302" s="1" t="s">
        <v>371</v>
      </c>
      <c r="V302" s="2"/>
      <c r="W302" s="2"/>
      <c r="X302" s="6" t="s">
        <v>373</v>
      </c>
      <c r="Y302" s="1" t="s">
        <v>374</v>
      </c>
    </row>
    <row r="303" spans="16:25">
      <c r="P303" s="2" t="s">
        <v>726</v>
      </c>
      <c r="Q303" s="2"/>
      <c r="R303" s="2"/>
      <c r="S303" s="3">
        <v>223.3</v>
      </c>
      <c r="T303" s="11">
        <f t="shared" si="6"/>
        <v>1.8430935578391317E-3</v>
      </c>
      <c r="U303" s="1" t="s">
        <v>371</v>
      </c>
      <c r="V303" s="2"/>
      <c r="W303" s="2"/>
      <c r="X303" s="6" t="s">
        <v>373</v>
      </c>
      <c r="Y303" s="1" t="s">
        <v>374</v>
      </c>
    </row>
    <row r="304" spans="16:25">
      <c r="P304" s="2" t="s">
        <v>727</v>
      </c>
      <c r="Q304" s="2"/>
      <c r="R304" s="2"/>
      <c r="S304" s="3">
        <v>223.3</v>
      </c>
      <c r="T304" s="11">
        <f t="shared" si="6"/>
        <v>1.8430935578391317E-3</v>
      </c>
      <c r="U304" s="1" t="s">
        <v>371</v>
      </c>
      <c r="V304" s="2"/>
      <c r="W304" s="2"/>
      <c r="X304" s="6" t="s">
        <v>373</v>
      </c>
      <c r="Y304" s="1" t="s">
        <v>374</v>
      </c>
    </row>
    <row r="305" spans="16:25">
      <c r="P305" s="2" t="s">
        <v>728</v>
      </c>
      <c r="Q305" s="2"/>
      <c r="R305" s="2"/>
      <c r="S305" s="3">
        <v>223.3</v>
      </c>
      <c r="T305" s="11">
        <f t="shared" si="6"/>
        <v>1.8430935578391317E-3</v>
      </c>
      <c r="U305" s="1" t="s">
        <v>371</v>
      </c>
      <c r="V305" s="2"/>
      <c r="W305" s="2"/>
      <c r="X305" s="6" t="s">
        <v>373</v>
      </c>
      <c r="Y305" s="1" t="s">
        <v>374</v>
      </c>
    </row>
    <row r="306" spans="16:25">
      <c r="P306" s="2" t="s">
        <v>729</v>
      </c>
      <c r="Q306" s="2"/>
      <c r="R306" s="2"/>
      <c r="S306" s="3">
        <v>271.14999999999998</v>
      </c>
      <c r="T306" s="11">
        <f t="shared" si="6"/>
        <v>2.2380421773760882E-3</v>
      </c>
      <c r="U306" s="1" t="s">
        <v>371</v>
      </c>
      <c r="V306" s="2"/>
      <c r="W306" s="2"/>
      <c r="X306" s="6" t="s">
        <v>373</v>
      </c>
      <c r="Y306" s="1" t="s">
        <v>374</v>
      </c>
    </row>
    <row r="307" spans="16:25">
      <c r="P307" s="2" t="s">
        <v>730</v>
      </c>
      <c r="Q307" s="2"/>
      <c r="R307" s="2"/>
      <c r="S307" s="3">
        <v>223.3</v>
      </c>
      <c r="T307" s="11">
        <f t="shared" si="6"/>
        <v>1.8430935578391317E-3</v>
      </c>
      <c r="U307" s="1" t="s">
        <v>371</v>
      </c>
      <c r="V307" s="2"/>
      <c r="W307" s="2"/>
      <c r="X307" s="6" t="s">
        <v>373</v>
      </c>
      <c r="Y307" s="1" t="s">
        <v>374</v>
      </c>
    </row>
    <row r="308" spans="16:25">
      <c r="P308" s="2" t="s">
        <v>731</v>
      </c>
      <c r="Q308" s="2"/>
      <c r="R308" s="2"/>
      <c r="S308" s="3">
        <v>207.35</v>
      </c>
      <c r="T308" s="11">
        <f t="shared" si="6"/>
        <v>1.7114440179934794E-3</v>
      </c>
      <c r="U308" s="1" t="s">
        <v>371</v>
      </c>
      <c r="V308" s="2"/>
      <c r="W308" s="2"/>
      <c r="X308" s="6" t="s">
        <v>373</v>
      </c>
      <c r="Y308" s="1" t="s">
        <v>374</v>
      </c>
    </row>
    <row r="309" spans="16:25">
      <c r="P309" s="2" t="s">
        <v>732</v>
      </c>
      <c r="Q309" s="2"/>
      <c r="R309" s="2"/>
      <c r="S309" s="3">
        <v>223.3</v>
      </c>
      <c r="T309" s="11">
        <f t="shared" si="6"/>
        <v>1.8430935578391317E-3</v>
      </c>
      <c r="U309" s="1" t="s">
        <v>371</v>
      </c>
      <c r="V309" s="2"/>
      <c r="W309" s="2"/>
      <c r="X309" s="6" t="s">
        <v>373</v>
      </c>
      <c r="Y309" s="1" t="s">
        <v>374</v>
      </c>
    </row>
    <row r="310" spans="16:25">
      <c r="P310" s="2" t="s">
        <v>733</v>
      </c>
      <c r="Q310" s="2"/>
      <c r="R310" s="2"/>
      <c r="S310" s="3">
        <v>207.35</v>
      </c>
      <c r="T310" s="11">
        <f t="shared" si="6"/>
        <v>1.7114440179934794E-3</v>
      </c>
      <c r="U310" s="1" t="s">
        <v>371</v>
      </c>
      <c r="V310" s="2"/>
      <c r="W310" s="2"/>
      <c r="X310" s="6" t="s">
        <v>373</v>
      </c>
      <c r="Y310" s="1" t="s">
        <v>374</v>
      </c>
    </row>
    <row r="311" spans="16:25">
      <c r="P311" s="2" t="s">
        <v>734</v>
      </c>
      <c r="Q311" s="2"/>
      <c r="R311" s="2"/>
      <c r="S311" s="3">
        <v>255.2</v>
      </c>
      <c r="T311" s="11">
        <f t="shared" si="6"/>
        <v>2.1063926375304363E-3</v>
      </c>
      <c r="U311" s="1" t="s">
        <v>371</v>
      </c>
      <c r="V311" s="2"/>
      <c r="W311" s="2"/>
      <c r="X311" s="6" t="s">
        <v>373</v>
      </c>
      <c r="Y311" s="1" t="s">
        <v>374</v>
      </c>
    </row>
    <row r="312" spans="16:25">
      <c r="P312" s="2" t="s">
        <v>735</v>
      </c>
      <c r="Q312" s="2"/>
      <c r="R312" s="2"/>
      <c r="S312" s="3">
        <v>255.2</v>
      </c>
      <c r="T312" s="11">
        <f t="shared" si="6"/>
        <v>2.1063926375304363E-3</v>
      </c>
      <c r="U312" s="1" t="s">
        <v>371</v>
      </c>
      <c r="V312" s="2"/>
      <c r="W312" s="2"/>
      <c r="X312" s="6" t="s">
        <v>373</v>
      </c>
      <c r="Y312" s="1" t="s">
        <v>374</v>
      </c>
    </row>
    <row r="313" spans="16:25">
      <c r="P313" s="2" t="s">
        <v>736</v>
      </c>
      <c r="Q313" s="2"/>
      <c r="R313" s="2"/>
      <c r="S313" s="3">
        <v>255.2</v>
      </c>
      <c r="T313" s="11">
        <f t="shared" si="6"/>
        <v>2.1063926375304363E-3</v>
      </c>
      <c r="U313" s="1" t="s">
        <v>371</v>
      </c>
      <c r="V313" s="2"/>
      <c r="W313" s="2"/>
      <c r="X313" s="6" t="s">
        <v>373</v>
      </c>
      <c r="Y313" s="1" t="s">
        <v>374</v>
      </c>
    </row>
    <row r="314" spans="16:25">
      <c r="P314" s="2" t="s">
        <v>737</v>
      </c>
      <c r="Q314" s="2"/>
      <c r="R314" s="2"/>
      <c r="S314" s="3">
        <v>223.3</v>
      </c>
      <c r="T314" s="11">
        <f t="shared" si="6"/>
        <v>1.8430935578391317E-3</v>
      </c>
      <c r="U314" s="1" t="s">
        <v>371</v>
      </c>
      <c r="V314" s="2"/>
      <c r="W314" s="2"/>
      <c r="X314" s="6" t="s">
        <v>373</v>
      </c>
      <c r="Y314" s="1" t="s">
        <v>374</v>
      </c>
    </row>
    <row r="315" spans="16:25">
      <c r="P315" s="2" t="s">
        <v>738</v>
      </c>
      <c r="Q315" s="2"/>
      <c r="R315" s="2"/>
      <c r="S315" s="3">
        <v>255.2</v>
      </c>
      <c r="T315" s="11">
        <f t="shared" si="6"/>
        <v>2.1063926375304363E-3</v>
      </c>
      <c r="U315" s="1" t="s">
        <v>371</v>
      </c>
      <c r="V315" s="2"/>
      <c r="W315" s="2"/>
      <c r="X315" s="6" t="s">
        <v>373</v>
      </c>
      <c r="Y315" s="1" t="s">
        <v>374</v>
      </c>
    </row>
    <row r="316" spans="16:25">
      <c r="P316" s="2" t="s">
        <v>739</v>
      </c>
      <c r="Q316" s="2"/>
      <c r="R316" s="2"/>
      <c r="S316" s="3">
        <v>223.3</v>
      </c>
      <c r="T316" s="11">
        <f t="shared" si="6"/>
        <v>1.8430935578391317E-3</v>
      </c>
      <c r="U316" s="1" t="s">
        <v>371</v>
      </c>
      <c r="V316" s="2"/>
      <c r="W316" s="2"/>
      <c r="X316" s="6" t="s">
        <v>373</v>
      </c>
      <c r="Y316" s="1" t="s">
        <v>374</v>
      </c>
    </row>
    <row r="317" spans="16:25">
      <c r="P317" s="2" t="s">
        <v>740</v>
      </c>
      <c r="Q317" s="2"/>
      <c r="R317" s="2"/>
      <c r="S317" s="3">
        <v>223.3</v>
      </c>
      <c r="T317" s="11">
        <f t="shared" si="6"/>
        <v>1.8430935578391317E-3</v>
      </c>
      <c r="U317" s="1" t="s">
        <v>371</v>
      </c>
      <c r="V317" s="2"/>
      <c r="W317" s="2"/>
      <c r="X317" s="6" t="s">
        <v>373</v>
      </c>
      <c r="Y317" s="1" t="s">
        <v>374</v>
      </c>
    </row>
    <row r="318" spans="16:25">
      <c r="P318" s="2" t="s">
        <v>741</v>
      </c>
      <c r="Q318" s="2"/>
      <c r="R318" s="2"/>
      <c r="S318" s="3">
        <v>223.3</v>
      </c>
      <c r="T318" s="11">
        <f t="shared" si="6"/>
        <v>1.8430935578391317E-3</v>
      </c>
      <c r="U318" s="1" t="s">
        <v>371</v>
      </c>
      <c r="V318" s="2"/>
      <c r="W318" s="2"/>
      <c r="X318" s="6" t="s">
        <v>373</v>
      </c>
      <c r="Y318" s="1" t="s">
        <v>374</v>
      </c>
    </row>
    <row r="319" spans="16:25">
      <c r="P319" s="2" t="s">
        <v>742</v>
      </c>
      <c r="Q319" s="2"/>
      <c r="R319" s="2"/>
      <c r="S319" s="3">
        <v>255.2</v>
      </c>
      <c r="T319" s="11">
        <f t="shared" si="6"/>
        <v>2.1063926375304363E-3</v>
      </c>
      <c r="U319" s="1" t="s">
        <v>371</v>
      </c>
      <c r="V319" s="2"/>
      <c r="W319" s="2"/>
      <c r="X319" s="6" t="s">
        <v>373</v>
      </c>
      <c r="Y319" s="1" t="s">
        <v>374</v>
      </c>
    </row>
    <row r="320" spans="16:25">
      <c r="P320" s="2" t="s">
        <v>743</v>
      </c>
      <c r="Q320" s="2"/>
      <c r="R320" s="2"/>
      <c r="S320" s="3">
        <v>255.2</v>
      </c>
      <c r="T320" s="11">
        <f t="shared" si="6"/>
        <v>2.1063926375304363E-3</v>
      </c>
      <c r="U320" s="1" t="s">
        <v>371</v>
      </c>
      <c r="V320" s="2"/>
      <c r="W320" s="2"/>
      <c r="X320" s="6" t="s">
        <v>373</v>
      </c>
      <c r="Y320" s="1" t="s">
        <v>374</v>
      </c>
    </row>
    <row r="321" spans="16:25">
      <c r="P321" s="2" t="s">
        <v>744</v>
      </c>
      <c r="Q321" s="2"/>
      <c r="R321" s="2"/>
      <c r="S321" s="3">
        <v>255.2</v>
      </c>
      <c r="T321" s="11">
        <f t="shared" si="6"/>
        <v>2.1063926375304363E-3</v>
      </c>
      <c r="U321" s="1" t="s">
        <v>371</v>
      </c>
      <c r="V321" s="2"/>
      <c r="W321" s="2"/>
      <c r="X321" s="6" t="s">
        <v>373</v>
      </c>
      <c r="Y321" s="1" t="s">
        <v>374</v>
      </c>
    </row>
    <row r="322" spans="16:25">
      <c r="P322" s="2" t="s">
        <v>745</v>
      </c>
      <c r="Q322" s="2"/>
      <c r="R322" s="2"/>
      <c r="S322" s="3">
        <v>255.2</v>
      </c>
      <c r="T322" s="11">
        <f t="shared" si="6"/>
        <v>2.1063926375304363E-3</v>
      </c>
      <c r="U322" s="1" t="s">
        <v>371</v>
      </c>
      <c r="V322" s="2"/>
      <c r="W322" s="2"/>
      <c r="X322" s="6" t="s">
        <v>373</v>
      </c>
      <c r="Y322" s="1" t="s">
        <v>374</v>
      </c>
    </row>
    <row r="323" spans="16:25">
      <c r="P323" s="2" t="s">
        <v>746</v>
      </c>
      <c r="Q323" s="2"/>
      <c r="R323" s="2"/>
      <c r="S323" s="3">
        <v>191.4</v>
      </c>
      <c r="T323" s="11">
        <f t="shared" si="6"/>
        <v>1.5797944781478271E-3</v>
      </c>
      <c r="U323" s="1" t="s">
        <v>371</v>
      </c>
      <c r="V323" s="2"/>
      <c r="W323" s="2"/>
      <c r="X323" s="6" t="s">
        <v>373</v>
      </c>
      <c r="Y323" s="1" t="s">
        <v>374</v>
      </c>
    </row>
    <row r="324" spans="16:25">
      <c r="P324" s="2" t="s">
        <v>747</v>
      </c>
      <c r="Q324" s="2"/>
      <c r="R324" s="2"/>
      <c r="S324" s="3">
        <v>223.3</v>
      </c>
      <c r="T324" s="11">
        <f t="shared" si="6"/>
        <v>1.8430935578391317E-3</v>
      </c>
      <c r="U324" s="1" t="s">
        <v>371</v>
      </c>
      <c r="V324" s="2"/>
      <c r="W324" s="2"/>
      <c r="X324" s="6" t="s">
        <v>373</v>
      </c>
      <c r="Y324" s="1" t="s">
        <v>374</v>
      </c>
    </row>
    <row r="325" spans="16:25">
      <c r="P325" s="2" t="s">
        <v>748</v>
      </c>
      <c r="Q325" s="2"/>
      <c r="R325" s="2"/>
      <c r="S325" s="3">
        <v>223.3</v>
      </c>
      <c r="T325" s="11">
        <f t="shared" si="6"/>
        <v>1.8430935578391317E-3</v>
      </c>
      <c r="U325" s="1" t="s">
        <v>371</v>
      </c>
      <c r="V325" s="2"/>
      <c r="W325" s="2"/>
      <c r="X325" s="6" t="s">
        <v>373</v>
      </c>
      <c r="Y325" s="1" t="s">
        <v>374</v>
      </c>
    </row>
    <row r="326" spans="16:25">
      <c r="P326" s="2" t="s">
        <v>749</v>
      </c>
      <c r="Q326" s="2"/>
      <c r="R326" s="2"/>
      <c r="S326" s="3">
        <v>223.3</v>
      </c>
      <c r="T326" s="11">
        <f t="shared" si="6"/>
        <v>1.8430935578391317E-3</v>
      </c>
      <c r="U326" s="1" t="s">
        <v>371</v>
      </c>
      <c r="V326" s="2"/>
      <c r="W326" s="2"/>
      <c r="X326" s="6" t="s">
        <v>373</v>
      </c>
      <c r="Y326" s="1" t="s">
        <v>374</v>
      </c>
    </row>
    <row r="327" spans="16:25">
      <c r="P327" s="2" t="s">
        <v>750</v>
      </c>
      <c r="Q327" s="2"/>
      <c r="R327" s="2"/>
      <c r="S327" s="3">
        <v>223.3</v>
      </c>
      <c r="T327" s="11">
        <f t="shared" si="6"/>
        <v>1.8430935578391317E-3</v>
      </c>
      <c r="U327" s="1" t="s">
        <v>371</v>
      </c>
      <c r="V327" s="2"/>
      <c r="W327" s="2"/>
      <c r="X327" s="6" t="s">
        <v>373</v>
      </c>
      <c r="Y327" s="1" t="s">
        <v>374</v>
      </c>
    </row>
    <row r="328" spans="16:25">
      <c r="P328" s="2" t="s">
        <v>751</v>
      </c>
      <c r="Q328" s="2"/>
      <c r="R328" s="2"/>
      <c r="S328" s="3">
        <v>223.3</v>
      </c>
      <c r="T328" s="11">
        <f t="shared" si="6"/>
        <v>1.8430935578391317E-3</v>
      </c>
      <c r="U328" s="1" t="s">
        <v>371</v>
      </c>
      <c r="V328" s="2"/>
      <c r="W328" s="2"/>
      <c r="X328" s="6" t="s">
        <v>373</v>
      </c>
      <c r="Y328" s="1" t="s">
        <v>374</v>
      </c>
    </row>
    <row r="329" spans="16:25">
      <c r="P329" s="2" t="s">
        <v>752</v>
      </c>
      <c r="Q329" s="2"/>
      <c r="R329" s="2"/>
      <c r="S329" s="3">
        <v>223.3</v>
      </c>
      <c r="T329" s="11">
        <f t="shared" si="6"/>
        <v>1.8430935578391317E-3</v>
      </c>
      <c r="U329" s="1" t="s">
        <v>371</v>
      </c>
      <c r="V329" s="2"/>
      <c r="W329" s="2"/>
      <c r="X329" s="6" t="s">
        <v>373</v>
      </c>
      <c r="Y329" s="1" t="s">
        <v>374</v>
      </c>
    </row>
    <row r="330" spans="16:25">
      <c r="P330" s="2" t="s">
        <v>753</v>
      </c>
      <c r="Q330" s="2"/>
      <c r="R330" s="2"/>
      <c r="S330" s="3">
        <v>223.3</v>
      </c>
      <c r="T330" s="11">
        <f t="shared" si="6"/>
        <v>1.8430935578391317E-3</v>
      </c>
      <c r="U330" s="1" t="s">
        <v>371</v>
      </c>
      <c r="V330" s="2"/>
      <c r="W330" s="2"/>
      <c r="X330" s="6" t="s">
        <v>373</v>
      </c>
      <c r="Y330" s="1" t="s">
        <v>374</v>
      </c>
    </row>
    <row r="331" spans="16:25">
      <c r="P331" s="2" t="s">
        <v>754</v>
      </c>
      <c r="Q331" s="2"/>
      <c r="R331" s="2"/>
      <c r="S331" s="3">
        <v>255.2</v>
      </c>
      <c r="T331" s="11">
        <f t="shared" si="6"/>
        <v>2.1063926375304363E-3</v>
      </c>
      <c r="U331" s="1" t="s">
        <v>371</v>
      </c>
      <c r="V331" s="2"/>
      <c r="W331" s="2"/>
      <c r="X331" s="6" t="s">
        <v>373</v>
      </c>
      <c r="Y331" s="1" t="s">
        <v>374</v>
      </c>
    </row>
    <row r="332" spans="16:25">
      <c r="P332" s="2" t="s">
        <v>755</v>
      </c>
      <c r="Q332" s="2"/>
      <c r="R332" s="2"/>
      <c r="S332" s="3">
        <v>223.3</v>
      </c>
      <c r="T332" s="11">
        <f t="shared" si="6"/>
        <v>1.8430935578391317E-3</v>
      </c>
      <c r="U332" s="1" t="s">
        <v>371</v>
      </c>
      <c r="V332" s="2"/>
      <c r="W332" s="2"/>
      <c r="X332" s="6" t="s">
        <v>373</v>
      </c>
      <c r="Y332" s="1" t="s">
        <v>374</v>
      </c>
    </row>
    <row r="333" spans="16:25">
      <c r="P333" s="2" t="s">
        <v>756</v>
      </c>
      <c r="Q333" s="2"/>
      <c r="R333" s="2"/>
      <c r="S333" s="3">
        <v>255.2</v>
      </c>
      <c r="T333" s="11">
        <f t="shared" si="6"/>
        <v>2.1063926375304363E-3</v>
      </c>
      <c r="U333" s="1" t="s">
        <v>371</v>
      </c>
      <c r="V333" s="2"/>
      <c r="W333" s="2"/>
      <c r="X333" s="6" t="s">
        <v>373</v>
      </c>
      <c r="Y333" s="1" t="s">
        <v>374</v>
      </c>
    </row>
    <row r="334" spans="16:25">
      <c r="P334" s="2" t="s">
        <v>757</v>
      </c>
      <c r="Q334" s="2"/>
      <c r="R334" s="2"/>
      <c r="S334" s="3">
        <v>223.3</v>
      </c>
      <c r="T334" s="11">
        <f t="shared" si="6"/>
        <v>1.8430935578391317E-3</v>
      </c>
      <c r="U334" s="1" t="s">
        <v>371</v>
      </c>
      <c r="V334" s="2"/>
      <c r="W334" s="2"/>
      <c r="X334" s="6" t="s">
        <v>373</v>
      </c>
      <c r="Y334" s="1" t="s">
        <v>374</v>
      </c>
    </row>
    <row r="335" spans="16:25">
      <c r="P335" s="2" t="s">
        <v>758</v>
      </c>
      <c r="Q335" s="2"/>
      <c r="R335" s="2"/>
      <c r="S335" s="3">
        <v>252.88</v>
      </c>
      <c r="T335" s="11">
        <f t="shared" si="6"/>
        <v>2.0872436135528868E-3</v>
      </c>
      <c r="U335" s="1" t="s">
        <v>371</v>
      </c>
      <c r="V335" s="2"/>
      <c r="W335" s="2"/>
      <c r="X335" s="6" t="s">
        <v>373</v>
      </c>
      <c r="Y335" s="1" t="s">
        <v>374</v>
      </c>
    </row>
    <row r="336" spans="16:25">
      <c r="P336" s="2" t="s">
        <v>759</v>
      </c>
      <c r="Q336" s="2"/>
      <c r="R336" s="2"/>
      <c r="S336" s="3">
        <v>252.88</v>
      </c>
      <c r="T336" s="11">
        <f t="shared" si="6"/>
        <v>2.0872436135528868E-3</v>
      </c>
      <c r="U336" s="1" t="s">
        <v>371</v>
      </c>
      <c r="V336" s="2"/>
      <c r="W336" s="2"/>
      <c r="X336" s="6" t="s">
        <v>373</v>
      </c>
      <c r="Y336" s="1" t="s">
        <v>374</v>
      </c>
    </row>
    <row r="337" spans="16:25">
      <c r="P337" s="2" t="s">
        <v>760</v>
      </c>
      <c r="Q337" s="2"/>
      <c r="R337" s="2"/>
      <c r="S337" s="3">
        <v>252.88</v>
      </c>
      <c r="T337" s="11">
        <f t="shared" si="6"/>
        <v>2.0872436135528868E-3</v>
      </c>
      <c r="U337" s="1" t="s">
        <v>371</v>
      </c>
      <c r="V337" s="2"/>
      <c r="W337" s="2"/>
      <c r="X337" s="6" t="s">
        <v>373</v>
      </c>
      <c r="Y337" s="1" t="s">
        <v>374</v>
      </c>
    </row>
    <row r="338" spans="16:25">
      <c r="P338" s="2" t="s">
        <v>761</v>
      </c>
      <c r="Q338" s="2"/>
      <c r="R338" s="2"/>
      <c r="S338" s="3">
        <v>221.27</v>
      </c>
      <c r="T338" s="11">
        <f t="shared" si="6"/>
        <v>1.826338161858776E-3</v>
      </c>
      <c r="U338" s="1" t="s">
        <v>371</v>
      </c>
      <c r="V338" s="2"/>
      <c r="W338" s="2"/>
      <c r="X338" s="6" t="s">
        <v>373</v>
      </c>
      <c r="Y338" s="1" t="s">
        <v>374</v>
      </c>
    </row>
    <row r="339" spans="16:25">
      <c r="P339" s="2" t="s">
        <v>762</v>
      </c>
      <c r="Q339" s="2"/>
      <c r="R339" s="2"/>
      <c r="S339" s="3">
        <v>252.88</v>
      </c>
      <c r="T339" s="11">
        <f t="shared" si="6"/>
        <v>2.0872436135528868E-3</v>
      </c>
      <c r="U339" s="1" t="s">
        <v>371</v>
      </c>
      <c r="V339" s="2"/>
      <c r="W339" s="2"/>
      <c r="X339" s="6" t="s">
        <v>373</v>
      </c>
      <c r="Y339" s="1" t="s">
        <v>374</v>
      </c>
    </row>
    <row r="340" spans="16:25">
      <c r="P340" s="2" t="s">
        <v>763</v>
      </c>
      <c r="Q340" s="2"/>
      <c r="R340" s="2"/>
      <c r="S340" s="3">
        <v>252.88</v>
      </c>
      <c r="T340" s="11">
        <f t="shared" si="6"/>
        <v>2.0872436135528868E-3</v>
      </c>
      <c r="U340" s="1" t="s">
        <v>371</v>
      </c>
      <c r="V340" s="2"/>
      <c r="W340" s="2"/>
      <c r="X340" s="6" t="s">
        <v>373</v>
      </c>
      <c r="Y340" s="1" t="s">
        <v>374</v>
      </c>
    </row>
    <row r="341" spans="16:25">
      <c r="P341" s="2" t="s">
        <v>764</v>
      </c>
      <c r="Q341" s="2"/>
      <c r="R341" s="2"/>
      <c r="S341" s="3">
        <v>252.88</v>
      </c>
      <c r="T341" s="11">
        <f t="shared" si="6"/>
        <v>2.0872436135528868E-3</v>
      </c>
      <c r="U341" s="1" t="s">
        <v>371</v>
      </c>
      <c r="V341" s="2"/>
      <c r="W341" s="2"/>
      <c r="X341" s="6" t="s">
        <v>373</v>
      </c>
      <c r="Y341" s="1" t="s">
        <v>374</v>
      </c>
    </row>
    <row r="342" spans="16:25">
      <c r="P342" s="2" t="s">
        <v>765</v>
      </c>
      <c r="Q342" s="2"/>
      <c r="R342" s="2"/>
      <c r="S342" s="3">
        <v>221.27</v>
      </c>
      <c r="T342" s="11">
        <f t="shared" si="6"/>
        <v>1.826338161858776E-3</v>
      </c>
      <c r="U342" s="1" t="s">
        <v>371</v>
      </c>
      <c r="V342" s="2"/>
      <c r="W342" s="2"/>
      <c r="X342" s="6" t="s">
        <v>373</v>
      </c>
      <c r="Y342" s="1" t="s">
        <v>374</v>
      </c>
    </row>
    <row r="343" spans="16:25">
      <c r="P343" s="2" t="s">
        <v>766</v>
      </c>
      <c r="Q343" s="2"/>
      <c r="R343" s="2"/>
      <c r="S343" s="3">
        <v>252.88</v>
      </c>
      <c r="T343" s="11">
        <f t="shared" si="6"/>
        <v>2.0872436135528868E-3</v>
      </c>
      <c r="U343" s="1" t="s">
        <v>371</v>
      </c>
      <c r="V343" s="2"/>
      <c r="W343" s="2"/>
      <c r="X343" s="6" t="s">
        <v>373</v>
      </c>
      <c r="Y343" s="1" t="s">
        <v>374</v>
      </c>
    </row>
    <row r="344" spans="16:25">
      <c r="P344" s="2" t="s">
        <v>767</v>
      </c>
      <c r="Q344" s="2"/>
      <c r="R344" s="2"/>
      <c r="S344" s="3">
        <v>252.88</v>
      </c>
      <c r="T344" s="11">
        <f t="shared" si="6"/>
        <v>2.0872436135528868E-3</v>
      </c>
      <c r="U344" s="1" t="s">
        <v>371</v>
      </c>
      <c r="V344" s="2"/>
      <c r="W344" s="2"/>
      <c r="X344" s="6" t="s">
        <v>373</v>
      </c>
      <c r="Y344" s="1" t="s">
        <v>374</v>
      </c>
    </row>
    <row r="345" spans="16:25">
      <c r="P345" s="2" t="s">
        <v>768</v>
      </c>
      <c r="Q345" s="2"/>
      <c r="R345" s="2"/>
      <c r="S345" s="3">
        <v>252.88</v>
      </c>
      <c r="T345" s="11">
        <f t="shared" si="6"/>
        <v>2.0872436135528868E-3</v>
      </c>
      <c r="U345" s="1" t="s">
        <v>371</v>
      </c>
      <c r="V345" s="2"/>
      <c r="W345" s="2"/>
      <c r="X345" s="6" t="s">
        <v>373</v>
      </c>
      <c r="Y345" s="1" t="s">
        <v>374</v>
      </c>
    </row>
    <row r="346" spans="16:25">
      <c r="P346" s="2" t="s">
        <v>769</v>
      </c>
      <c r="Q346" s="2"/>
      <c r="R346" s="2"/>
      <c r="S346" s="3">
        <v>252.88</v>
      </c>
      <c r="T346" s="11">
        <f t="shared" si="6"/>
        <v>2.0872436135528868E-3</v>
      </c>
      <c r="U346" s="1" t="s">
        <v>371</v>
      </c>
      <c r="V346" s="2"/>
      <c r="W346" s="2"/>
      <c r="X346" s="6" t="s">
        <v>373</v>
      </c>
      <c r="Y346" s="1" t="s">
        <v>374</v>
      </c>
    </row>
    <row r="347" spans="16:25">
      <c r="P347" s="2" t="s">
        <v>770</v>
      </c>
      <c r="Q347" s="2"/>
      <c r="R347" s="2"/>
      <c r="S347" s="3">
        <v>252.88</v>
      </c>
      <c r="T347" s="11">
        <f t="shared" si="6"/>
        <v>2.0872436135528868E-3</v>
      </c>
      <c r="U347" s="1" t="s">
        <v>371</v>
      </c>
      <c r="V347" s="2"/>
      <c r="W347" s="2"/>
      <c r="X347" s="6" t="s">
        <v>373</v>
      </c>
      <c r="Y347" s="1" t="s">
        <v>374</v>
      </c>
    </row>
    <row r="348" spans="16:25">
      <c r="P348" s="2" t="s">
        <v>771</v>
      </c>
      <c r="Q348" s="2"/>
      <c r="R348" s="2"/>
      <c r="S348" s="3">
        <v>252.88</v>
      </c>
      <c r="T348" s="11">
        <f t="shared" si="6"/>
        <v>2.0872436135528868E-3</v>
      </c>
      <c r="U348" s="1" t="s">
        <v>371</v>
      </c>
      <c r="V348" s="2"/>
      <c r="W348" s="2"/>
      <c r="X348" s="6" t="s">
        <v>373</v>
      </c>
      <c r="Y348" s="1" t="s">
        <v>374</v>
      </c>
    </row>
    <row r="349" spans="16:25">
      <c r="P349" s="2" t="s">
        <v>772</v>
      </c>
      <c r="Q349" s="2"/>
      <c r="R349" s="2"/>
      <c r="S349" s="3">
        <v>221.27</v>
      </c>
      <c r="T349" s="11">
        <f t="shared" si="6"/>
        <v>1.826338161858776E-3</v>
      </c>
      <c r="U349" s="1" t="s">
        <v>371</v>
      </c>
      <c r="V349" s="2"/>
      <c r="W349" s="2"/>
      <c r="X349" s="6" t="s">
        <v>373</v>
      </c>
      <c r="Y349" s="1" t="s">
        <v>374</v>
      </c>
    </row>
    <row r="350" spans="16:25">
      <c r="P350" s="2" t="s">
        <v>773</v>
      </c>
      <c r="Q350" s="2"/>
      <c r="R350" s="2"/>
      <c r="S350" s="3">
        <v>237.07499999999999</v>
      </c>
      <c r="T350" s="11">
        <f t="shared" ref="T350:T413" si="7">S350/$B$2</f>
        <v>1.9567908877058311E-3</v>
      </c>
      <c r="U350" s="1" t="s">
        <v>371</v>
      </c>
      <c r="V350" s="2"/>
      <c r="W350" s="2"/>
      <c r="X350" s="6" t="s">
        <v>373</v>
      </c>
      <c r="Y350" s="1" t="s">
        <v>374</v>
      </c>
    </row>
    <row r="351" spans="16:25">
      <c r="P351" s="2" t="s">
        <v>774</v>
      </c>
      <c r="Q351" s="2"/>
      <c r="R351" s="2"/>
      <c r="S351" s="3">
        <v>252.88</v>
      </c>
      <c r="T351" s="11">
        <f t="shared" si="7"/>
        <v>2.0872436135528868E-3</v>
      </c>
      <c r="U351" s="1" t="s">
        <v>371</v>
      </c>
      <c r="V351" s="2"/>
      <c r="W351" s="2"/>
      <c r="X351" s="6" t="s">
        <v>373</v>
      </c>
      <c r="Y351" s="1" t="s">
        <v>374</v>
      </c>
    </row>
    <row r="352" spans="16:25">
      <c r="P352" s="2" t="s">
        <v>775</v>
      </c>
      <c r="Q352" s="2"/>
      <c r="R352" s="2"/>
      <c r="S352" s="3">
        <v>268.685</v>
      </c>
      <c r="T352" s="11">
        <f t="shared" si="7"/>
        <v>2.2176963393999421E-3</v>
      </c>
      <c r="U352" s="1" t="s">
        <v>371</v>
      </c>
      <c r="V352" s="2"/>
      <c r="W352" s="2"/>
      <c r="X352" s="6" t="s">
        <v>373</v>
      </c>
      <c r="Y352" s="1" t="s">
        <v>374</v>
      </c>
    </row>
    <row r="353" spans="16:25">
      <c r="P353" s="2" t="s">
        <v>776</v>
      </c>
      <c r="Q353" s="2"/>
      <c r="R353" s="2"/>
      <c r="S353" s="3">
        <v>252.88</v>
      </c>
      <c r="T353" s="11">
        <f t="shared" si="7"/>
        <v>2.0872436135528868E-3</v>
      </c>
      <c r="U353" s="1" t="s">
        <v>371</v>
      </c>
      <c r="V353" s="2"/>
      <c r="W353" s="2"/>
      <c r="X353" s="6" t="s">
        <v>373</v>
      </c>
      <c r="Y353" s="1" t="s">
        <v>374</v>
      </c>
    </row>
    <row r="354" spans="16:25">
      <c r="P354" s="2" t="s">
        <v>777</v>
      </c>
      <c r="Q354" s="2"/>
      <c r="R354" s="2"/>
      <c r="S354" s="3">
        <v>252.88</v>
      </c>
      <c r="T354" s="11">
        <f t="shared" si="7"/>
        <v>2.0872436135528868E-3</v>
      </c>
      <c r="U354" s="1" t="s">
        <v>371</v>
      </c>
      <c r="V354" s="2"/>
      <c r="W354" s="2"/>
      <c r="X354" s="6" t="s">
        <v>373</v>
      </c>
      <c r="Y354" s="1" t="s">
        <v>374</v>
      </c>
    </row>
    <row r="355" spans="16:25">
      <c r="P355" s="2" t="s">
        <v>778</v>
      </c>
      <c r="Q355" s="2"/>
      <c r="R355" s="2"/>
      <c r="S355" s="3">
        <v>252.88</v>
      </c>
      <c r="T355" s="11">
        <f t="shared" si="7"/>
        <v>2.0872436135528868E-3</v>
      </c>
      <c r="U355" s="1" t="s">
        <v>371</v>
      </c>
      <c r="V355" s="2"/>
      <c r="W355" s="2"/>
      <c r="X355" s="6" t="s">
        <v>373</v>
      </c>
      <c r="Y355" s="1" t="s">
        <v>374</v>
      </c>
    </row>
    <row r="356" spans="16:25">
      <c r="P356" s="2" t="s">
        <v>779</v>
      </c>
      <c r="Q356" s="2"/>
      <c r="R356" s="2"/>
      <c r="S356" s="3">
        <v>252.88</v>
      </c>
      <c r="T356" s="11">
        <f t="shared" si="7"/>
        <v>2.0872436135528868E-3</v>
      </c>
      <c r="U356" s="1" t="s">
        <v>371</v>
      </c>
      <c r="V356" s="2"/>
      <c r="W356" s="2"/>
      <c r="X356" s="6" t="s">
        <v>373</v>
      </c>
      <c r="Y356" s="1" t="s">
        <v>374</v>
      </c>
    </row>
    <row r="357" spans="16:25">
      <c r="P357" s="2" t="s">
        <v>780</v>
      </c>
      <c r="Q357" s="2"/>
      <c r="R357" s="2"/>
      <c r="S357" s="3">
        <v>221.27</v>
      </c>
      <c r="T357" s="11">
        <f t="shared" si="7"/>
        <v>1.826338161858776E-3</v>
      </c>
      <c r="U357" s="1" t="s">
        <v>371</v>
      </c>
      <c r="V357" s="2"/>
      <c r="W357" s="2"/>
      <c r="X357" s="6" t="s">
        <v>373</v>
      </c>
      <c r="Y357" s="1" t="s">
        <v>374</v>
      </c>
    </row>
    <row r="358" spans="16:25">
      <c r="P358" s="2" t="s">
        <v>781</v>
      </c>
      <c r="Q358" s="2"/>
      <c r="R358" s="2"/>
      <c r="S358" s="3">
        <v>252.88</v>
      </c>
      <c r="T358" s="11">
        <f t="shared" si="7"/>
        <v>2.0872436135528868E-3</v>
      </c>
      <c r="U358" s="1" t="s">
        <v>371</v>
      </c>
      <c r="V358" s="2"/>
      <c r="W358" s="2"/>
      <c r="X358" s="6" t="s">
        <v>373</v>
      </c>
      <c r="Y358" s="1" t="s">
        <v>374</v>
      </c>
    </row>
    <row r="359" spans="16:25">
      <c r="P359" s="2" t="s">
        <v>782</v>
      </c>
      <c r="Q359" s="2"/>
      <c r="R359" s="2"/>
      <c r="S359" s="3">
        <v>252.88</v>
      </c>
      <c r="T359" s="11">
        <f t="shared" si="7"/>
        <v>2.0872436135528868E-3</v>
      </c>
      <c r="U359" s="1" t="s">
        <v>371</v>
      </c>
      <c r="V359" s="2"/>
      <c r="W359" s="2"/>
      <c r="X359" s="6" t="s">
        <v>373</v>
      </c>
      <c r="Y359" s="1" t="s">
        <v>374</v>
      </c>
    </row>
    <row r="360" spans="16:25">
      <c r="P360" s="2" t="s">
        <v>783</v>
      </c>
      <c r="Q360" s="2"/>
      <c r="R360" s="2"/>
      <c r="S360" s="3">
        <v>252.88</v>
      </c>
      <c r="T360" s="11">
        <f t="shared" si="7"/>
        <v>2.0872436135528868E-3</v>
      </c>
      <c r="U360" s="1" t="s">
        <v>371</v>
      </c>
      <c r="V360" s="2"/>
      <c r="W360" s="2"/>
      <c r="X360" s="6" t="s">
        <v>373</v>
      </c>
      <c r="Y360" s="1" t="s">
        <v>374</v>
      </c>
    </row>
    <row r="361" spans="16:25">
      <c r="P361" s="2" t="s">
        <v>784</v>
      </c>
      <c r="Q361" s="2"/>
      <c r="R361" s="2"/>
      <c r="S361" s="3">
        <v>252.88</v>
      </c>
      <c r="T361" s="11">
        <f t="shared" si="7"/>
        <v>2.0872436135528868E-3</v>
      </c>
      <c r="U361" s="1" t="s">
        <v>371</v>
      </c>
      <c r="V361" s="2"/>
      <c r="W361" s="2"/>
      <c r="X361" s="6" t="s">
        <v>373</v>
      </c>
      <c r="Y361" s="1" t="s">
        <v>374</v>
      </c>
    </row>
    <row r="362" spans="16:25">
      <c r="P362" s="2" t="s">
        <v>785</v>
      </c>
      <c r="Q362" s="2"/>
      <c r="R362" s="2"/>
      <c r="S362" s="3">
        <v>252.88</v>
      </c>
      <c r="T362" s="11">
        <f t="shared" si="7"/>
        <v>2.0872436135528868E-3</v>
      </c>
      <c r="U362" s="1" t="s">
        <v>371</v>
      </c>
      <c r="V362" s="2"/>
      <c r="W362" s="2"/>
      <c r="X362" s="6" t="s">
        <v>373</v>
      </c>
      <c r="Y362" s="1" t="s">
        <v>374</v>
      </c>
    </row>
    <row r="363" spans="16:25">
      <c r="P363" s="2" t="s">
        <v>786</v>
      </c>
      <c r="Q363" s="2"/>
      <c r="R363" s="2"/>
      <c r="S363" s="3">
        <v>252.88</v>
      </c>
      <c r="T363" s="11">
        <f t="shared" si="7"/>
        <v>2.0872436135528868E-3</v>
      </c>
      <c r="U363" s="1" t="s">
        <v>371</v>
      </c>
      <c r="V363" s="2"/>
      <c r="W363" s="2"/>
      <c r="X363" s="6" t="s">
        <v>373</v>
      </c>
      <c r="Y363" s="1" t="s">
        <v>374</v>
      </c>
    </row>
    <row r="364" spans="16:25">
      <c r="P364" s="2" t="s">
        <v>787</v>
      </c>
      <c r="Q364" s="2"/>
      <c r="R364" s="2"/>
      <c r="S364" s="3">
        <v>255.2</v>
      </c>
      <c r="T364" s="11">
        <f t="shared" si="7"/>
        <v>2.1063926375304363E-3</v>
      </c>
      <c r="U364" s="1" t="s">
        <v>371</v>
      </c>
      <c r="V364" s="2"/>
      <c r="W364" s="2"/>
      <c r="X364" s="6" t="s">
        <v>373</v>
      </c>
      <c r="Y364" s="1" t="s">
        <v>374</v>
      </c>
    </row>
    <row r="365" spans="16:25">
      <c r="P365" s="2" t="s">
        <v>788</v>
      </c>
      <c r="Q365" s="2"/>
      <c r="R365" s="2"/>
      <c r="S365" s="3">
        <v>252.88</v>
      </c>
      <c r="T365" s="11">
        <f t="shared" si="7"/>
        <v>2.0872436135528868E-3</v>
      </c>
      <c r="U365" s="1" t="s">
        <v>371</v>
      </c>
      <c r="V365" s="2"/>
      <c r="W365" s="2"/>
      <c r="X365" s="6" t="s">
        <v>373</v>
      </c>
      <c r="Y365" s="1" t="s">
        <v>374</v>
      </c>
    </row>
    <row r="366" spans="16:25">
      <c r="P366" s="2" t="s">
        <v>789</v>
      </c>
      <c r="Q366" s="2"/>
      <c r="R366" s="2"/>
      <c r="S366" s="3">
        <v>252.88</v>
      </c>
      <c r="T366" s="11">
        <f t="shared" si="7"/>
        <v>2.0872436135528868E-3</v>
      </c>
      <c r="U366" s="1" t="s">
        <v>371</v>
      </c>
      <c r="V366" s="2"/>
      <c r="W366" s="2"/>
      <c r="X366" s="6" t="s">
        <v>373</v>
      </c>
      <c r="Y366" s="1" t="s">
        <v>374</v>
      </c>
    </row>
    <row r="367" spans="16:25">
      <c r="P367" s="2" t="s">
        <v>790</v>
      </c>
      <c r="Q367" s="2"/>
      <c r="R367" s="2"/>
      <c r="S367" s="3">
        <v>252.88</v>
      </c>
      <c r="T367" s="11">
        <f t="shared" si="7"/>
        <v>2.0872436135528868E-3</v>
      </c>
      <c r="U367" s="1" t="s">
        <v>371</v>
      </c>
      <c r="V367" s="2"/>
      <c r="W367" s="2"/>
      <c r="X367" s="6" t="s">
        <v>373</v>
      </c>
      <c r="Y367" s="1" t="s">
        <v>374</v>
      </c>
    </row>
    <row r="368" spans="16:25">
      <c r="P368" s="2" t="s">
        <v>791</v>
      </c>
      <c r="Q368" s="2"/>
      <c r="R368" s="2"/>
      <c r="S368" s="3">
        <v>252.88</v>
      </c>
      <c r="T368" s="11">
        <f t="shared" si="7"/>
        <v>2.0872436135528868E-3</v>
      </c>
      <c r="U368" s="1" t="s">
        <v>371</v>
      </c>
      <c r="V368" s="2"/>
      <c r="W368" s="2"/>
      <c r="X368" s="6" t="s">
        <v>373</v>
      </c>
      <c r="Y368" s="1" t="s">
        <v>374</v>
      </c>
    </row>
    <row r="369" spans="16:25">
      <c r="P369" s="2" t="s">
        <v>792</v>
      </c>
      <c r="Q369" s="2"/>
      <c r="R369" s="2"/>
      <c r="S369" s="3">
        <v>237.07499999999999</v>
      </c>
      <c r="T369" s="11">
        <f t="shared" si="7"/>
        <v>1.9567908877058311E-3</v>
      </c>
      <c r="U369" s="1" t="s">
        <v>371</v>
      </c>
      <c r="V369" s="2"/>
      <c r="W369" s="2"/>
      <c r="X369" s="6" t="s">
        <v>373</v>
      </c>
      <c r="Y369" s="1" t="s">
        <v>374</v>
      </c>
    </row>
    <row r="370" spans="16:25">
      <c r="P370" s="2" t="s">
        <v>793</v>
      </c>
      <c r="Q370" s="2"/>
      <c r="R370" s="2"/>
      <c r="S370" s="3">
        <v>252.88</v>
      </c>
      <c r="T370" s="11">
        <f t="shared" si="7"/>
        <v>2.0872436135528868E-3</v>
      </c>
      <c r="U370" s="1" t="s">
        <v>371</v>
      </c>
      <c r="V370" s="2"/>
      <c r="W370" s="2"/>
      <c r="X370" s="6" t="s">
        <v>373</v>
      </c>
      <c r="Y370" s="1" t="s">
        <v>374</v>
      </c>
    </row>
    <row r="371" spans="16:25">
      <c r="P371" s="2" t="s">
        <v>794</v>
      </c>
      <c r="Q371" s="2"/>
      <c r="R371" s="2"/>
      <c r="S371" s="3">
        <v>189.66</v>
      </c>
      <c r="T371" s="11">
        <f t="shared" si="7"/>
        <v>1.565432710164665E-3</v>
      </c>
      <c r="U371" s="1" t="s">
        <v>371</v>
      </c>
      <c r="V371" s="2"/>
      <c r="W371" s="2"/>
      <c r="X371" s="6" t="s">
        <v>373</v>
      </c>
      <c r="Y371" s="1" t="s">
        <v>374</v>
      </c>
    </row>
    <row r="372" spans="16:25">
      <c r="P372" s="2" t="s">
        <v>795</v>
      </c>
      <c r="Q372" s="2"/>
      <c r="R372" s="2"/>
      <c r="S372" s="3">
        <v>221.27</v>
      </c>
      <c r="T372" s="11">
        <f t="shared" si="7"/>
        <v>1.826338161858776E-3</v>
      </c>
      <c r="U372" s="1" t="s">
        <v>371</v>
      </c>
      <c r="V372" s="2"/>
      <c r="W372" s="2"/>
      <c r="X372" s="6" t="s">
        <v>373</v>
      </c>
      <c r="Y372" s="1" t="s">
        <v>374</v>
      </c>
    </row>
    <row r="373" spans="16:25">
      <c r="P373" s="2" t="s">
        <v>796</v>
      </c>
      <c r="Q373" s="2"/>
      <c r="R373" s="2"/>
      <c r="S373" s="3">
        <v>221.27</v>
      </c>
      <c r="T373" s="11">
        <f t="shared" si="7"/>
        <v>1.826338161858776E-3</v>
      </c>
      <c r="U373" s="1" t="s">
        <v>371</v>
      </c>
      <c r="V373" s="2"/>
      <c r="W373" s="2"/>
      <c r="X373" s="6" t="s">
        <v>373</v>
      </c>
      <c r="Y373" s="1" t="s">
        <v>374</v>
      </c>
    </row>
    <row r="374" spans="16:25">
      <c r="P374" s="2" t="s">
        <v>797</v>
      </c>
      <c r="Q374" s="2"/>
      <c r="R374" s="2"/>
      <c r="S374" s="3">
        <v>221.27</v>
      </c>
      <c r="T374" s="11">
        <f t="shared" si="7"/>
        <v>1.826338161858776E-3</v>
      </c>
      <c r="U374" s="1" t="s">
        <v>371</v>
      </c>
      <c r="V374" s="2"/>
      <c r="W374" s="2"/>
      <c r="X374" s="6" t="s">
        <v>373</v>
      </c>
      <c r="Y374" s="1" t="s">
        <v>374</v>
      </c>
    </row>
    <row r="375" spans="16:25">
      <c r="P375" s="2" t="s">
        <v>798</v>
      </c>
      <c r="Q375" s="2"/>
      <c r="R375" s="2"/>
      <c r="S375" s="3">
        <v>252.88</v>
      </c>
      <c r="T375" s="11">
        <f t="shared" si="7"/>
        <v>2.0872436135528868E-3</v>
      </c>
      <c r="U375" s="1" t="s">
        <v>371</v>
      </c>
      <c r="V375" s="2"/>
      <c r="W375" s="2"/>
      <c r="X375" s="6" t="s">
        <v>373</v>
      </c>
      <c r="Y375" s="1" t="s">
        <v>374</v>
      </c>
    </row>
    <row r="376" spans="16:25">
      <c r="P376" s="2" t="s">
        <v>799</v>
      </c>
      <c r="Q376" s="2"/>
      <c r="R376" s="2"/>
      <c r="S376" s="3">
        <v>221.27</v>
      </c>
      <c r="T376" s="11">
        <f t="shared" si="7"/>
        <v>1.826338161858776E-3</v>
      </c>
      <c r="U376" s="1" t="s">
        <v>371</v>
      </c>
      <c r="V376" s="2"/>
      <c r="W376" s="2"/>
      <c r="X376" s="6" t="s">
        <v>373</v>
      </c>
      <c r="Y376" s="1" t="s">
        <v>374</v>
      </c>
    </row>
    <row r="377" spans="16:25">
      <c r="P377" s="2" t="s">
        <v>800</v>
      </c>
      <c r="Q377" s="2"/>
      <c r="R377" s="2"/>
      <c r="S377" s="3">
        <v>237.07499999999999</v>
      </c>
      <c r="T377" s="11">
        <f t="shared" si="7"/>
        <v>1.9567908877058311E-3</v>
      </c>
      <c r="U377" s="1" t="s">
        <v>371</v>
      </c>
      <c r="V377" s="2"/>
      <c r="W377" s="2"/>
      <c r="X377" s="6" t="s">
        <v>373</v>
      </c>
      <c r="Y377" s="1" t="s">
        <v>374</v>
      </c>
    </row>
    <row r="378" spans="16:25">
      <c r="P378" s="2" t="s">
        <v>801</v>
      </c>
      <c r="Q378" s="2"/>
      <c r="R378" s="2"/>
      <c r="S378" s="3">
        <v>284.49</v>
      </c>
      <c r="T378" s="11">
        <f t="shared" si="7"/>
        <v>2.3481490652469978E-3</v>
      </c>
      <c r="U378" s="1" t="s">
        <v>371</v>
      </c>
      <c r="V378" s="2"/>
      <c r="W378" s="2"/>
      <c r="X378" s="6" t="s">
        <v>373</v>
      </c>
      <c r="Y378" s="1" t="s">
        <v>374</v>
      </c>
    </row>
    <row r="379" spans="16:25">
      <c r="P379" s="2" t="s">
        <v>802</v>
      </c>
      <c r="Q379" s="2"/>
      <c r="R379" s="2"/>
      <c r="S379" s="3">
        <v>284.49</v>
      </c>
      <c r="T379" s="11">
        <f t="shared" si="7"/>
        <v>2.3481490652469978E-3</v>
      </c>
      <c r="U379" s="1" t="s">
        <v>371</v>
      </c>
      <c r="V379" s="2"/>
      <c r="W379" s="2"/>
      <c r="X379" s="6" t="s">
        <v>373</v>
      </c>
      <c r="Y379" s="1" t="s">
        <v>374</v>
      </c>
    </row>
    <row r="380" spans="16:25">
      <c r="P380" s="2" t="s">
        <v>803</v>
      </c>
      <c r="Q380" s="2"/>
      <c r="R380" s="2"/>
      <c r="S380" s="3">
        <v>284.49</v>
      </c>
      <c r="T380" s="11">
        <f t="shared" si="7"/>
        <v>2.3481490652469978E-3</v>
      </c>
      <c r="U380" s="1" t="s">
        <v>371</v>
      </c>
      <c r="V380" s="2"/>
      <c r="W380" s="2"/>
      <c r="X380" s="6" t="s">
        <v>373</v>
      </c>
      <c r="Y380" s="1" t="s">
        <v>374</v>
      </c>
    </row>
    <row r="381" spans="16:25">
      <c r="P381" s="2" t="s">
        <v>804</v>
      </c>
      <c r="Q381" s="2"/>
      <c r="R381" s="2"/>
      <c r="S381" s="3">
        <v>252.88</v>
      </c>
      <c r="T381" s="11">
        <f t="shared" si="7"/>
        <v>2.0872436135528868E-3</v>
      </c>
      <c r="U381" s="1" t="s">
        <v>371</v>
      </c>
      <c r="V381" s="2"/>
      <c r="W381" s="2"/>
      <c r="X381" s="6" t="s">
        <v>373</v>
      </c>
      <c r="Y381" s="1" t="s">
        <v>374</v>
      </c>
    </row>
    <row r="382" spans="16:25">
      <c r="P382" s="2" t="s">
        <v>805</v>
      </c>
      <c r="Q382" s="2"/>
      <c r="R382" s="2"/>
      <c r="S382" s="3">
        <v>252.88</v>
      </c>
      <c r="T382" s="11">
        <f t="shared" si="7"/>
        <v>2.0872436135528868E-3</v>
      </c>
      <c r="U382" s="1" t="s">
        <v>371</v>
      </c>
      <c r="V382" s="2"/>
      <c r="W382" s="2"/>
      <c r="X382" s="6" t="s">
        <v>373</v>
      </c>
      <c r="Y382" s="1" t="s">
        <v>374</v>
      </c>
    </row>
    <row r="383" spans="16:25">
      <c r="P383" s="2" t="s">
        <v>806</v>
      </c>
      <c r="Q383" s="2"/>
      <c r="R383" s="2"/>
      <c r="S383" s="3">
        <v>252.88</v>
      </c>
      <c r="T383" s="11">
        <f t="shared" si="7"/>
        <v>2.0872436135528868E-3</v>
      </c>
      <c r="U383" s="1" t="s">
        <v>371</v>
      </c>
      <c r="V383" s="2"/>
      <c r="W383" s="2"/>
      <c r="X383" s="6" t="s">
        <v>373</v>
      </c>
      <c r="Y383" s="1" t="s">
        <v>374</v>
      </c>
    </row>
    <row r="384" spans="16:25">
      <c r="P384" s="2" t="s">
        <v>807</v>
      </c>
      <c r="Q384" s="2"/>
      <c r="R384" s="2"/>
      <c r="S384" s="3">
        <v>284.49</v>
      </c>
      <c r="T384" s="11">
        <f t="shared" si="7"/>
        <v>2.3481490652469978E-3</v>
      </c>
      <c r="U384" s="1" t="s">
        <v>371</v>
      </c>
      <c r="V384" s="2"/>
      <c r="W384" s="2"/>
      <c r="X384" s="6" t="s">
        <v>373</v>
      </c>
      <c r="Y384" s="1" t="s">
        <v>374</v>
      </c>
    </row>
    <row r="385" spans="16:25">
      <c r="P385" s="2" t="s">
        <v>808</v>
      </c>
      <c r="Q385" s="2"/>
      <c r="R385" s="2"/>
      <c r="S385" s="3">
        <v>252.88</v>
      </c>
      <c r="T385" s="11">
        <f t="shared" si="7"/>
        <v>2.0872436135528868E-3</v>
      </c>
      <c r="U385" s="1" t="s">
        <v>371</v>
      </c>
      <c r="V385" s="2"/>
      <c r="W385" s="2"/>
      <c r="X385" s="6" t="s">
        <v>373</v>
      </c>
      <c r="Y385" s="1" t="s">
        <v>374</v>
      </c>
    </row>
    <row r="386" spans="16:25">
      <c r="P386" s="2" t="s">
        <v>809</v>
      </c>
      <c r="Q386" s="2"/>
      <c r="R386" s="2"/>
      <c r="S386" s="3">
        <v>252.88</v>
      </c>
      <c r="T386" s="11">
        <f t="shared" si="7"/>
        <v>2.0872436135528868E-3</v>
      </c>
      <c r="U386" s="1" t="s">
        <v>371</v>
      </c>
      <c r="V386" s="2"/>
      <c r="W386" s="2"/>
      <c r="X386" s="6" t="s">
        <v>373</v>
      </c>
      <c r="Y386" s="1" t="s">
        <v>374</v>
      </c>
    </row>
    <row r="387" spans="16:25">
      <c r="P387" s="2" t="s">
        <v>810</v>
      </c>
      <c r="Q387" s="2"/>
      <c r="R387" s="2"/>
      <c r="S387" s="3">
        <v>284.49</v>
      </c>
      <c r="T387" s="11">
        <f t="shared" si="7"/>
        <v>2.3481490652469978E-3</v>
      </c>
      <c r="U387" s="1" t="s">
        <v>371</v>
      </c>
      <c r="V387" s="2"/>
      <c r="W387" s="2"/>
      <c r="X387" s="6" t="s">
        <v>373</v>
      </c>
      <c r="Y387" s="1" t="s">
        <v>374</v>
      </c>
    </row>
    <row r="388" spans="16:25">
      <c r="P388" s="2" t="s">
        <v>811</v>
      </c>
      <c r="Q388" s="2"/>
      <c r="R388" s="2"/>
      <c r="S388" s="3">
        <v>252.88</v>
      </c>
      <c r="T388" s="11">
        <f t="shared" si="7"/>
        <v>2.0872436135528868E-3</v>
      </c>
      <c r="U388" s="1" t="s">
        <v>371</v>
      </c>
      <c r="V388" s="2"/>
      <c r="W388" s="2"/>
      <c r="X388" s="6" t="s">
        <v>373</v>
      </c>
      <c r="Y388" s="1" t="s">
        <v>374</v>
      </c>
    </row>
    <row r="389" spans="16:25">
      <c r="P389" s="2" t="s">
        <v>812</v>
      </c>
      <c r="Q389" s="2"/>
      <c r="R389" s="2"/>
      <c r="S389" s="3">
        <v>221.27</v>
      </c>
      <c r="T389" s="11">
        <f t="shared" si="7"/>
        <v>1.826338161858776E-3</v>
      </c>
      <c r="U389" s="1" t="s">
        <v>371</v>
      </c>
      <c r="V389" s="2"/>
      <c r="W389" s="2"/>
      <c r="X389" s="6" t="s">
        <v>373</v>
      </c>
      <c r="Y389" s="1" t="s">
        <v>374</v>
      </c>
    </row>
    <row r="390" spans="16:25">
      <c r="P390" s="2" t="s">
        <v>813</v>
      </c>
      <c r="Q390" s="2"/>
      <c r="R390" s="2"/>
      <c r="S390" s="3">
        <v>284.49</v>
      </c>
      <c r="T390" s="11">
        <f t="shared" si="7"/>
        <v>2.3481490652469978E-3</v>
      </c>
      <c r="U390" s="1" t="s">
        <v>371</v>
      </c>
      <c r="V390" s="2"/>
      <c r="W390" s="2"/>
      <c r="X390" s="6" t="s">
        <v>373</v>
      </c>
      <c r="Y390" s="1" t="s">
        <v>374</v>
      </c>
    </row>
    <row r="391" spans="16:25">
      <c r="P391" s="2" t="s">
        <v>814</v>
      </c>
      <c r="Q391" s="2"/>
      <c r="R391" s="2"/>
      <c r="S391" s="3">
        <v>221.27</v>
      </c>
      <c r="T391" s="11">
        <f t="shared" si="7"/>
        <v>1.826338161858776E-3</v>
      </c>
      <c r="U391" s="1" t="s">
        <v>371</v>
      </c>
      <c r="V391" s="2"/>
      <c r="W391" s="2"/>
      <c r="X391" s="6" t="s">
        <v>373</v>
      </c>
      <c r="Y391" s="1" t="s">
        <v>374</v>
      </c>
    </row>
    <row r="392" spans="16:25">
      <c r="P392" s="2" t="s">
        <v>815</v>
      </c>
      <c r="Q392" s="2"/>
      <c r="R392" s="2"/>
      <c r="S392" s="3">
        <v>284.49</v>
      </c>
      <c r="T392" s="11">
        <f t="shared" si="7"/>
        <v>2.3481490652469978E-3</v>
      </c>
      <c r="U392" s="1" t="s">
        <v>371</v>
      </c>
      <c r="V392" s="2"/>
      <c r="W392" s="2"/>
      <c r="X392" s="6" t="s">
        <v>373</v>
      </c>
      <c r="Y392" s="1" t="s">
        <v>374</v>
      </c>
    </row>
    <row r="393" spans="16:25">
      <c r="P393" s="2" t="s">
        <v>816</v>
      </c>
      <c r="Q393" s="2"/>
      <c r="R393" s="2"/>
      <c r="S393" s="3">
        <v>252.88</v>
      </c>
      <c r="T393" s="11">
        <f t="shared" si="7"/>
        <v>2.0872436135528868E-3</v>
      </c>
      <c r="U393" s="1" t="s">
        <v>371</v>
      </c>
      <c r="V393" s="2"/>
      <c r="W393" s="2"/>
      <c r="X393" s="6" t="s">
        <v>373</v>
      </c>
      <c r="Y393" s="1" t="s">
        <v>374</v>
      </c>
    </row>
    <row r="394" spans="16:25">
      <c r="P394" s="2" t="s">
        <v>817</v>
      </c>
      <c r="Q394" s="2"/>
      <c r="R394" s="2"/>
      <c r="S394" s="3">
        <v>0</v>
      </c>
      <c r="T394" s="11">
        <f t="shared" si="7"/>
        <v>0</v>
      </c>
      <c r="U394" s="1" t="s">
        <v>371</v>
      </c>
      <c r="V394" s="2"/>
      <c r="W394" s="2"/>
      <c r="X394" s="6" t="s">
        <v>373</v>
      </c>
      <c r="Y394" s="1" t="s">
        <v>374</v>
      </c>
    </row>
    <row r="395" spans="16:25">
      <c r="P395" s="2" t="s">
        <v>818</v>
      </c>
      <c r="Q395" s="2"/>
      <c r="R395" s="2"/>
      <c r="S395" s="3">
        <v>94.83</v>
      </c>
      <c r="T395" s="11">
        <f t="shared" si="7"/>
        <v>7.8271635508233249E-4</v>
      </c>
      <c r="U395" s="1" t="s">
        <v>371</v>
      </c>
      <c r="V395" s="2"/>
      <c r="W395" s="2"/>
      <c r="X395" s="6" t="s">
        <v>373</v>
      </c>
      <c r="Y395" s="1" t="s">
        <v>374</v>
      </c>
    </row>
    <row r="396" spans="16:25">
      <c r="P396" s="2" t="s">
        <v>819</v>
      </c>
      <c r="Q396" s="2"/>
      <c r="R396" s="2"/>
      <c r="S396" s="3">
        <v>173.85499999999999</v>
      </c>
      <c r="T396" s="11">
        <f t="shared" si="7"/>
        <v>1.4349799843176097E-3</v>
      </c>
      <c r="U396" s="1" t="s">
        <v>371</v>
      </c>
      <c r="V396" s="2"/>
      <c r="W396" s="2"/>
      <c r="X396" s="6" t="s">
        <v>373</v>
      </c>
      <c r="Y396" s="1" t="s">
        <v>374</v>
      </c>
    </row>
    <row r="397" spans="16:25">
      <c r="P397" s="2" t="s">
        <v>820</v>
      </c>
      <c r="Q397" s="2"/>
      <c r="R397" s="2"/>
      <c r="S397" s="3">
        <v>189.66</v>
      </c>
      <c r="T397" s="11">
        <f t="shared" si="7"/>
        <v>1.565432710164665E-3</v>
      </c>
      <c r="U397" s="1" t="s">
        <v>371</v>
      </c>
      <c r="V397" s="2"/>
      <c r="W397" s="2"/>
      <c r="X397" s="6" t="s">
        <v>373</v>
      </c>
      <c r="Y397" s="1" t="s">
        <v>374</v>
      </c>
    </row>
    <row r="398" spans="16:25">
      <c r="P398" s="2" t="s">
        <v>821</v>
      </c>
      <c r="Q398" s="2"/>
      <c r="R398" s="2"/>
      <c r="S398" s="3">
        <v>221.27</v>
      </c>
      <c r="T398" s="11">
        <f t="shared" si="7"/>
        <v>1.826338161858776E-3</v>
      </c>
      <c r="U398" s="1" t="s">
        <v>371</v>
      </c>
      <c r="V398" s="2"/>
      <c r="W398" s="2"/>
      <c r="X398" s="6" t="s">
        <v>373</v>
      </c>
      <c r="Y398" s="1" t="s">
        <v>374</v>
      </c>
    </row>
    <row r="399" spans="16:25">
      <c r="P399" s="2" t="s">
        <v>822</v>
      </c>
      <c r="Q399" s="2"/>
      <c r="R399" s="2"/>
      <c r="S399" s="3">
        <v>221.27</v>
      </c>
      <c r="T399" s="11">
        <f t="shared" si="7"/>
        <v>1.826338161858776E-3</v>
      </c>
      <c r="U399" s="1" t="s">
        <v>371</v>
      </c>
      <c r="V399" s="2"/>
      <c r="W399" s="2"/>
      <c r="X399" s="6" t="s">
        <v>373</v>
      </c>
      <c r="Y399" s="1" t="s">
        <v>374</v>
      </c>
    </row>
    <row r="400" spans="16:25">
      <c r="P400" s="2" t="s">
        <v>823</v>
      </c>
      <c r="Q400" s="2"/>
      <c r="R400" s="2"/>
      <c r="S400" s="3">
        <v>221.27</v>
      </c>
      <c r="T400" s="11">
        <f t="shared" si="7"/>
        <v>1.826338161858776E-3</v>
      </c>
      <c r="U400" s="1" t="s">
        <v>371</v>
      </c>
      <c r="V400" s="2"/>
      <c r="W400" s="2"/>
      <c r="X400" s="6" t="s">
        <v>373</v>
      </c>
      <c r="Y400" s="1" t="s">
        <v>374</v>
      </c>
    </row>
    <row r="401" spans="16:25">
      <c r="P401" s="2" t="s">
        <v>824</v>
      </c>
      <c r="Q401" s="2"/>
      <c r="R401" s="2"/>
      <c r="S401" s="3">
        <v>221.27</v>
      </c>
      <c r="T401" s="11">
        <f t="shared" si="7"/>
        <v>1.826338161858776E-3</v>
      </c>
      <c r="U401" s="1" t="s">
        <v>371</v>
      </c>
      <c r="V401" s="2"/>
      <c r="W401" s="2"/>
      <c r="X401" s="6" t="s">
        <v>373</v>
      </c>
      <c r="Y401" s="1" t="s">
        <v>374</v>
      </c>
    </row>
    <row r="402" spans="16:25">
      <c r="P402" s="2" t="s">
        <v>825</v>
      </c>
      <c r="Q402" s="2"/>
      <c r="R402" s="2"/>
      <c r="S402" s="3">
        <v>221.27</v>
      </c>
      <c r="T402" s="11">
        <f t="shared" si="7"/>
        <v>1.826338161858776E-3</v>
      </c>
      <c r="U402" s="1" t="s">
        <v>371</v>
      </c>
      <c r="V402" s="2"/>
      <c r="W402" s="2"/>
      <c r="X402" s="6" t="s">
        <v>373</v>
      </c>
      <c r="Y402" s="1" t="s">
        <v>374</v>
      </c>
    </row>
    <row r="403" spans="16:25">
      <c r="P403" s="2" t="s">
        <v>826</v>
      </c>
      <c r="Q403" s="2"/>
      <c r="R403" s="2"/>
      <c r="S403" s="3">
        <v>252.88</v>
      </c>
      <c r="T403" s="11">
        <f t="shared" si="7"/>
        <v>2.0872436135528868E-3</v>
      </c>
      <c r="U403" s="1" t="s">
        <v>371</v>
      </c>
      <c r="V403" s="2"/>
      <c r="W403" s="2"/>
      <c r="X403" s="6" t="s">
        <v>373</v>
      </c>
      <c r="Y403" s="1" t="s">
        <v>374</v>
      </c>
    </row>
    <row r="404" spans="16:25">
      <c r="P404" s="2" t="s">
        <v>827</v>
      </c>
      <c r="Q404" s="2"/>
      <c r="R404" s="2"/>
      <c r="S404" s="3">
        <v>252.88</v>
      </c>
      <c r="T404" s="11">
        <f t="shared" si="7"/>
        <v>2.0872436135528868E-3</v>
      </c>
      <c r="U404" s="1" t="s">
        <v>371</v>
      </c>
      <c r="V404" s="2"/>
      <c r="W404" s="2"/>
      <c r="X404" s="6" t="s">
        <v>373</v>
      </c>
      <c r="Y404" s="1" t="s">
        <v>374</v>
      </c>
    </row>
    <row r="405" spans="16:25">
      <c r="P405" s="2" t="s">
        <v>828</v>
      </c>
      <c r="Q405" s="2"/>
      <c r="R405" s="2"/>
      <c r="S405" s="3">
        <v>252.88</v>
      </c>
      <c r="T405" s="11">
        <f t="shared" si="7"/>
        <v>2.0872436135528868E-3</v>
      </c>
      <c r="U405" s="1" t="s">
        <v>371</v>
      </c>
      <c r="V405" s="2"/>
      <c r="W405" s="2"/>
      <c r="X405" s="6" t="s">
        <v>373</v>
      </c>
      <c r="Y405" s="1" t="s">
        <v>374</v>
      </c>
    </row>
    <row r="406" spans="16:25">
      <c r="P406" s="2" t="s">
        <v>829</v>
      </c>
      <c r="Q406" s="2"/>
      <c r="R406" s="2"/>
      <c r="S406" s="3">
        <v>252.88</v>
      </c>
      <c r="T406" s="11">
        <f t="shared" si="7"/>
        <v>2.0872436135528868E-3</v>
      </c>
      <c r="U406" s="1" t="s">
        <v>371</v>
      </c>
      <c r="V406" s="2"/>
      <c r="W406" s="2"/>
      <c r="X406" s="6" t="s">
        <v>373</v>
      </c>
      <c r="Y406" s="1" t="s">
        <v>374</v>
      </c>
    </row>
    <row r="407" spans="16:25">
      <c r="P407" s="2" t="s">
        <v>830</v>
      </c>
      <c r="Q407" s="10" t="s">
        <v>36</v>
      </c>
      <c r="R407" s="2" t="s">
        <v>370</v>
      </c>
      <c r="S407" s="3">
        <v>12501.174999999992</v>
      </c>
      <c r="T407" s="11">
        <f t="shared" si="7"/>
        <v>0.10318331888902639</v>
      </c>
      <c r="U407" s="1" t="s">
        <v>371</v>
      </c>
      <c r="V407" s="6"/>
      <c r="W407" s="1"/>
      <c r="X407" s="6" t="s">
        <v>373</v>
      </c>
      <c r="Y407" s="1" t="s">
        <v>374</v>
      </c>
    </row>
    <row r="408" spans="16:25">
      <c r="P408" s="2" t="s">
        <v>831</v>
      </c>
      <c r="Q408" s="10" t="s">
        <v>36</v>
      </c>
      <c r="R408" s="2" t="s">
        <v>370</v>
      </c>
      <c r="S408" s="3">
        <v>12507.174999999997</v>
      </c>
      <c r="T408" s="11">
        <f t="shared" si="7"/>
        <v>0.10323284222689941</v>
      </c>
      <c r="U408" s="1" t="s">
        <v>371</v>
      </c>
      <c r="V408" s="6"/>
      <c r="W408" s="1"/>
      <c r="X408" s="6" t="s">
        <v>373</v>
      </c>
      <c r="Y408" s="1" t="s">
        <v>374</v>
      </c>
    </row>
    <row r="409" spans="16:25">
      <c r="P409" s="2" t="s">
        <v>832</v>
      </c>
      <c r="Q409" s="10" t="s">
        <v>36</v>
      </c>
      <c r="R409" s="2" t="s">
        <v>370</v>
      </c>
      <c r="S409" s="3">
        <v>8911.4500000000007</v>
      </c>
      <c r="T409" s="11">
        <f t="shared" si="7"/>
        <v>7.3554124881350338E-2</v>
      </c>
      <c r="U409" s="1" t="s">
        <v>371</v>
      </c>
      <c r="V409" s="6"/>
      <c r="W409" s="1"/>
      <c r="X409" s="6" t="s">
        <v>373</v>
      </c>
      <c r="Y409" s="1" t="s">
        <v>374</v>
      </c>
    </row>
    <row r="410" spans="16:25">
      <c r="P410" s="2" t="s">
        <v>833</v>
      </c>
      <c r="Q410" s="10" t="s">
        <v>36</v>
      </c>
      <c r="R410" s="2" t="s">
        <v>370</v>
      </c>
      <c r="S410" s="3">
        <v>17019.794999999998</v>
      </c>
      <c r="T410" s="11">
        <f t="shared" si="7"/>
        <v>0.14047950971895504</v>
      </c>
      <c r="U410" s="1" t="s">
        <v>371</v>
      </c>
      <c r="V410" s="6"/>
      <c r="W410" s="1"/>
      <c r="X410" s="6" t="s">
        <v>373</v>
      </c>
      <c r="Y410" s="1" t="s">
        <v>374</v>
      </c>
    </row>
    <row r="411" spans="16:25">
      <c r="P411" s="2" t="s">
        <v>834</v>
      </c>
      <c r="Q411" s="10"/>
      <c r="R411" s="2"/>
      <c r="S411" s="3">
        <v>7416.7000000000007</v>
      </c>
      <c r="T411" s="11">
        <f t="shared" si="7"/>
        <v>6.1216623333746036E-2</v>
      </c>
      <c r="U411" s="1" t="s">
        <v>371</v>
      </c>
      <c r="V411" s="6"/>
      <c r="W411" s="1"/>
      <c r="X411" s="6" t="s">
        <v>373</v>
      </c>
      <c r="Y411" s="1" t="s">
        <v>374</v>
      </c>
    </row>
    <row r="412" spans="16:25">
      <c r="P412" s="2" t="s">
        <v>835</v>
      </c>
      <c r="Q412" s="10"/>
      <c r="R412" s="2"/>
      <c r="S412" s="3">
        <v>7448.6500000000005</v>
      </c>
      <c r="T412" s="11">
        <f t="shared" si="7"/>
        <v>6.1480335107919615E-2</v>
      </c>
      <c r="U412" s="1" t="s">
        <v>371</v>
      </c>
      <c r="V412" s="6"/>
      <c r="W412" s="1"/>
      <c r="X412" s="6" t="s">
        <v>373</v>
      </c>
      <c r="Y412" s="1" t="s">
        <v>374</v>
      </c>
    </row>
    <row r="413" spans="16:25">
      <c r="P413" s="2" t="s">
        <v>836</v>
      </c>
      <c r="Q413" s="10"/>
      <c r="R413" s="2"/>
      <c r="S413" s="3">
        <v>2971.3400000000006</v>
      </c>
      <c r="T413" s="11">
        <f t="shared" si="7"/>
        <v>2.4525112459246424E-2</v>
      </c>
      <c r="U413" s="1" t="s">
        <v>371</v>
      </c>
      <c r="V413" s="6"/>
      <c r="W413" s="1"/>
      <c r="X413" s="6" t="s">
        <v>373</v>
      </c>
      <c r="Y413" s="1" t="s">
        <v>374</v>
      </c>
    </row>
    <row r="414" spans="16:25">
      <c r="P414" s="2" t="s">
        <v>837</v>
      </c>
      <c r="Q414" s="10"/>
      <c r="R414" s="2"/>
      <c r="S414" s="3">
        <v>5992.4150000000009</v>
      </c>
      <c r="T414" s="11">
        <f t="shared" ref="T414:T477" si="8">S414/$B$2</f>
        <v>4.9460732120011563E-2</v>
      </c>
      <c r="U414" s="1" t="s">
        <v>371</v>
      </c>
      <c r="V414" s="6"/>
      <c r="W414" s="1"/>
      <c r="X414" s="6" t="s">
        <v>373</v>
      </c>
      <c r="Y414" s="1" t="s">
        <v>374</v>
      </c>
    </row>
    <row r="415" spans="16:25">
      <c r="P415" s="2" t="s">
        <v>838</v>
      </c>
      <c r="Q415" s="10"/>
      <c r="R415" s="2"/>
      <c r="S415" s="3">
        <v>8345.0400000000027</v>
      </c>
      <c r="T415" s="11">
        <f t="shared" si="8"/>
        <v>6.8879039247245283E-2</v>
      </c>
      <c r="U415" s="1" t="s">
        <v>371</v>
      </c>
      <c r="V415" s="6"/>
      <c r="W415" s="1"/>
      <c r="X415" s="6" t="s">
        <v>373</v>
      </c>
      <c r="Y415" s="1" t="s">
        <v>374</v>
      </c>
    </row>
    <row r="416" spans="16:25">
      <c r="P416" s="2" t="s">
        <v>839</v>
      </c>
      <c r="Q416" s="10"/>
      <c r="R416" s="2"/>
      <c r="S416" s="3">
        <v>12501.174999999992</v>
      </c>
      <c r="T416" s="11">
        <f t="shared" si="8"/>
        <v>0.10318331888902639</v>
      </c>
      <c r="U416" s="1" t="s">
        <v>371</v>
      </c>
      <c r="V416" s="6"/>
      <c r="W416" s="1"/>
      <c r="X416" s="6" t="s">
        <v>373</v>
      </c>
      <c r="Y416" s="1" t="s">
        <v>374</v>
      </c>
    </row>
    <row r="417" spans="16:25">
      <c r="P417" s="2" t="s">
        <v>840</v>
      </c>
      <c r="Q417" s="10"/>
      <c r="R417" s="2"/>
      <c r="S417" s="3">
        <v>12507.174999999997</v>
      </c>
      <c r="T417" s="11">
        <f t="shared" si="8"/>
        <v>0.10323284222689941</v>
      </c>
      <c r="U417" s="1" t="s">
        <v>371</v>
      </c>
      <c r="V417" s="6"/>
      <c r="W417" s="1"/>
      <c r="X417" s="6" t="s">
        <v>373</v>
      </c>
      <c r="Y417" s="1" t="s">
        <v>374</v>
      </c>
    </row>
    <row r="418" spans="16:25">
      <c r="P418" s="2" t="s">
        <v>841</v>
      </c>
      <c r="Q418" s="10"/>
      <c r="R418" s="2"/>
      <c r="S418" s="3">
        <v>8911.4500000000007</v>
      </c>
      <c r="T418" s="11">
        <f t="shared" si="8"/>
        <v>7.3554124881350338E-2</v>
      </c>
      <c r="U418" s="1" t="s">
        <v>371</v>
      </c>
      <c r="V418" s="6"/>
      <c r="W418" s="1"/>
      <c r="X418" s="6" t="s">
        <v>373</v>
      </c>
      <c r="Y418" s="1" t="s">
        <v>374</v>
      </c>
    </row>
    <row r="419" spans="16:25">
      <c r="P419" s="2" t="s">
        <v>842</v>
      </c>
      <c r="Q419" s="10"/>
      <c r="R419" s="2"/>
      <c r="S419" s="3">
        <v>17019.794999999998</v>
      </c>
      <c r="T419" s="11">
        <f t="shared" si="8"/>
        <v>0.14047950971895504</v>
      </c>
      <c r="U419" s="1" t="s">
        <v>371</v>
      </c>
      <c r="V419" s="6"/>
      <c r="W419" s="1"/>
      <c r="X419" s="6" t="s">
        <v>373</v>
      </c>
      <c r="Y419" s="1" t="s">
        <v>374</v>
      </c>
    </row>
    <row r="420" spans="16:25">
      <c r="P420" s="2" t="s">
        <v>843</v>
      </c>
      <c r="Q420" s="10"/>
      <c r="R420" s="2"/>
      <c r="S420" s="3">
        <v>7416.7000000000007</v>
      </c>
      <c r="T420" s="11">
        <f t="shared" si="8"/>
        <v>6.1216623333746036E-2</v>
      </c>
      <c r="U420" s="1" t="s">
        <v>371</v>
      </c>
      <c r="V420" s="6"/>
      <c r="W420" s="1"/>
      <c r="X420" s="6" t="s">
        <v>373</v>
      </c>
      <c r="Y420" s="1" t="s">
        <v>374</v>
      </c>
    </row>
    <row r="421" spans="16:25">
      <c r="P421" s="2" t="s">
        <v>844</v>
      </c>
      <c r="Q421" s="10"/>
      <c r="R421" s="2"/>
      <c r="S421" s="3">
        <v>7448.6500000000005</v>
      </c>
      <c r="T421" s="11">
        <f t="shared" si="8"/>
        <v>6.1480335107919615E-2</v>
      </c>
      <c r="U421" s="1" t="s">
        <v>371</v>
      </c>
      <c r="V421" s="6"/>
      <c r="W421" s="1"/>
      <c r="X421" s="6" t="s">
        <v>373</v>
      </c>
      <c r="Y421" s="1" t="s">
        <v>374</v>
      </c>
    </row>
    <row r="422" spans="16:25">
      <c r="P422" s="2" t="s">
        <v>845</v>
      </c>
      <c r="Q422" s="10"/>
      <c r="R422" s="2"/>
      <c r="S422" s="3">
        <v>2971.3400000000006</v>
      </c>
      <c r="T422" s="11">
        <f t="shared" si="8"/>
        <v>2.4525112459246424E-2</v>
      </c>
      <c r="U422" s="1" t="s">
        <v>371</v>
      </c>
      <c r="V422" s="6"/>
      <c r="W422" s="1"/>
      <c r="X422" s="6" t="s">
        <v>373</v>
      </c>
      <c r="Y422" s="1" t="s">
        <v>374</v>
      </c>
    </row>
    <row r="423" spans="16:25">
      <c r="P423" s="2" t="s">
        <v>846</v>
      </c>
      <c r="Q423" s="10"/>
      <c r="R423" s="2"/>
      <c r="S423" s="3">
        <v>5992.4150000000009</v>
      </c>
      <c r="T423" s="11">
        <f t="shared" si="8"/>
        <v>4.9460732120011563E-2</v>
      </c>
      <c r="U423" s="1" t="s">
        <v>371</v>
      </c>
      <c r="V423" s="6"/>
      <c r="W423" s="1"/>
      <c r="X423" s="6" t="s">
        <v>373</v>
      </c>
      <c r="Y423" s="1" t="s">
        <v>374</v>
      </c>
    </row>
    <row r="424" spans="16:25">
      <c r="P424" s="2" t="s">
        <v>847</v>
      </c>
      <c r="Q424" s="10"/>
      <c r="R424" s="2"/>
      <c r="S424" s="3">
        <v>8345.0400000000027</v>
      </c>
      <c r="T424" s="11">
        <f t="shared" si="8"/>
        <v>6.8879039247245283E-2</v>
      </c>
      <c r="U424" s="1" t="s">
        <v>371</v>
      </c>
      <c r="V424" s="6"/>
      <c r="W424" s="1"/>
      <c r="X424" s="6" t="s">
        <v>373</v>
      </c>
      <c r="Y424" s="1" t="s">
        <v>374</v>
      </c>
    </row>
    <row r="425" spans="16:25">
      <c r="P425" s="319" t="s">
        <v>848</v>
      </c>
      <c r="Q425" s="10" t="s">
        <v>36</v>
      </c>
      <c r="R425" s="2" t="s">
        <v>370</v>
      </c>
      <c r="S425" s="3">
        <v>25008.349999999991</v>
      </c>
      <c r="T425" s="11">
        <f t="shared" si="8"/>
        <v>0.20641616111592581</v>
      </c>
      <c r="U425" s="1" t="s">
        <v>371</v>
      </c>
      <c r="V425" s="2"/>
      <c r="W425" s="2"/>
      <c r="X425" s="6" t="s">
        <v>373</v>
      </c>
      <c r="Y425" s="1" t="s">
        <v>374</v>
      </c>
    </row>
    <row r="426" spans="16:25">
      <c r="P426" s="319" t="s">
        <v>849</v>
      </c>
      <c r="Q426" s="10" t="s">
        <v>36</v>
      </c>
      <c r="R426" s="2" t="s">
        <v>370</v>
      </c>
      <c r="S426" s="3">
        <v>25931.244999999999</v>
      </c>
      <c r="T426" s="11">
        <f t="shared" si="8"/>
        <v>0.21403363460030539</v>
      </c>
      <c r="U426" s="1" t="s">
        <v>371</v>
      </c>
      <c r="V426" s="2"/>
      <c r="W426" s="2"/>
      <c r="X426" s="6" t="s">
        <v>373</v>
      </c>
      <c r="Y426" s="1" t="s">
        <v>374</v>
      </c>
    </row>
    <row r="427" spans="16:25">
      <c r="P427" s="319" t="s">
        <v>850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371</v>
      </c>
      <c r="V427" s="2"/>
      <c r="W427" s="2"/>
      <c r="X427" s="6" t="s">
        <v>373</v>
      </c>
      <c r="Y427" s="1" t="s">
        <v>374</v>
      </c>
    </row>
    <row r="428" spans="16:25">
      <c r="P428" s="319" t="s">
        <v>396</v>
      </c>
      <c r="Q428" s="10" t="s">
        <v>36</v>
      </c>
      <c r="R428" s="2" t="s">
        <v>370</v>
      </c>
      <c r="S428" s="3">
        <v>25008.349999999991</v>
      </c>
      <c r="T428" s="11">
        <f t="shared" si="8"/>
        <v>0.20641616111592581</v>
      </c>
      <c r="U428" s="1" t="s">
        <v>371</v>
      </c>
      <c r="V428" s="2"/>
      <c r="W428" s="2"/>
      <c r="X428" s="6" t="s">
        <v>373</v>
      </c>
      <c r="Y428" s="1" t="s">
        <v>374</v>
      </c>
    </row>
    <row r="429" spans="16:25">
      <c r="P429" s="319" t="s">
        <v>401</v>
      </c>
      <c r="Q429" s="10" t="s">
        <v>36</v>
      </c>
      <c r="R429" s="2" t="s">
        <v>370</v>
      </c>
      <c r="S429" s="3">
        <v>25931.244999999999</v>
      </c>
      <c r="T429" s="11">
        <f t="shared" si="8"/>
        <v>0.21403363460030539</v>
      </c>
      <c r="U429" s="1" t="s">
        <v>371</v>
      </c>
      <c r="V429" s="6"/>
      <c r="W429" s="1"/>
      <c r="X429" s="6" t="s">
        <v>373</v>
      </c>
      <c r="Y429" s="1" t="s">
        <v>374</v>
      </c>
    </row>
    <row r="430" spans="16:25">
      <c r="P430" s="319" t="s">
        <v>406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371</v>
      </c>
      <c r="V430" s="6"/>
      <c r="W430" s="1"/>
      <c r="X430" s="6" t="s">
        <v>373</v>
      </c>
      <c r="Y430" s="1" t="s">
        <v>374</v>
      </c>
    </row>
    <row r="431" spans="16:25">
      <c r="P431" s="2" t="s">
        <v>356</v>
      </c>
      <c r="Q431" s="10" t="s">
        <v>36</v>
      </c>
      <c r="R431" s="2" t="s">
        <v>370</v>
      </c>
      <c r="S431" s="3">
        <v>83113.740000000005</v>
      </c>
      <c r="T431" s="11">
        <f t="shared" si="8"/>
        <v>0.68601163798440024</v>
      </c>
      <c r="U431" s="1" t="s">
        <v>371</v>
      </c>
      <c r="V431" s="2"/>
      <c r="W431" s="2"/>
      <c r="X431" s="6" t="s">
        <v>373</v>
      </c>
      <c r="Y431" s="1" t="s">
        <v>374</v>
      </c>
    </row>
    <row r="432" spans="16:25">
      <c r="P432" s="2" t="s">
        <v>416</v>
      </c>
      <c r="Q432" s="10" t="s">
        <v>36</v>
      </c>
      <c r="R432" s="2" t="s">
        <v>370</v>
      </c>
      <c r="S432" s="3">
        <v>122106</v>
      </c>
      <c r="T432" s="11">
        <f t="shared" si="8"/>
        <v>1.0078494490528662</v>
      </c>
      <c r="U432" s="1" t="s">
        <v>371</v>
      </c>
      <c r="V432" s="2"/>
      <c r="W432" s="2"/>
      <c r="X432" s="6" t="s">
        <v>373</v>
      </c>
      <c r="Y432" s="1" t="s">
        <v>374</v>
      </c>
    </row>
    <row r="433" spans="16:25">
      <c r="P433" s="2" t="s">
        <v>427</v>
      </c>
      <c r="Q433" s="10" t="s">
        <v>36</v>
      </c>
      <c r="R433" s="2" t="s">
        <v>370</v>
      </c>
      <c r="S433" s="3">
        <v>83113.740000000005</v>
      </c>
      <c r="T433" s="11">
        <f t="shared" si="8"/>
        <v>0.68601163798440024</v>
      </c>
      <c r="U433" s="1" t="s">
        <v>371</v>
      </c>
      <c r="V433" s="2"/>
      <c r="W433" s="2"/>
      <c r="X433" s="6" t="s">
        <v>373</v>
      </c>
      <c r="Y433" s="1" t="s">
        <v>374</v>
      </c>
    </row>
    <row r="434" spans="16:25">
      <c r="P434" s="2" t="s">
        <v>368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371</v>
      </c>
      <c r="V434" s="2"/>
      <c r="W434" s="2"/>
      <c r="X434" s="6" t="s">
        <v>373</v>
      </c>
      <c r="Y434" s="1" t="s">
        <v>374</v>
      </c>
    </row>
    <row r="435" spans="16:25">
      <c r="P435" s="2" t="s">
        <v>380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371</v>
      </c>
      <c r="V435" s="2"/>
      <c r="W435" s="2"/>
      <c r="X435" s="6" t="s">
        <v>373</v>
      </c>
      <c r="Y435" s="1" t="s">
        <v>374</v>
      </c>
    </row>
    <row r="436" spans="16:25">
      <c r="P436" s="2" t="s">
        <v>388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371</v>
      </c>
      <c r="V436" s="2"/>
      <c r="W436" s="2"/>
      <c r="X436" s="6" t="s">
        <v>373</v>
      </c>
      <c r="Y436" s="1" t="s">
        <v>374</v>
      </c>
    </row>
    <row r="437" spans="16:25">
      <c r="P437" s="2" t="s">
        <v>395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371</v>
      </c>
      <c r="V437" s="2"/>
      <c r="W437" s="2"/>
      <c r="X437" s="6" t="s">
        <v>373</v>
      </c>
      <c r="Y437" s="1" t="s">
        <v>374</v>
      </c>
    </row>
    <row r="438" spans="16:25">
      <c r="P438" s="2" t="s">
        <v>400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371</v>
      </c>
      <c r="V438" s="2"/>
      <c r="W438" s="2"/>
      <c r="X438" s="6" t="s">
        <v>851</v>
      </c>
      <c r="Y438" s="1" t="s">
        <v>852</v>
      </c>
    </row>
    <row r="439" spans="16:25">
      <c r="P439" s="2" t="s">
        <v>405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371</v>
      </c>
      <c r="V439" s="2"/>
      <c r="W439" s="2"/>
      <c r="X439" s="6" t="s">
        <v>853</v>
      </c>
      <c r="Y439" s="1" t="s">
        <v>854</v>
      </c>
    </row>
    <row r="440" spans="16:25">
      <c r="P440" s="2" t="s">
        <v>163</v>
      </c>
      <c r="Q440" s="2" t="s">
        <v>41</v>
      </c>
      <c r="R440" s="2"/>
      <c r="S440" s="1">
        <v>1914</v>
      </c>
      <c r="T440" s="11">
        <f t="shared" si="8"/>
        <v>1.5797944781478272E-2</v>
      </c>
    </row>
    <row r="441" spans="16:25">
      <c r="P441" s="2" t="s">
        <v>164</v>
      </c>
      <c r="Q441" s="2" t="s">
        <v>41</v>
      </c>
      <c r="R441" s="2"/>
      <c r="S441" s="1">
        <v>669.90000000000009</v>
      </c>
      <c r="T441" s="11">
        <f t="shared" si="8"/>
        <v>5.5292806735173956E-3</v>
      </c>
    </row>
    <row r="442" spans="16:25">
      <c r="P442" s="2" t="s">
        <v>165</v>
      </c>
      <c r="Q442" s="2" t="s">
        <v>41</v>
      </c>
      <c r="R442" s="2"/>
      <c r="S442" s="1">
        <v>478.5</v>
      </c>
      <c r="T442" s="11">
        <f t="shared" si="8"/>
        <v>3.9494861953695681E-3</v>
      </c>
    </row>
    <row r="443" spans="16:25">
      <c r="P443" s="2" t="s">
        <v>166</v>
      </c>
      <c r="Q443" s="2" t="s">
        <v>41</v>
      </c>
      <c r="R443" s="2"/>
      <c r="S443" s="1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/>
      <c r="S444" s="1">
        <v>988.90000000000009</v>
      </c>
      <c r="T444" s="11">
        <f t="shared" si="8"/>
        <v>8.1622714704304416E-3</v>
      </c>
    </row>
    <row r="445" spans="16:25">
      <c r="P445" s="2" t="s">
        <v>168</v>
      </c>
      <c r="Q445" s="2" t="s">
        <v>41</v>
      </c>
      <c r="R445" s="2"/>
      <c r="S445" s="1">
        <v>2041.6</v>
      </c>
      <c r="T445" s="11">
        <f t="shared" si="8"/>
        <v>1.6851141100243491E-2</v>
      </c>
    </row>
    <row r="446" spans="16:25">
      <c r="P446" s="2" t="s">
        <v>169</v>
      </c>
      <c r="Q446" s="2" t="s">
        <v>41</v>
      </c>
      <c r="R446" s="2"/>
      <c r="S446" s="1">
        <v>1818.3</v>
      </c>
      <c r="T446" s="11">
        <f t="shared" si="8"/>
        <v>1.5008047542404358E-2</v>
      </c>
    </row>
    <row r="447" spans="16:25">
      <c r="P447" s="2" t="s">
        <v>170</v>
      </c>
      <c r="Q447" s="2" t="s">
        <v>41</v>
      </c>
      <c r="R447" s="2"/>
      <c r="S447" s="1">
        <v>542.29999999999995</v>
      </c>
      <c r="T447" s="11">
        <f t="shared" si="8"/>
        <v>4.4760843547521764E-3</v>
      </c>
    </row>
    <row r="448" spans="16:25">
      <c r="P448" s="2" t="s">
        <v>171</v>
      </c>
      <c r="Q448" s="2" t="s">
        <v>41</v>
      </c>
      <c r="R448" s="2"/>
      <c r="S448" s="1">
        <v>0</v>
      </c>
      <c r="T448" s="11">
        <f t="shared" si="8"/>
        <v>0</v>
      </c>
    </row>
    <row r="449" spans="16:20">
      <c r="P449" s="2" t="s">
        <v>172</v>
      </c>
      <c r="Q449" s="2" t="s">
        <v>41</v>
      </c>
      <c r="R449" s="2"/>
      <c r="S449" s="1">
        <v>159.5</v>
      </c>
      <c r="T449" s="11">
        <f t="shared" si="8"/>
        <v>1.3164953984565225E-3</v>
      </c>
    </row>
    <row r="450" spans="16:20">
      <c r="P450" s="2" t="s">
        <v>173</v>
      </c>
      <c r="Q450" s="2" t="s">
        <v>41</v>
      </c>
      <c r="R450" s="2"/>
      <c r="S450" s="1">
        <v>382.8</v>
      </c>
      <c r="T450" s="11">
        <f t="shared" si="8"/>
        <v>3.1595889562956543E-3</v>
      </c>
    </row>
    <row r="451" spans="16:20">
      <c r="P451" s="2" t="s">
        <v>174</v>
      </c>
      <c r="Q451" s="2" t="s">
        <v>41</v>
      </c>
      <c r="R451" s="2"/>
      <c r="S451" s="1">
        <v>191.39999999999998</v>
      </c>
      <c r="T451" s="11">
        <f t="shared" si="8"/>
        <v>1.5797944781478269E-3</v>
      </c>
    </row>
    <row r="452" spans="16:20">
      <c r="P452" s="2" t="s">
        <v>855</v>
      </c>
      <c r="Q452" s="2" t="s">
        <v>41</v>
      </c>
      <c r="R452" s="2"/>
      <c r="S452" s="1">
        <v>2583.9</v>
      </c>
      <c r="T452" s="11">
        <f t="shared" si="8"/>
        <v>2.1327225454995668E-2</v>
      </c>
    </row>
    <row r="453" spans="16:20">
      <c r="P453" s="2" t="s">
        <v>856</v>
      </c>
      <c r="Q453" s="2" t="s">
        <v>41</v>
      </c>
      <c r="R453" s="2"/>
      <c r="S453" s="1">
        <v>2520.1000000000004</v>
      </c>
      <c r="T453" s="11">
        <f t="shared" si="8"/>
        <v>2.080062729561306E-2</v>
      </c>
    </row>
    <row r="454" spans="16:20">
      <c r="P454" s="2" t="s">
        <v>857</v>
      </c>
      <c r="Q454" s="2" t="s">
        <v>41</v>
      </c>
      <c r="R454" s="2"/>
      <c r="S454" s="1">
        <v>3030.5</v>
      </c>
      <c r="T454" s="11">
        <f t="shared" si="8"/>
        <v>2.501341257067393E-2</v>
      </c>
    </row>
    <row r="455" spans="16:20">
      <c r="P455" s="2" t="s">
        <v>858</v>
      </c>
      <c r="Q455" s="2" t="s">
        <v>41</v>
      </c>
      <c r="R455" s="2"/>
      <c r="S455" s="1">
        <v>2360.6</v>
      </c>
      <c r="T455" s="11">
        <f t="shared" si="8"/>
        <v>1.9484131897156535E-2</v>
      </c>
    </row>
    <row r="456" spans="16:20">
      <c r="P456" s="2" t="s">
        <v>859</v>
      </c>
      <c r="Q456" s="2" t="s">
        <v>41</v>
      </c>
      <c r="R456" s="2"/>
      <c r="S456" s="1">
        <v>733.69999999999993</v>
      </c>
      <c r="T456" s="11">
        <f t="shared" si="8"/>
        <v>6.055878832900004E-3</v>
      </c>
    </row>
    <row r="457" spans="16:20">
      <c r="P457" s="2" t="s">
        <v>860</v>
      </c>
      <c r="Q457" s="2" t="s">
        <v>41</v>
      </c>
      <c r="R457" s="2"/>
      <c r="S457" s="1">
        <v>223.3</v>
      </c>
      <c r="T457" s="11">
        <f t="shared" si="8"/>
        <v>1.8430935578391317E-3</v>
      </c>
    </row>
    <row r="458" spans="16:20">
      <c r="P458" s="2" t="s">
        <v>861</v>
      </c>
      <c r="Q458" s="2" t="s">
        <v>41</v>
      </c>
      <c r="R458" s="2"/>
      <c r="S458" s="1">
        <v>255.2</v>
      </c>
      <c r="T458" s="11">
        <f t="shared" si="8"/>
        <v>2.1063926375304363E-3</v>
      </c>
    </row>
    <row r="459" spans="16:20">
      <c r="P459" s="2" t="s">
        <v>862</v>
      </c>
      <c r="Q459" s="2" t="s">
        <v>41</v>
      </c>
      <c r="R459" s="2"/>
      <c r="S459" s="1">
        <v>255.2</v>
      </c>
      <c r="T459" s="11">
        <f t="shared" si="8"/>
        <v>2.1063926375304363E-3</v>
      </c>
    </row>
    <row r="460" spans="16:20">
      <c r="P460" s="2" t="s">
        <v>863</v>
      </c>
      <c r="Q460" s="2" t="s">
        <v>41</v>
      </c>
      <c r="R460" s="2"/>
      <c r="S460" s="1">
        <v>287.10000000000002</v>
      </c>
      <c r="T460" s="11">
        <f t="shared" si="8"/>
        <v>2.3696917172217409E-3</v>
      </c>
    </row>
    <row r="461" spans="16:20">
      <c r="P461" s="2" t="s">
        <v>864</v>
      </c>
      <c r="Q461" s="2" t="s">
        <v>41</v>
      </c>
      <c r="R461" s="2"/>
      <c r="S461" s="1">
        <v>223.3</v>
      </c>
      <c r="T461" s="11">
        <f t="shared" si="8"/>
        <v>1.8430935578391317E-3</v>
      </c>
    </row>
    <row r="462" spans="16:20">
      <c r="P462" s="2" t="s">
        <v>865</v>
      </c>
      <c r="Q462" s="2" t="s">
        <v>41</v>
      </c>
      <c r="R462" s="2"/>
      <c r="S462" s="1">
        <v>223.3</v>
      </c>
      <c r="T462" s="11">
        <f t="shared" si="8"/>
        <v>1.8430935578391317E-3</v>
      </c>
    </row>
    <row r="463" spans="16:20">
      <c r="P463" s="2" t="s">
        <v>866</v>
      </c>
      <c r="Q463" s="2" t="s">
        <v>41</v>
      </c>
      <c r="R463" s="2"/>
      <c r="S463" s="1">
        <v>223.3</v>
      </c>
      <c r="T463" s="11">
        <f t="shared" si="8"/>
        <v>1.8430935578391317E-3</v>
      </c>
    </row>
    <row r="464" spans="16:20">
      <c r="P464" s="2" t="s">
        <v>867</v>
      </c>
      <c r="Q464" s="2" t="s">
        <v>41</v>
      </c>
      <c r="R464" s="2"/>
      <c r="S464" s="1">
        <v>223.3</v>
      </c>
      <c r="T464" s="11">
        <f t="shared" si="8"/>
        <v>1.8430935578391317E-3</v>
      </c>
    </row>
    <row r="465" spans="16:20">
      <c r="P465" s="2" t="s">
        <v>868</v>
      </c>
      <c r="Q465" s="2" t="s">
        <v>41</v>
      </c>
      <c r="R465" s="2"/>
      <c r="S465" s="1">
        <v>0</v>
      </c>
      <c r="T465" s="11">
        <f t="shared" si="8"/>
        <v>0</v>
      </c>
    </row>
    <row r="466" spans="16:20">
      <c r="P466" s="2" t="s">
        <v>869</v>
      </c>
      <c r="Q466" s="2" t="s">
        <v>41</v>
      </c>
      <c r="R466" s="2"/>
      <c r="S466" s="1">
        <v>223.3</v>
      </c>
      <c r="T466" s="11">
        <f t="shared" si="8"/>
        <v>1.8430935578391317E-3</v>
      </c>
    </row>
    <row r="467" spans="16:20">
      <c r="P467" s="2" t="s">
        <v>870</v>
      </c>
      <c r="Q467" s="2" t="s">
        <v>41</v>
      </c>
      <c r="R467" s="2"/>
      <c r="S467" s="1">
        <v>223.3</v>
      </c>
      <c r="T467" s="11">
        <f t="shared" si="8"/>
        <v>1.8430935578391317E-3</v>
      </c>
    </row>
    <row r="468" spans="16:20">
      <c r="P468" s="2" t="s">
        <v>871</v>
      </c>
      <c r="Q468" s="2" t="s">
        <v>41</v>
      </c>
      <c r="R468" s="2"/>
      <c r="S468" s="1">
        <v>223.3</v>
      </c>
      <c r="T468" s="11">
        <f t="shared" si="8"/>
        <v>1.8430935578391317E-3</v>
      </c>
    </row>
    <row r="469" spans="16:20">
      <c r="P469" s="2" t="s">
        <v>872</v>
      </c>
      <c r="Q469" s="2" t="s">
        <v>41</v>
      </c>
      <c r="R469" s="2"/>
      <c r="S469" s="1">
        <v>255.2</v>
      </c>
      <c r="T469" s="11">
        <f t="shared" si="8"/>
        <v>2.1063926375304363E-3</v>
      </c>
    </row>
    <row r="470" spans="16:20">
      <c r="P470" s="2" t="s">
        <v>873</v>
      </c>
      <c r="Q470" s="2" t="s">
        <v>41</v>
      </c>
      <c r="R470" s="2"/>
      <c r="S470" s="1">
        <v>255.2</v>
      </c>
      <c r="T470" s="11">
        <f t="shared" si="8"/>
        <v>2.1063926375304363E-3</v>
      </c>
    </row>
    <row r="471" spans="16:20">
      <c r="P471" s="2" t="s">
        <v>874</v>
      </c>
      <c r="Q471" s="2" t="s">
        <v>41</v>
      </c>
      <c r="R471" s="2"/>
      <c r="S471" s="1">
        <v>223.3</v>
      </c>
      <c r="T471" s="11">
        <f t="shared" si="8"/>
        <v>1.8430935578391317E-3</v>
      </c>
    </row>
    <row r="472" spans="16:20">
      <c r="P472" s="2" t="s">
        <v>875</v>
      </c>
      <c r="Q472" s="2" t="s">
        <v>41</v>
      </c>
      <c r="R472" s="2"/>
      <c r="S472" s="1">
        <v>223.3</v>
      </c>
      <c r="T472" s="11">
        <f t="shared" si="8"/>
        <v>1.8430935578391317E-3</v>
      </c>
    </row>
    <row r="473" spans="16:20">
      <c r="P473" s="2" t="s">
        <v>876</v>
      </c>
      <c r="Q473" s="2" t="s">
        <v>41</v>
      </c>
      <c r="R473" s="2"/>
      <c r="S473" s="1">
        <v>159.5</v>
      </c>
      <c r="T473" s="11">
        <f t="shared" si="8"/>
        <v>1.3164953984565225E-3</v>
      </c>
    </row>
    <row r="474" spans="16:20">
      <c r="P474" s="2" t="s">
        <v>877</v>
      </c>
      <c r="Q474" s="2" t="s">
        <v>41</v>
      </c>
      <c r="R474" s="2"/>
      <c r="S474" s="1">
        <v>223.3</v>
      </c>
      <c r="T474" s="11">
        <f t="shared" si="8"/>
        <v>1.8430935578391317E-3</v>
      </c>
    </row>
    <row r="475" spans="16:20">
      <c r="P475" s="2" t="s">
        <v>878</v>
      </c>
      <c r="Q475" s="2" t="s">
        <v>41</v>
      </c>
      <c r="R475" s="2"/>
      <c r="S475" s="1">
        <v>223.3</v>
      </c>
      <c r="T475" s="11">
        <f t="shared" si="8"/>
        <v>1.8430935578391317E-3</v>
      </c>
    </row>
    <row r="476" spans="16:20">
      <c r="P476" s="2" t="s">
        <v>879</v>
      </c>
      <c r="Q476" s="2" t="s">
        <v>41</v>
      </c>
      <c r="R476" s="2"/>
      <c r="S476" s="1">
        <v>255.2</v>
      </c>
      <c r="T476" s="11">
        <f t="shared" si="8"/>
        <v>2.1063926375304363E-3</v>
      </c>
    </row>
    <row r="477" spans="16:20">
      <c r="P477" s="2" t="s">
        <v>880</v>
      </c>
      <c r="Q477" s="2" t="s">
        <v>41</v>
      </c>
      <c r="R477" s="2"/>
      <c r="S477" s="1">
        <v>255.2</v>
      </c>
      <c r="T477" s="11">
        <f t="shared" si="8"/>
        <v>2.1063926375304363E-3</v>
      </c>
    </row>
    <row r="478" spans="16:20">
      <c r="P478" s="2" t="s">
        <v>881</v>
      </c>
      <c r="Q478" s="2" t="s">
        <v>41</v>
      </c>
      <c r="R478" s="2"/>
      <c r="S478" s="1">
        <v>255.2</v>
      </c>
      <c r="T478" s="11">
        <f t="shared" ref="T478:T541" si="9">S478/$B$2</f>
        <v>2.1063926375304363E-3</v>
      </c>
    </row>
    <row r="479" spans="16:20">
      <c r="P479" s="2" t="s">
        <v>882</v>
      </c>
      <c r="Q479" s="2" t="s">
        <v>41</v>
      </c>
      <c r="R479" s="2"/>
      <c r="S479" s="1">
        <v>255.2</v>
      </c>
      <c r="T479" s="11">
        <f t="shared" si="9"/>
        <v>2.1063926375304363E-3</v>
      </c>
    </row>
    <row r="480" spans="16:20">
      <c r="P480" s="2" t="s">
        <v>883</v>
      </c>
      <c r="Q480" s="2" t="s">
        <v>41</v>
      </c>
      <c r="R480" s="2"/>
      <c r="S480" s="1">
        <v>255.2</v>
      </c>
      <c r="T480" s="11">
        <f t="shared" si="9"/>
        <v>2.1063926375304363E-3</v>
      </c>
    </row>
    <row r="481" spans="16:20">
      <c r="P481" s="2" t="s">
        <v>884</v>
      </c>
      <c r="Q481" s="2" t="s">
        <v>41</v>
      </c>
      <c r="R481" s="2"/>
      <c r="S481" s="1">
        <v>255.2</v>
      </c>
      <c r="T481" s="11">
        <f t="shared" si="9"/>
        <v>2.1063926375304363E-3</v>
      </c>
    </row>
    <row r="482" spans="16:20">
      <c r="P482" s="2" t="s">
        <v>885</v>
      </c>
      <c r="Q482" s="2" t="s">
        <v>41</v>
      </c>
      <c r="R482" s="2"/>
      <c r="S482" s="1">
        <v>175.45</v>
      </c>
      <c r="T482" s="11">
        <f t="shared" si="9"/>
        <v>1.4481449383021748E-3</v>
      </c>
    </row>
    <row r="483" spans="16:20">
      <c r="P483" s="2" t="s">
        <v>886</v>
      </c>
      <c r="Q483" s="2" t="s">
        <v>41</v>
      </c>
      <c r="R483" s="2"/>
      <c r="S483" s="1">
        <v>252.88</v>
      </c>
      <c r="T483" s="11">
        <f t="shared" si="9"/>
        <v>2.0872436135528868E-3</v>
      </c>
    </row>
    <row r="484" spans="16:20">
      <c r="P484" s="2" t="s">
        <v>887</v>
      </c>
      <c r="Q484" s="2" t="s">
        <v>41</v>
      </c>
      <c r="R484" s="2"/>
      <c r="S484" s="1">
        <v>255.2</v>
      </c>
      <c r="T484" s="11">
        <f t="shared" si="9"/>
        <v>2.1063926375304363E-3</v>
      </c>
    </row>
    <row r="485" spans="16:20">
      <c r="P485" s="2" t="s">
        <v>888</v>
      </c>
      <c r="Q485" s="2" t="s">
        <v>41</v>
      </c>
      <c r="R485" s="2"/>
      <c r="S485" s="1">
        <v>223.3</v>
      </c>
      <c r="T485" s="11">
        <f t="shared" si="9"/>
        <v>1.8430935578391317E-3</v>
      </c>
    </row>
    <row r="486" spans="16:20">
      <c r="P486" s="2" t="s">
        <v>889</v>
      </c>
      <c r="Q486" s="2" t="s">
        <v>41</v>
      </c>
      <c r="R486" s="2"/>
      <c r="S486" s="1">
        <v>255.2</v>
      </c>
      <c r="T486" s="11">
        <f t="shared" si="9"/>
        <v>2.1063926375304363E-3</v>
      </c>
    </row>
    <row r="487" spans="16:20">
      <c r="P487" s="2" t="s">
        <v>890</v>
      </c>
      <c r="Q487" s="2" t="s">
        <v>41</v>
      </c>
      <c r="R487" s="2"/>
      <c r="S487" s="1">
        <v>287.10000000000002</v>
      </c>
      <c r="T487" s="11">
        <f t="shared" si="9"/>
        <v>2.3696917172217409E-3</v>
      </c>
    </row>
    <row r="488" spans="16:20">
      <c r="P488" s="2" t="s">
        <v>891</v>
      </c>
      <c r="Q488" s="2" t="s">
        <v>41</v>
      </c>
      <c r="R488" s="2"/>
      <c r="S488" s="1">
        <v>255.2</v>
      </c>
      <c r="T488" s="11">
        <f t="shared" si="9"/>
        <v>2.1063926375304363E-3</v>
      </c>
    </row>
    <row r="489" spans="16:20">
      <c r="P489" s="2" t="s">
        <v>892</v>
      </c>
      <c r="Q489" s="2" t="s">
        <v>41</v>
      </c>
      <c r="R489" s="2"/>
      <c r="S489" s="1">
        <v>255.2</v>
      </c>
      <c r="T489" s="11">
        <f t="shared" si="9"/>
        <v>2.1063926375304363E-3</v>
      </c>
    </row>
    <row r="490" spans="16:20">
      <c r="P490" s="2" t="s">
        <v>893</v>
      </c>
      <c r="Q490" s="2" t="s">
        <v>41</v>
      </c>
      <c r="R490" s="2"/>
      <c r="S490" s="1">
        <v>255.2</v>
      </c>
      <c r="T490" s="11">
        <f t="shared" si="9"/>
        <v>2.1063926375304363E-3</v>
      </c>
    </row>
    <row r="491" spans="16:20">
      <c r="P491" s="2" t="s">
        <v>894</v>
      </c>
      <c r="Q491" s="2" t="s">
        <v>41</v>
      </c>
      <c r="R491" s="2"/>
      <c r="S491" s="1">
        <v>255.2</v>
      </c>
      <c r="T491" s="11">
        <f t="shared" si="9"/>
        <v>2.1063926375304363E-3</v>
      </c>
    </row>
    <row r="492" spans="16:20">
      <c r="P492" s="2" t="s">
        <v>895</v>
      </c>
      <c r="Q492" s="2" t="s">
        <v>41</v>
      </c>
      <c r="R492" s="2"/>
      <c r="S492" s="1">
        <v>0</v>
      </c>
      <c r="T492" s="11">
        <f t="shared" si="9"/>
        <v>0</v>
      </c>
    </row>
    <row r="493" spans="16:20">
      <c r="P493" s="2" t="s">
        <v>896</v>
      </c>
      <c r="Q493" s="2" t="s">
        <v>41</v>
      </c>
      <c r="R493" s="2"/>
      <c r="S493" s="1">
        <v>255.2</v>
      </c>
      <c r="T493" s="11">
        <f t="shared" si="9"/>
        <v>2.1063926375304363E-3</v>
      </c>
    </row>
    <row r="494" spans="16:20">
      <c r="P494" s="2" t="s">
        <v>897</v>
      </c>
      <c r="Q494" s="2" t="s">
        <v>41</v>
      </c>
      <c r="R494" s="2"/>
      <c r="S494" s="1">
        <v>191.4</v>
      </c>
      <c r="T494" s="11">
        <f t="shared" si="9"/>
        <v>1.5797944781478271E-3</v>
      </c>
    </row>
    <row r="495" spans="16:20">
      <c r="P495" s="2" t="s">
        <v>898</v>
      </c>
      <c r="Q495" s="2" t="s">
        <v>41</v>
      </c>
      <c r="R495" s="2"/>
      <c r="S495" s="1">
        <v>255.2</v>
      </c>
      <c r="T495" s="11">
        <f t="shared" si="9"/>
        <v>2.1063926375304363E-3</v>
      </c>
    </row>
    <row r="496" spans="16:20">
      <c r="P496" s="2" t="s">
        <v>899</v>
      </c>
      <c r="Q496" s="2" t="s">
        <v>41</v>
      </c>
      <c r="R496" s="2"/>
      <c r="S496" s="1">
        <v>255.2</v>
      </c>
      <c r="T496" s="11">
        <f t="shared" si="9"/>
        <v>2.1063926375304363E-3</v>
      </c>
    </row>
    <row r="497" spans="16:20">
      <c r="P497" s="2" t="s">
        <v>900</v>
      </c>
      <c r="Q497" s="2" t="s">
        <v>41</v>
      </c>
      <c r="R497" s="2"/>
      <c r="S497" s="1">
        <v>271.14999999999998</v>
      </c>
      <c r="T497" s="11">
        <f t="shared" si="9"/>
        <v>2.2380421773760882E-3</v>
      </c>
    </row>
    <row r="498" spans="16:20">
      <c r="P498" s="2" t="s">
        <v>901</v>
      </c>
      <c r="Q498" s="2" t="s">
        <v>41</v>
      </c>
      <c r="R498" s="2"/>
      <c r="S498" s="1">
        <v>63.8</v>
      </c>
      <c r="T498" s="11">
        <f t="shared" si="9"/>
        <v>5.2659815938260908E-4</v>
      </c>
    </row>
    <row r="499" spans="16:20">
      <c r="P499" s="2" t="s">
        <v>902</v>
      </c>
      <c r="Q499" s="2" t="s">
        <v>41</v>
      </c>
      <c r="R499" s="2"/>
      <c r="S499" s="1">
        <v>63.8</v>
      </c>
      <c r="T499" s="11">
        <f t="shared" si="9"/>
        <v>5.2659815938260908E-4</v>
      </c>
    </row>
    <row r="500" spans="16:20">
      <c r="P500" s="2" t="s">
        <v>903</v>
      </c>
      <c r="Q500" s="2" t="s">
        <v>41</v>
      </c>
      <c r="R500" s="2"/>
      <c r="S500" s="1">
        <v>159.5</v>
      </c>
      <c r="T500" s="11">
        <f t="shared" si="9"/>
        <v>1.3164953984565225E-3</v>
      </c>
    </row>
    <row r="501" spans="16:20">
      <c r="P501" s="2" t="s">
        <v>904</v>
      </c>
      <c r="Q501" s="2" t="s">
        <v>41</v>
      </c>
      <c r="R501" s="2"/>
      <c r="S501" s="1">
        <v>255.2</v>
      </c>
      <c r="T501" s="11">
        <f t="shared" si="9"/>
        <v>2.1063926375304363E-3</v>
      </c>
    </row>
    <row r="502" spans="16:20">
      <c r="P502" s="2" t="s">
        <v>905</v>
      </c>
      <c r="Q502" s="2" t="s">
        <v>41</v>
      </c>
      <c r="R502" s="2"/>
      <c r="S502" s="1">
        <v>255.2</v>
      </c>
      <c r="T502" s="11">
        <f t="shared" si="9"/>
        <v>2.1063926375304363E-3</v>
      </c>
    </row>
    <row r="503" spans="16:20">
      <c r="P503" s="2" t="s">
        <v>906</v>
      </c>
      <c r="Q503" s="2" t="s">
        <v>41</v>
      </c>
      <c r="R503" s="2"/>
      <c r="S503" s="1">
        <v>159.5</v>
      </c>
      <c r="T503" s="11">
        <f t="shared" si="9"/>
        <v>1.3164953984565225E-3</v>
      </c>
    </row>
    <row r="504" spans="16:20">
      <c r="P504" s="2" t="s">
        <v>907</v>
      </c>
      <c r="Q504" s="2" t="s">
        <v>41</v>
      </c>
      <c r="R504" s="2"/>
      <c r="S504" s="1">
        <v>255.2</v>
      </c>
      <c r="T504" s="11">
        <f t="shared" si="9"/>
        <v>2.1063926375304363E-3</v>
      </c>
    </row>
    <row r="505" spans="16:20">
      <c r="P505" s="2" t="s">
        <v>908</v>
      </c>
      <c r="Q505" s="2" t="s">
        <v>41</v>
      </c>
      <c r="R505" s="2"/>
      <c r="S505" s="1">
        <v>159.5</v>
      </c>
      <c r="T505" s="11">
        <f t="shared" si="9"/>
        <v>1.3164953984565225E-3</v>
      </c>
    </row>
    <row r="506" spans="16:20">
      <c r="P506" s="2" t="s">
        <v>909</v>
      </c>
      <c r="Q506" s="2" t="s">
        <v>41</v>
      </c>
      <c r="R506" s="2"/>
      <c r="S506" s="1">
        <v>255.2</v>
      </c>
      <c r="T506" s="11">
        <f t="shared" si="9"/>
        <v>2.1063926375304363E-3</v>
      </c>
    </row>
    <row r="507" spans="16:20">
      <c r="P507" s="2" t="s">
        <v>910</v>
      </c>
      <c r="Q507" s="2" t="s">
        <v>41</v>
      </c>
      <c r="R507" s="2"/>
      <c r="S507" s="1">
        <v>223.3</v>
      </c>
      <c r="T507" s="11">
        <f t="shared" si="9"/>
        <v>1.8430935578391317E-3</v>
      </c>
    </row>
    <row r="508" spans="16:20">
      <c r="P508" s="2" t="s">
        <v>911</v>
      </c>
      <c r="Q508" s="2" t="s">
        <v>41</v>
      </c>
      <c r="R508" s="2"/>
      <c r="S508" s="1">
        <v>255.2</v>
      </c>
      <c r="T508" s="11">
        <f t="shared" si="9"/>
        <v>2.1063926375304363E-3</v>
      </c>
    </row>
    <row r="509" spans="16:20">
      <c r="P509" s="2" t="s">
        <v>912</v>
      </c>
      <c r="Q509" s="2" t="s">
        <v>41</v>
      </c>
      <c r="R509" s="2"/>
      <c r="S509" s="1">
        <v>223.3</v>
      </c>
      <c r="T509" s="11">
        <f t="shared" si="9"/>
        <v>1.8430935578391317E-3</v>
      </c>
    </row>
    <row r="510" spans="16:20">
      <c r="P510" s="2" t="s">
        <v>913</v>
      </c>
      <c r="Q510" s="2" t="s">
        <v>41</v>
      </c>
      <c r="R510" s="2"/>
      <c r="S510" s="1">
        <v>255.2</v>
      </c>
      <c r="T510" s="11">
        <f t="shared" si="9"/>
        <v>2.1063926375304363E-3</v>
      </c>
    </row>
    <row r="511" spans="16:20">
      <c r="P511" s="2" t="s">
        <v>914</v>
      </c>
      <c r="Q511" s="2" t="s">
        <v>41</v>
      </c>
      <c r="R511" s="2"/>
      <c r="S511" s="1">
        <v>255.2</v>
      </c>
      <c r="T511" s="11">
        <f t="shared" si="9"/>
        <v>2.1063926375304363E-3</v>
      </c>
    </row>
    <row r="512" spans="16:20">
      <c r="P512" s="2" t="s">
        <v>915</v>
      </c>
      <c r="Q512" s="2" t="s">
        <v>41</v>
      </c>
      <c r="R512" s="2"/>
      <c r="S512" s="1">
        <v>255.2</v>
      </c>
      <c r="T512" s="11">
        <f t="shared" si="9"/>
        <v>2.1063926375304363E-3</v>
      </c>
    </row>
    <row r="513" spans="16:20">
      <c r="P513" s="2" t="s">
        <v>916</v>
      </c>
      <c r="Q513" s="2" t="s">
        <v>41</v>
      </c>
      <c r="R513" s="2"/>
      <c r="S513" s="1">
        <v>255.2</v>
      </c>
      <c r="T513" s="11">
        <f t="shared" si="9"/>
        <v>2.1063926375304363E-3</v>
      </c>
    </row>
    <row r="514" spans="16:20">
      <c r="P514" s="2" t="s">
        <v>917</v>
      </c>
      <c r="Q514" s="2" t="s">
        <v>41</v>
      </c>
      <c r="R514" s="2"/>
      <c r="S514" s="1">
        <v>223.3</v>
      </c>
      <c r="T514" s="11">
        <f t="shared" si="9"/>
        <v>1.8430935578391317E-3</v>
      </c>
    </row>
    <row r="515" spans="16:20">
      <c r="P515" s="2" t="s">
        <v>918</v>
      </c>
      <c r="Q515" s="2" t="s">
        <v>41</v>
      </c>
      <c r="R515" s="2"/>
      <c r="S515" s="1">
        <v>223.3</v>
      </c>
      <c r="T515" s="11">
        <f t="shared" si="9"/>
        <v>1.8430935578391317E-3</v>
      </c>
    </row>
    <row r="516" spans="16:20">
      <c r="P516" s="2" t="s">
        <v>919</v>
      </c>
      <c r="Q516" s="2" t="s">
        <v>41</v>
      </c>
      <c r="R516" s="2"/>
      <c r="S516" s="1">
        <v>223.3</v>
      </c>
      <c r="T516" s="11">
        <f t="shared" si="9"/>
        <v>1.8430935578391317E-3</v>
      </c>
    </row>
    <row r="517" spans="16:20">
      <c r="P517" s="2" t="s">
        <v>920</v>
      </c>
      <c r="Q517" s="2" t="s">
        <v>41</v>
      </c>
      <c r="R517" s="2"/>
      <c r="S517" s="1">
        <v>223.3</v>
      </c>
      <c r="T517" s="11">
        <f t="shared" si="9"/>
        <v>1.8430935578391317E-3</v>
      </c>
    </row>
    <row r="518" spans="16:20">
      <c r="P518" s="2" t="s">
        <v>921</v>
      </c>
      <c r="Q518" s="2" t="s">
        <v>41</v>
      </c>
      <c r="R518" s="2"/>
      <c r="S518" s="1">
        <v>223.3</v>
      </c>
      <c r="T518" s="11">
        <f t="shared" si="9"/>
        <v>1.8430935578391317E-3</v>
      </c>
    </row>
    <row r="519" spans="16:20">
      <c r="P519" s="2" t="s">
        <v>922</v>
      </c>
      <c r="Q519" s="2" t="s">
        <v>41</v>
      </c>
      <c r="R519" s="2"/>
      <c r="S519" s="1">
        <v>255.2</v>
      </c>
      <c r="T519" s="11">
        <f t="shared" si="9"/>
        <v>2.1063926375304363E-3</v>
      </c>
    </row>
    <row r="520" spans="16:20">
      <c r="P520" s="2" t="s">
        <v>923</v>
      </c>
      <c r="Q520" s="2" t="s">
        <v>41</v>
      </c>
      <c r="R520" s="2"/>
      <c r="S520" s="1">
        <v>284.49</v>
      </c>
      <c r="T520" s="11">
        <f t="shared" si="9"/>
        <v>2.3481490652469978E-3</v>
      </c>
    </row>
    <row r="521" spans="16:20">
      <c r="P521" s="2" t="s">
        <v>924</v>
      </c>
      <c r="Q521" s="2" t="s">
        <v>41</v>
      </c>
      <c r="R521" s="2"/>
      <c r="S521" s="1">
        <v>223.3</v>
      </c>
      <c r="T521" s="11">
        <f t="shared" si="9"/>
        <v>1.8430935578391317E-3</v>
      </c>
    </row>
    <row r="522" spans="16:20">
      <c r="P522" s="2" t="s">
        <v>925</v>
      </c>
      <c r="Q522" s="2" t="s">
        <v>41</v>
      </c>
      <c r="R522" s="2"/>
      <c r="S522" s="1">
        <v>284.49</v>
      </c>
      <c r="T522" s="11">
        <f t="shared" si="9"/>
        <v>2.3481490652469978E-3</v>
      </c>
    </row>
    <row r="523" spans="16:20">
      <c r="P523" s="2" t="s">
        <v>926</v>
      </c>
      <c r="Q523" s="2" t="s">
        <v>41</v>
      </c>
      <c r="R523" s="2"/>
      <c r="S523" s="1">
        <v>284.49</v>
      </c>
      <c r="T523" s="11">
        <f t="shared" si="9"/>
        <v>2.3481490652469978E-3</v>
      </c>
    </row>
    <row r="524" spans="16:20">
      <c r="P524" s="2" t="s">
        <v>927</v>
      </c>
      <c r="Q524" s="2" t="s">
        <v>41</v>
      </c>
      <c r="R524" s="2"/>
      <c r="S524" s="1">
        <v>252.88</v>
      </c>
      <c r="T524" s="11">
        <f t="shared" si="9"/>
        <v>2.0872436135528868E-3</v>
      </c>
    </row>
    <row r="525" spans="16:20">
      <c r="P525" s="2" t="s">
        <v>928</v>
      </c>
      <c r="Q525" s="2" t="s">
        <v>41</v>
      </c>
      <c r="R525" s="2"/>
      <c r="S525" s="1">
        <v>252.88</v>
      </c>
      <c r="T525" s="11">
        <f t="shared" si="9"/>
        <v>2.0872436135528868E-3</v>
      </c>
    </row>
    <row r="526" spans="16:20">
      <c r="P526" s="2" t="s">
        <v>929</v>
      </c>
      <c r="Q526" s="2" t="s">
        <v>41</v>
      </c>
      <c r="R526" s="2"/>
      <c r="S526" s="1">
        <v>252.88</v>
      </c>
      <c r="T526" s="11">
        <f t="shared" si="9"/>
        <v>2.0872436135528868E-3</v>
      </c>
    </row>
    <row r="527" spans="16:20">
      <c r="P527" s="2" t="s">
        <v>930</v>
      </c>
      <c r="Q527" s="2" t="s">
        <v>41</v>
      </c>
      <c r="R527" s="2"/>
      <c r="S527" s="1">
        <v>237.07</v>
      </c>
      <c r="T527" s="11">
        <f t="shared" si="9"/>
        <v>1.9567496182576038E-3</v>
      </c>
    </row>
    <row r="528" spans="16:20">
      <c r="P528" s="2" t="s">
        <v>931</v>
      </c>
      <c r="Q528" s="2" t="s">
        <v>41</v>
      </c>
      <c r="R528" s="2"/>
      <c r="S528" s="1">
        <v>252.88</v>
      </c>
      <c r="T528" s="11">
        <f t="shared" si="9"/>
        <v>2.0872436135528868E-3</v>
      </c>
    </row>
    <row r="529" spans="16:20">
      <c r="P529" s="2" t="s">
        <v>932</v>
      </c>
      <c r="Q529" s="2" t="s">
        <v>41</v>
      </c>
      <c r="R529" s="2"/>
      <c r="S529" s="1">
        <v>252.88</v>
      </c>
      <c r="T529" s="11">
        <f t="shared" si="9"/>
        <v>2.0872436135528868E-3</v>
      </c>
    </row>
    <row r="530" spans="16:20">
      <c r="P530" s="2" t="s">
        <v>933</v>
      </c>
      <c r="Q530" s="2" t="s">
        <v>41</v>
      </c>
      <c r="R530" s="2"/>
      <c r="S530" s="1">
        <v>237.07499999999999</v>
      </c>
      <c r="T530" s="11">
        <f t="shared" si="9"/>
        <v>1.9567908877058311E-3</v>
      </c>
    </row>
    <row r="531" spans="16:20">
      <c r="P531" s="2" t="s">
        <v>934</v>
      </c>
      <c r="Q531" s="2" t="s">
        <v>41</v>
      </c>
      <c r="R531" s="2"/>
      <c r="S531" s="1">
        <v>237.07499999999999</v>
      </c>
      <c r="T531" s="11">
        <f t="shared" si="9"/>
        <v>1.9567908877058311E-3</v>
      </c>
    </row>
    <row r="532" spans="16:20">
      <c r="P532" s="2" t="s">
        <v>935</v>
      </c>
      <c r="Q532" s="2" t="s">
        <v>41</v>
      </c>
      <c r="R532" s="2"/>
      <c r="S532" s="1">
        <v>284.49</v>
      </c>
      <c r="T532" s="11">
        <f t="shared" si="9"/>
        <v>2.3481490652469978E-3</v>
      </c>
    </row>
    <row r="533" spans="16:20">
      <c r="P533" s="2" t="s">
        <v>936</v>
      </c>
      <c r="Q533" s="2" t="s">
        <v>41</v>
      </c>
      <c r="R533" s="2"/>
      <c r="S533" s="1">
        <v>237.07499999999999</v>
      </c>
      <c r="T533" s="11">
        <f t="shared" si="9"/>
        <v>1.9567908877058311E-3</v>
      </c>
    </row>
    <row r="534" spans="16:20">
      <c r="P534" s="2" t="s">
        <v>937</v>
      </c>
      <c r="Q534" s="2" t="s">
        <v>41</v>
      </c>
      <c r="R534" s="2"/>
      <c r="S534" s="1">
        <v>205.465</v>
      </c>
      <c r="T534" s="11">
        <f t="shared" si="9"/>
        <v>1.6958854360117205E-3</v>
      </c>
    </row>
    <row r="535" spans="16:20">
      <c r="P535" s="2" t="s">
        <v>938</v>
      </c>
      <c r="Q535" s="2" t="s">
        <v>41</v>
      </c>
      <c r="R535" s="2"/>
      <c r="S535" s="1">
        <v>189.66</v>
      </c>
      <c r="T535" s="11">
        <f t="shared" si="9"/>
        <v>1.565432710164665E-3</v>
      </c>
    </row>
    <row r="536" spans="16:20">
      <c r="P536" s="2" t="s">
        <v>939</v>
      </c>
      <c r="Q536" s="2" t="s">
        <v>41</v>
      </c>
      <c r="R536" s="2"/>
      <c r="S536" s="1">
        <v>252.88</v>
      </c>
      <c r="T536" s="11">
        <f t="shared" si="9"/>
        <v>2.0872436135528868E-3</v>
      </c>
    </row>
    <row r="537" spans="16:20">
      <c r="P537" s="2" t="s">
        <v>940</v>
      </c>
      <c r="Q537" s="2" t="s">
        <v>41</v>
      </c>
      <c r="R537" s="2"/>
      <c r="S537" s="1">
        <v>221.27</v>
      </c>
      <c r="T537" s="11">
        <f t="shared" si="9"/>
        <v>1.826338161858776E-3</v>
      </c>
    </row>
    <row r="538" spans="16:20">
      <c r="P538" s="2" t="s">
        <v>941</v>
      </c>
      <c r="Q538" s="2" t="s">
        <v>41</v>
      </c>
      <c r="R538" s="2"/>
      <c r="S538" s="1">
        <v>205.465</v>
      </c>
      <c r="T538" s="11">
        <f t="shared" si="9"/>
        <v>1.6958854360117205E-3</v>
      </c>
    </row>
    <row r="539" spans="16:20">
      <c r="P539" s="2" t="s">
        <v>942</v>
      </c>
      <c r="Q539" s="2" t="s">
        <v>41</v>
      </c>
      <c r="R539" s="2"/>
      <c r="S539" s="1">
        <v>126.44</v>
      </c>
      <c r="T539" s="11">
        <f t="shared" si="9"/>
        <v>1.0436218067764434E-3</v>
      </c>
    </row>
    <row r="540" spans="16:20">
      <c r="P540" s="2" t="s">
        <v>943</v>
      </c>
      <c r="Q540" s="2" t="s">
        <v>41</v>
      </c>
      <c r="R540" s="2"/>
      <c r="S540" s="1">
        <v>284.49</v>
      </c>
      <c r="T540" s="11">
        <f t="shared" si="9"/>
        <v>2.3481490652469978E-3</v>
      </c>
    </row>
    <row r="541" spans="16:20">
      <c r="P541" s="2" t="s">
        <v>944</v>
      </c>
      <c r="Q541" s="2" t="s">
        <v>41</v>
      </c>
      <c r="R541" s="2"/>
      <c r="S541" s="1">
        <v>221.27</v>
      </c>
      <c r="T541" s="11">
        <f t="shared" si="9"/>
        <v>1.826338161858776E-3</v>
      </c>
    </row>
    <row r="542" spans="16:20">
      <c r="P542" s="2" t="s">
        <v>945</v>
      </c>
      <c r="Q542" s="2" t="s">
        <v>41</v>
      </c>
      <c r="R542" s="2"/>
      <c r="S542" s="1">
        <v>221.27</v>
      </c>
      <c r="T542" s="11">
        <f t="shared" ref="T542:T605" si="10">S542/$B$2</f>
        <v>1.826338161858776E-3</v>
      </c>
    </row>
    <row r="543" spans="16:20">
      <c r="P543" s="2" t="s">
        <v>946</v>
      </c>
      <c r="Q543" s="2" t="s">
        <v>41</v>
      </c>
      <c r="R543" s="2"/>
      <c r="S543" s="1">
        <v>221.27</v>
      </c>
      <c r="T543" s="11">
        <f t="shared" si="10"/>
        <v>1.826338161858776E-3</v>
      </c>
    </row>
    <row r="544" spans="16:20">
      <c r="P544" s="2" t="s">
        <v>947</v>
      </c>
      <c r="Q544" s="2" t="s">
        <v>41</v>
      </c>
      <c r="R544" s="2"/>
      <c r="S544" s="1">
        <v>252.88</v>
      </c>
      <c r="T544" s="11">
        <f t="shared" si="10"/>
        <v>2.0872436135528868E-3</v>
      </c>
    </row>
    <row r="545" spans="16:20">
      <c r="P545" s="2" t="s">
        <v>948</v>
      </c>
      <c r="Q545" s="2" t="s">
        <v>41</v>
      </c>
      <c r="R545" s="2"/>
      <c r="S545" s="1">
        <v>189.66</v>
      </c>
      <c r="T545" s="11">
        <f t="shared" si="10"/>
        <v>1.565432710164665E-3</v>
      </c>
    </row>
    <row r="546" spans="16:20">
      <c r="P546" s="2" t="s">
        <v>949</v>
      </c>
      <c r="Q546" s="2" t="s">
        <v>41</v>
      </c>
      <c r="R546" s="2"/>
      <c r="S546" s="1">
        <v>252.88</v>
      </c>
      <c r="T546" s="11">
        <f t="shared" si="10"/>
        <v>2.0872436135528868E-3</v>
      </c>
    </row>
    <row r="547" spans="16:20">
      <c r="P547" s="2" t="s">
        <v>950</v>
      </c>
      <c r="Q547" s="2" t="s">
        <v>41</v>
      </c>
      <c r="R547" s="2"/>
      <c r="S547" s="1">
        <v>252.88</v>
      </c>
      <c r="T547" s="11">
        <f t="shared" si="10"/>
        <v>2.0872436135528868E-3</v>
      </c>
    </row>
    <row r="548" spans="16:20">
      <c r="P548" s="2" t="s">
        <v>951</v>
      </c>
      <c r="Q548" s="2" t="s">
        <v>41</v>
      </c>
      <c r="R548" s="2"/>
      <c r="S548" s="1">
        <v>221.27</v>
      </c>
      <c r="T548" s="11">
        <f t="shared" si="10"/>
        <v>1.826338161858776E-3</v>
      </c>
    </row>
    <row r="549" spans="16:20">
      <c r="P549" s="2" t="s">
        <v>952</v>
      </c>
      <c r="Q549" s="2" t="s">
        <v>41</v>
      </c>
      <c r="R549" s="2"/>
      <c r="S549" s="1">
        <v>221.27</v>
      </c>
      <c r="T549" s="11">
        <f t="shared" si="10"/>
        <v>1.826338161858776E-3</v>
      </c>
    </row>
    <row r="550" spans="16:20">
      <c r="P550" s="2" t="s">
        <v>953</v>
      </c>
      <c r="Q550" s="2" t="s">
        <v>41</v>
      </c>
      <c r="R550" s="2"/>
      <c r="S550" s="1">
        <v>221.27</v>
      </c>
      <c r="T550" s="11">
        <f t="shared" si="10"/>
        <v>1.826338161858776E-3</v>
      </c>
    </row>
    <row r="551" spans="16:20">
      <c r="P551" s="2" t="s">
        <v>954</v>
      </c>
      <c r="Q551" s="2" t="s">
        <v>41</v>
      </c>
      <c r="R551" s="2"/>
      <c r="S551" s="1">
        <v>221.27</v>
      </c>
      <c r="T551" s="11">
        <f t="shared" si="10"/>
        <v>1.826338161858776E-3</v>
      </c>
    </row>
    <row r="552" spans="16:20">
      <c r="P552" s="2" t="s">
        <v>955</v>
      </c>
      <c r="Q552" s="2" t="s">
        <v>41</v>
      </c>
      <c r="R552" s="2"/>
      <c r="S552" s="1">
        <v>252.88</v>
      </c>
      <c r="T552" s="11">
        <f t="shared" si="10"/>
        <v>2.0872436135528868E-3</v>
      </c>
    </row>
    <row r="553" spans="16:20">
      <c r="P553" s="2" t="s">
        <v>956</v>
      </c>
      <c r="Q553" s="2" t="s">
        <v>42</v>
      </c>
      <c r="R553" s="2"/>
      <c r="S553" s="1">
        <v>6200</v>
      </c>
      <c r="T553" s="11">
        <f t="shared" si="10"/>
        <v>5.1174115802071728E-2</v>
      </c>
    </row>
    <row r="554" spans="16:20">
      <c r="P554" s="2" t="s">
        <v>957</v>
      </c>
      <c r="Q554" s="2" t="s">
        <v>43</v>
      </c>
      <c r="R554" s="2"/>
      <c r="S554" s="1">
        <v>3635</v>
      </c>
      <c r="T554" s="11">
        <f t="shared" si="10"/>
        <v>3.0002888861375924E-2</v>
      </c>
    </row>
    <row r="555" spans="16:20">
      <c r="P555" s="2" t="s">
        <v>958</v>
      </c>
      <c r="Q555" s="2" t="s">
        <v>43</v>
      </c>
      <c r="R555" s="2"/>
      <c r="S555" s="1">
        <v>3066</v>
      </c>
      <c r="T555" s="11">
        <f t="shared" si="10"/>
        <v>2.5306425653089017E-2</v>
      </c>
    </row>
    <row r="556" spans="16:20">
      <c r="P556" s="2" t="s">
        <v>959</v>
      </c>
      <c r="Q556" s="2" t="s">
        <v>41</v>
      </c>
      <c r="R556" s="2"/>
      <c r="S556" s="1"/>
      <c r="T556" s="11">
        <f t="shared" si="10"/>
        <v>0</v>
      </c>
    </row>
    <row r="557" spans="16:20">
      <c r="P557" s="2" t="s">
        <v>960</v>
      </c>
      <c r="Q557" s="2" t="s">
        <v>41</v>
      </c>
      <c r="R557" s="2"/>
      <c r="S557" s="1">
        <v>3921</v>
      </c>
      <c r="T557" s="11">
        <f t="shared" si="10"/>
        <v>3.2363501299987621E-2</v>
      </c>
    </row>
    <row r="558" spans="16:20">
      <c r="P558" s="2" t="s">
        <v>175</v>
      </c>
      <c r="Q558" s="2" t="s">
        <v>42</v>
      </c>
      <c r="R558" s="2"/>
      <c r="S558" s="1">
        <v>1534</v>
      </c>
      <c r="T558" s="11">
        <f t="shared" si="10"/>
        <v>1.2661466716190005E-2</v>
      </c>
    </row>
    <row r="559" spans="16:20">
      <c r="P559" s="2" t="s">
        <v>176</v>
      </c>
      <c r="Q559" s="2" t="s">
        <v>42</v>
      </c>
      <c r="R559" s="2"/>
      <c r="S559" s="1">
        <v>1456</v>
      </c>
      <c r="T559" s="11">
        <f t="shared" si="10"/>
        <v>1.201766332384136E-2</v>
      </c>
    </row>
    <row r="560" spans="16:20">
      <c r="P560" s="2" t="s">
        <v>177</v>
      </c>
      <c r="Q560" s="2" t="s">
        <v>42</v>
      </c>
      <c r="R560" s="2"/>
      <c r="S560" s="1">
        <v>1597</v>
      </c>
      <c r="T560" s="11">
        <f t="shared" si="10"/>
        <v>1.3181461763856218E-2</v>
      </c>
    </row>
    <row r="561" spans="16:20">
      <c r="P561" s="2" t="s">
        <v>178</v>
      </c>
      <c r="Q561" s="2" t="s">
        <v>42</v>
      </c>
      <c r="R561" s="2"/>
      <c r="S561" s="1">
        <v>1581</v>
      </c>
      <c r="T561" s="11">
        <f t="shared" si="10"/>
        <v>1.3049399529528291E-2</v>
      </c>
    </row>
    <row r="562" spans="16:20">
      <c r="P562" s="2" t="s">
        <v>179</v>
      </c>
      <c r="Q562" s="2" t="s">
        <v>43</v>
      </c>
      <c r="R562" s="2"/>
      <c r="S562" s="1">
        <v>1675</v>
      </c>
      <c r="T562" s="11">
        <f t="shared" si="10"/>
        <v>1.3825265156204861E-2</v>
      </c>
    </row>
    <row r="563" spans="16:20">
      <c r="P563" s="2" t="s">
        <v>180</v>
      </c>
      <c r="Q563" s="2" t="s">
        <v>43</v>
      </c>
      <c r="R563" s="2"/>
      <c r="S563" s="1">
        <v>1738</v>
      </c>
      <c r="T563" s="11">
        <f t="shared" si="10"/>
        <v>1.4345260203871075E-2</v>
      </c>
    </row>
    <row r="564" spans="16:20">
      <c r="P564" s="2" t="s">
        <v>181</v>
      </c>
      <c r="Q564" s="2" t="s">
        <v>43</v>
      </c>
      <c r="R564" s="2"/>
      <c r="S564" s="1">
        <v>1485</v>
      </c>
      <c r="T564" s="11">
        <f t="shared" si="10"/>
        <v>1.2257026123560728E-2</v>
      </c>
    </row>
    <row r="565" spans="16:20">
      <c r="P565" s="2" t="s">
        <v>182</v>
      </c>
      <c r="Q565" s="2" t="s">
        <v>43</v>
      </c>
      <c r="R565" s="2"/>
      <c r="S565" s="1">
        <v>1801</v>
      </c>
      <c r="T565" s="11">
        <f t="shared" si="10"/>
        <v>1.4865255251537287E-2</v>
      </c>
    </row>
    <row r="566" spans="16:20">
      <c r="P566" s="2" t="s">
        <v>187</v>
      </c>
      <c r="Q566" s="2" t="s">
        <v>41</v>
      </c>
      <c r="R566" s="2"/>
      <c r="S566" s="1"/>
      <c r="T566" s="11">
        <f t="shared" si="10"/>
        <v>0</v>
      </c>
    </row>
    <row r="567" spans="16:20">
      <c r="P567" s="2" t="s">
        <v>188</v>
      </c>
      <c r="Q567" s="2" t="s">
        <v>41</v>
      </c>
      <c r="R567" s="2"/>
      <c r="S567" s="1">
        <v>1241</v>
      </c>
      <c r="T567" s="11">
        <f t="shared" si="10"/>
        <v>1.0243077050059841E-2</v>
      </c>
    </row>
    <row r="568" spans="16:20">
      <c r="P568" s="2" t="s">
        <v>189</v>
      </c>
      <c r="Q568" s="2" t="s">
        <v>41</v>
      </c>
      <c r="R568" s="2"/>
      <c r="S568" s="1">
        <v>909</v>
      </c>
      <c r="T568" s="11">
        <f t="shared" si="10"/>
        <v>7.5027856877553549E-3</v>
      </c>
    </row>
    <row r="569" spans="16:20">
      <c r="P569" s="2" t="s">
        <v>190</v>
      </c>
      <c r="Q569" s="2" t="s">
        <v>41</v>
      </c>
      <c r="R569" s="2"/>
      <c r="S569" s="1">
        <v>1515</v>
      </c>
      <c r="T569" s="11">
        <f t="shared" si="10"/>
        <v>1.2504642812925591E-2</v>
      </c>
    </row>
    <row r="570" spans="16:20">
      <c r="P570" s="2" t="s">
        <v>961</v>
      </c>
      <c r="Q570" s="2" t="s">
        <v>42</v>
      </c>
      <c r="R570" s="2"/>
      <c r="S570" s="1">
        <v>250.56</v>
      </c>
      <c r="T570" s="11">
        <f t="shared" si="10"/>
        <v>2.0680945895753373E-3</v>
      </c>
    </row>
    <row r="571" spans="16:20">
      <c r="P571" s="2" t="s">
        <v>962</v>
      </c>
      <c r="Q571" s="2" t="s">
        <v>42</v>
      </c>
      <c r="R571" s="2"/>
      <c r="S571" s="1">
        <v>250.56</v>
      </c>
      <c r="T571" s="11">
        <f t="shared" si="10"/>
        <v>2.0680945895753373E-3</v>
      </c>
    </row>
    <row r="572" spans="16:20">
      <c r="P572" s="2" t="s">
        <v>963</v>
      </c>
      <c r="Q572" s="2" t="s">
        <v>42</v>
      </c>
      <c r="R572" s="2"/>
      <c r="S572" s="1">
        <v>281.88</v>
      </c>
      <c r="T572" s="11">
        <f t="shared" si="10"/>
        <v>2.3266064132722547E-3</v>
      </c>
    </row>
    <row r="573" spans="16:20">
      <c r="P573" s="2" t="s">
        <v>964</v>
      </c>
      <c r="Q573" s="2" t="s">
        <v>42</v>
      </c>
      <c r="R573" s="2"/>
      <c r="S573" s="1">
        <v>250.56</v>
      </c>
      <c r="T573" s="11">
        <f t="shared" si="10"/>
        <v>2.0680945895753373E-3</v>
      </c>
    </row>
    <row r="574" spans="16:20">
      <c r="P574" s="2" t="s">
        <v>965</v>
      </c>
      <c r="Q574" s="2" t="s">
        <v>42</v>
      </c>
      <c r="R574" s="2"/>
      <c r="S574" s="1">
        <v>250.56</v>
      </c>
      <c r="T574" s="11">
        <f t="shared" si="10"/>
        <v>2.0680945895753373E-3</v>
      </c>
    </row>
    <row r="575" spans="16:20">
      <c r="P575" s="2" t="s">
        <v>966</v>
      </c>
      <c r="Q575" s="2" t="s">
        <v>42</v>
      </c>
      <c r="R575" s="2"/>
      <c r="S575" s="1">
        <v>250.56</v>
      </c>
      <c r="T575" s="11">
        <f t="shared" si="10"/>
        <v>2.0680945895753373E-3</v>
      </c>
    </row>
    <row r="576" spans="16:20">
      <c r="P576" s="2" t="s">
        <v>967</v>
      </c>
      <c r="Q576" s="2" t="s">
        <v>42</v>
      </c>
      <c r="R576" s="2"/>
      <c r="S576" s="1">
        <v>250.56</v>
      </c>
      <c r="T576" s="11">
        <f t="shared" si="10"/>
        <v>2.0680945895753373E-3</v>
      </c>
    </row>
    <row r="577" spans="16:20">
      <c r="P577" s="2" t="s">
        <v>968</v>
      </c>
      <c r="Q577" s="2" t="s">
        <v>42</v>
      </c>
      <c r="R577" s="2"/>
      <c r="S577" s="1">
        <v>250.56</v>
      </c>
      <c r="T577" s="11">
        <f t="shared" si="10"/>
        <v>2.0680945895753373E-3</v>
      </c>
    </row>
    <row r="578" spans="16:20">
      <c r="P578" s="2" t="s">
        <v>969</v>
      </c>
      <c r="Q578" s="2" t="s">
        <v>42</v>
      </c>
      <c r="R578" s="2"/>
      <c r="S578" s="1">
        <v>219.24</v>
      </c>
      <c r="T578" s="11">
        <f t="shared" si="10"/>
        <v>1.8095827658784203E-3</v>
      </c>
    </row>
    <row r="579" spans="16:20">
      <c r="P579" s="2" t="s">
        <v>970</v>
      </c>
      <c r="Q579" s="2" t="s">
        <v>42</v>
      </c>
      <c r="R579" s="2"/>
      <c r="S579" s="1">
        <v>203.58</v>
      </c>
      <c r="T579" s="11">
        <f t="shared" si="10"/>
        <v>1.6803268540299618E-3</v>
      </c>
    </row>
    <row r="580" spans="16:20">
      <c r="P580" s="2" t="s">
        <v>971</v>
      </c>
      <c r="Q580" s="2" t="s">
        <v>42</v>
      </c>
      <c r="R580" s="2"/>
      <c r="S580" s="1">
        <v>250.56</v>
      </c>
      <c r="T580" s="11">
        <f t="shared" si="10"/>
        <v>2.0680945895753373E-3</v>
      </c>
    </row>
    <row r="581" spans="16:20">
      <c r="P581" s="2" t="s">
        <v>972</v>
      </c>
      <c r="Q581" s="2" t="s">
        <v>42</v>
      </c>
      <c r="R581" s="2"/>
      <c r="S581" s="1">
        <v>281.88</v>
      </c>
      <c r="T581" s="11">
        <f t="shared" si="10"/>
        <v>2.3266064132722547E-3</v>
      </c>
    </row>
    <row r="582" spans="16:20">
      <c r="P582" s="2" t="s">
        <v>973</v>
      </c>
      <c r="Q582" s="2" t="s">
        <v>42</v>
      </c>
      <c r="R582" s="2"/>
      <c r="S582" s="1">
        <v>281.88</v>
      </c>
      <c r="T582" s="11">
        <f t="shared" si="10"/>
        <v>2.3266064132722547E-3</v>
      </c>
    </row>
    <row r="583" spans="16:20">
      <c r="P583" s="2" t="s">
        <v>974</v>
      </c>
      <c r="Q583" s="2" t="s">
        <v>42</v>
      </c>
      <c r="R583" s="2"/>
      <c r="S583" s="1">
        <v>281.88</v>
      </c>
      <c r="T583" s="11">
        <f t="shared" si="10"/>
        <v>2.3266064132722547E-3</v>
      </c>
    </row>
    <row r="584" spans="16:20">
      <c r="P584" s="2" t="s">
        <v>975</v>
      </c>
      <c r="Q584" s="2" t="s">
        <v>42</v>
      </c>
      <c r="R584" s="2"/>
      <c r="S584" s="1">
        <v>250.56</v>
      </c>
      <c r="T584" s="11">
        <f t="shared" si="10"/>
        <v>2.0680945895753373E-3</v>
      </c>
    </row>
    <row r="585" spans="16:20">
      <c r="P585" s="2" t="s">
        <v>976</v>
      </c>
      <c r="Q585" s="2" t="s">
        <v>42</v>
      </c>
      <c r="R585" s="2"/>
      <c r="S585" s="1">
        <v>250.56</v>
      </c>
      <c r="T585" s="11">
        <f t="shared" si="10"/>
        <v>2.0680945895753373E-3</v>
      </c>
    </row>
    <row r="586" spans="16:20">
      <c r="P586" s="2" t="s">
        <v>977</v>
      </c>
      <c r="Q586" s="2" t="s">
        <v>42</v>
      </c>
      <c r="R586" s="2"/>
      <c r="S586" s="1">
        <v>281.88</v>
      </c>
      <c r="T586" s="11">
        <f t="shared" si="10"/>
        <v>2.3266064132722547E-3</v>
      </c>
    </row>
    <row r="587" spans="16:20">
      <c r="P587" s="2" t="s">
        <v>978</v>
      </c>
      <c r="Q587" s="2" t="s">
        <v>42</v>
      </c>
      <c r="R587" s="2"/>
      <c r="S587" s="1">
        <v>250.56</v>
      </c>
      <c r="T587" s="11">
        <f t="shared" si="10"/>
        <v>2.0680945895753373E-3</v>
      </c>
    </row>
    <row r="588" spans="16:20">
      <c r="P588" s="2" t="s">
        <v>979</v>
      </c>
      <c r="Q588" s="2" t="s">
        <v>42</v>
      </c>
      <c r="R588" s="2"/>
      <c r="S588" s="1">
        <v>281.88</v>
      </c>
      <c r="T588" s="11">
        <f t="shared" si="10"/>
        <v>2.3266064132722547E-3</v>
      </c>
    </row>
    <row r="589" spans="16:20">
      <c r="P589" s="2" t="s">
        <v>980</v>
      </c>
      <c r="Q589" s="2" t="s">
        <v>42</v>
      </c>
      <c r="R589" s="2"/>
      <c r="S589" s="1">
        <v>281.88</v>
      </c>
      <c r="T589" s="11">
        <f t="shared" si="10"/>
        <v>2.3266064132722547E-3</v>
      </c>
    </row>
    <row r="590" spans="16:20">
      <c r="P590" s="2" t="s">
        <v>981</v>
      </c>
      <c r="Q590" s="2" t="s">
        <v>42</v>
      </c>
      <c r="R590" s="2"/>
      <c r="S590" s="1">
        <v>266.22000000000003</v>
      </c>
      <c r="T590" s="11">
        <f t="shared" si="10"/>
        <v>2.1973505014237964E-3</v>
      </c>
    </row>
    <row r="591" spans="16:20">
      <c r="P591" s="2" t="s">
        <v>982</v>
      </c>
      <c r="Q591" s="2" t="s">
        <v>42</v>
      </c>
      <c r="R591" s="2"/>
      <c r="S591" s="1">
        <v>281.88</v>
      </c>
      <c r="T591" s="11">
        <f t="shared" si="10"/>
        <v>2.3266064132722547E-3</v>
      </c>
    </row>
    <row r="592" spans="16:20">
      <c r="P592" s="2" t="s">
        <v>983</v>
      </c>
      <c r="Q592" s="2" t="s">
        <v>42</v>
      </c>
      <c r="R592" s="2"/>
      <c r="S592" s="1">
        <v>250.56</v>
      </c>
      <c r="T592" s="11">
        <f t="shared" si="10"/>
        <v>2.0680945895753373E-3</v>
      </c>
    </row>
    <row r="593" spans="16:20">
      <c r="P593" s="2" t="s">
        <v>984</v>
      </c>
      <c r="Q593" s="2" t="s">
        <v>42</v>
      </c>
      <c r="R593" s="2"/>
      <c r="S593" s="1">
        <v>219.24</v>
      </c>
      <c r="T593" s="11">
        <f t="shared" si="10"/>
        <v>1.8095827658784203E-3</v>
      </c>
    </row>
    <row r="594" spans="16:20">
      <c r="P594" s="2" t="s">
        <v>985</v>
      </c>
      <c r="Q594" s="2" t="s">
        <v>43</v>
      </c>
      <c r="R594" s="2"/>
      <c r="S594" s="1">
        <v>252.88</v>
      </c>
      <c r="T594" s="11">
        <f t="shared" si="10"/>
        <v>2.0872436135528868E-3</v>
      </c>
    </row>
    <row r="595" spans="16:20">
      <c r="P595" s="2" t="s">
        <v>986</v>
      </c>
      <c r="Q595" s="2" t="s">
        <v>43</v>
      </c>
      <c r="R595" s="2"/>
      <c r="S595" s="1">
        <v>221.27</v>
      </c>
      <c r="T595" s="11">
        <f t="shared" si="10"/>
        <v>1.826338161858776E-3</v>
      </c>
    </row>
    <row r="596" spans="16:20">
      <c r="P596" s="2" t="s">
        <v>987</v>
      </c>
      <c r="Q596" s="2" t="s">
        <v>43</v>
      </c>
      <c r="R596" s="2"/>
      <c r="S596" s="1">
        <v>252.88</v>
      </c>
      <c r="T596" s="11">
        <f t="shared" si="10"/>
        <v>2.0872436135528868E-3</v>
      </c>
    </row>
    <row r="597" spans="16:20">
      <c r="P597" s="2" t="s">
        <v>988</v>
      </c>
      <c r="Q597" s="2" t="s">
        <v>43</v>
      </c>
      <c r="R597" s="2"/>
      <c r="S597" s="1">
        <v>252.88</v>
      </c>
      <c r="T597" s="11">
        <f t="shared" si="10"/>
        <v>2.0872436135528868E-3</v>
      </c>
    </row>
    <row r="598" spans="16:20">
      <c r="P598" s="2" t="s">
        <v>989</v>
      </c>
      <c r="Q598" s="2" t="s">
        <v>43</v>
      </c>
      <c r="R598" s="2"/>
      <c r="S598" s="1">
        <v>252.88</v>
      </c>
      <c r="T598" s="11">
        <f t="shared" si="10"/>
        <v>2.0872436135528868E-3</v>
      </c>
    </row>
    <row r="599" spans="16:20">
      <c r="P599" s="2" t="s">
        <v>990</v>
      </c>
      <c r="Q599" s="2" t="s">
        <v>43</v>
      </c>
      <c r="R599" s="2"/>
      <c r="S599" s="1">
        <v>221.27</v>
      </c>
      <c r="T599" s="11">
        <f t="shared" si="10"/>
        <v>1.826338161858776E-3</v>
      </c>
    </row>
    <row r="600" spans="16:20">
      <c r="P600" s="2" t="s">
        <v>991</v>
      </c>
      <c r="Q600" s="2" t="s">
        <v>43</v>
      </c>
      <c r="R600" s="2"/>
      <c r="S600" s="1">
        <v>221.27</v>
      </c>
      <c r="T600" s="11">
        <f t="shared" si="10"/>
        <v>1.826338161858776E-3</v>
      </c>
    </row>
    <row r="601" spans="16:20">
      <c r="P601" s="2" t="s">
        <v>992</v>
      </c>
      <c r="Q601" s="2" t="s">
        <v>43</v>
      </c>
      <c r="R601" s="2"/>
      <c r="S601" s="1">
        <v>252.88</v>
      </c>
      <c r="T601" s="11">
        <f t="shared" si="10"/>
        <v>2.0872436135528868E-3</v>
      </c>
    </row>
    <row r="602" spans="16:20">
      <c r="P602" s="2" t="s">
        <v>993</v>
      </c>
      <c r="Q602" s="2" t="s">
        <v>43</v>
      </c>
      <c r="R602" s="2"/>
      <c r="S602" s="1">
        <v>252.88</v>
      </c>
      <c r="T602" s="11">
        <f t="shared" si="10"/>
        <v>2.0872436135528868E-3</v>
      </c>
    </row>
    <row r="603" spans="16:20">
      <c r="P603" s="2" t="s">
        <v>994</v>
      </c>
      <c r="Q603" s="2" t="s">
        <v>43</v>
      </c>
      <c r="R603" s="2"/>
      <c r="S603" s="1">
        <v>282.88</v>
      </c>
      <c r="T603" s="11">
        <f t="shared" si="10"/>
        <v>2.3348603029177501E-3</v>
      </c>
    </row>
    <row r="604" spans="16:20">
      <c r="P604" s="2" t="s">
        <v>995</v>
      </c>
      <c r="Q604" s="2" t="s">
        <v>43</v>
      </c>
      <c r="R604" s="2"/>
      <c r="S604" s="1">
        <v>252.88</v>
      </c>
      <c r="T604" s="11">
        <f t="shared" si="10"/>
        <v>2.0872436135528868E-3</v>
      </c>
    </row>
    <row r="605" spans="16:20">
      <c r="P605" s="2" t="s">
        <v>996</v>
      </c>
      <c r="Q605" s="2" t="s">
        <v>43</v>
      </c>
      <c r="R605" s="2"/>
      <c r="S605" s="1">
        <v>252.88</v>
      </c>
      <c r="T605" s="11">
        <f t="shared" si="10"/>
        <v>2.0872436135528868E-3</v>
      </c>
    </row>
    <row r="606" spans="16:20">
      <c r="P606" s="2" t="s">
        <v>997</v>
      </c>
      <c r="Q606" s="2" t="s">
        <v>43</v>
      </c>
      <c r="R606" s="2"/>
      <c r="S606" s="1">
        <v>221.27</v>
      </c>
      <c r="T606" s="11">
        <f t="shared" ref="T606:T687" si="11">S606/$B$2</f>
        <v>1.826338161858776E-3</v>
      </c>
    </row>
    <row r="607" spans="16:20">
      <c r="P607" s="2" t="s">
        <v>998</v>
      </c>
      <c r="Q607" s="2" t="s">
        <v>43</v>
      </c>
      <c r="R607" s="2"/>
      <c r="S607" s="1">
        <v>252.88</v>
      </c>
      <c r="T607" s="11">
        <f t="shared" si="11"/>
        <v>2.0872436135528868E-3</v>
      </c>
    </row>
    <row r="608" spans="16:20">
      <c r="P608" s="2" t="s">
        <v>999</v>
      </c>
      <c r="Q608" s="2" t="s">
        <v>43</v>
      </c>
      <c r="R608" s="2"/>
      <c r="S608" s="1">
        <v>221.27</v>
      </c>
      <c r="T608" s="11">
        <f t="shared" si="11"/>
        <v>1.826338161858776E-3</v>
      </c>
    </row>
    <row r="609" spans="16:20">
      <c r="P609" s="2" t="s">
        <v>1000</v>
      </c>
      <c r="Q609" s="2" t="s">
        <v>43</v>
      </c>
      <c r="R609" s="2"/>
      <c r="S609" s="1">
        <v>252.88</v>
      </c>
      <c r="T609" s="11">
        <f t="shared" si="11"/>
        <v>2.0872436135528868E-3</v>
      </c>
    </row>
    <row r="610" spans="16:20">
      <c r="P610" s="2" t="s">
        <v>1001</v>
      </c>
      <c r="Q610" s="2" t="s">
        <v>43</v>
      </c>
      <c r="R610" s="2"/>
      <c r="S610" s="1">
        <v>252.88</v>
      </c>
      <c r="T610" s="11">
        <f t="shared" si="11"/>
        <v>2.0872436135528868E-3</v>
      </c>
    </row>
    <row r="611" spans="16:20">
      <c r="P611" s="2" t="s">
        <v>1002</v>
      </c>
      <c r="Q611" s="2" t="s">
        <v>43</v>
      </c>
      <c r="R611" s="2"/>
      <c r="S611" s="1">
        <v>268.685</v>
      </c>
      <c r="T611" s="11">
        <f t="shared" si="11"/>
        <v>2.2176963393999421E-3</v>
      </c>
    </row>
    <row r="612" spans="16:20">
      <c r="P612" s="2" t="s">
        <v>1003</v>
      </c>
      <c r="Q612" s="2" t="s">
        <v>43</v>
      </c>
      <c r="R612" s="2"/>
      <c r="S612" s="1">
        <v>237.07499999999999</v>
      </c>
      <c r="T612" s="11">
        <f t="shared" si="11"/>
        <v>1.9567908877058311E-3</v>
      </c>
    </row>
    <row r="613" spans="16:20">
      <c r="P613" s="2" t="s">
        <v>1004</v>
      </c>
      <c r="Q613" s="2" t="s">
        <v>43</v>
      </c>
      <c r="R613" s="2"/>
      <c r="S613" s="1">
        <v>252.88</v>
      </c>
      <c r="T613" s="11">
        <f t="shared" si="11"/>
        <v>2.0872436135528868E-3</v>
      </c>
    </row>
    <row r="614" spans="16:20">
      <c r="P614" s="2" t="s">
        <v>1005</v>
      </c>
      <c r="Q614" s="2" t="s">
        <v>43</v>
      </c>
      <c r="R614" s="2"/>
      <c r="S614" s="1">
        <v>0</v>
      </c>
      <c r="T614" s="11">
        <f t="shared" si="11"/>
        <v>0</v>
      </c>
    </row>
    <row r="615" spans="16:20">
      <c r="P615" s="2" t="s">
        <v>1006</v>
      </c>
      <c r="Q615" s="2" t="s">
        <v>43</v>
      </c>
      <c r="R615" s="2"/>
      <c r="S615" s="1">
        <v>252.88</v>
      </c>
      <c r="T615" s="11">
        <f t="shared" si="11"/>
        <v>2.0872436135528868E-3</v>
      </c>
    </row>
    <row r="616" spans="16:20">
      <c r="P616" s="2" t="s">
        <v>1007</v>
      </c>
      <c r="Q616" s="2" t="s">
        <v>43</v>
      </c>
      <c r="R616" s="2"/>
      <c r="S616" s="1">
        <v>252.88</v>
      </c>
      <c r="T616" s="11">
        <f t="shared" si="11"/>
        <v>2.0872436135528868E-3</v>
      </c>
    </row>
    <row r="617" spans="16:20">
      <c r="P617" s="2" t="s">
        <v>1008</v>
      </c>
      <c r="Q617" s="2" t="s">
        <v>43</v>
      </c>
      <c r="R617" s="2"/>
      <c r="S617" s="1">
        <v>252.88</v>
      </c>
      <c r="T617" s="11">
        <f t="shared" si="11"/>
        <v>2.0872436135528868E-3</v>
      </c>
    </row>
    <row r="618" spans="16:20">
      <c r="P618" s="2" t="s">
        <v>1009</v>
      </c>
      <c r="Q618" s="2" t="s">
        <v>43</v>
      </c>
      <c r="R618" s="2"/>
      <c r="S618" s="1">
        <v>252.88</v>
      </c>
      <c r="T618" s="11">
        <f t="shared" si="11"/>
        <v>2.0872436135528868E-3</v>
      </c>
    </row>
    <row r="619" spans="16:20">
      <c r="P619" s="2" t="s">
        <v>1010</v>
      </c>
      <c r="Q619" s="2" t="s">
        <v>43</v>
      </c>
      <c r="R619" s="2"/>
      <c r="S619" s="1">
        <v>284.49</v>
      </c>
      <c r="T619" s="11">
        <f t="shared" si="11"/>
        <v>2.3481490652469978E-3</v>
      </c>
    </row>
    <row r="620" spans="16:20">
      <c r="P620" s="2" t="s">
        <v>1011</v>
      </c>
      <c r="Q620" s="2" t="s">
        <v>43</v>
      </c>
      <c r="R620" s="2"/>
      <c r="S620" s="1">
        <v>252.88</v>
      </c>
      <c r="T620" s="11">
        <f t="shared" si="11"/>
        <v>2.0872436135528868E-3</v>
      </c>
    </row>
    <row r="621" spans="16:20">
      <c r="P621" s="2" t="s">
        <v>1012</v>
      </c>
      <c r="Q621" s="2" t="s">
        <v>43</v>
      </c>
      <c r="R621" s="2"/>
      <c r="S621" s="1">
        <v>252.88</v>
      </c>
      <c r="T621" s="11">
        <f t="shared" si="11"/>
        <v>2.0872436135528868E-3</v>
      </c>
    </row>
    <row r="622" spans="16:20">
      <c r="P622" s="2" t="s">
        <v>1013</v>
      </c>
      <c r="Q622" s="2" t="s">
        <v>41</v>
      </c>
      <c r="R622" s="2"/>
      <c r="S622" s="1">
        <v>127.6</v>
      </c>
      <c r="T622" s="11">
        <f t="shared" si="11"/>
        <v>1.0531963187652182E-3</v>
      </c>
    </row>
    <row r="623" spans="16:20">
      <c r="P623" s="2" t="s">
        <v>1014</v>
      </c>
      <c r="Q623" s="2" t="s">
        <v>41</v>
      </c>
      <c r="R623" s="2"/>
      <c r="S623" s="1">
        <v>0</v>
      </c>
      <c r="T623" s="11">
        <f t="shared" si="11"/>
        <v>0</v>
      </c>
    </row>
    <row r="624" spans="16:20">
      <c r="P624" s="2" t="s">
        <v>1015</v>
      </c>
      <c r="Q624" s="2" t="s">
        <v>41</v>
      </c>
      <c r="R624" s="2"/>
      <c r="S624" s="1">
        <v>0</v>
      </c>
      <c r="T624" s="11">
        <f t="shared" si="11"/>
        <v>0</v>
      </c>
    </row>
    <row r="625" spans="16:20">
      <c r="P625" s="2" t="s">
        <v>1016</v>
      </c>
      <c r="Q625" s="2" t="s">
        <v>41</v>
      </c>
      <c r="R625" s="2"/>
      <c r="S625" s="1">
        <v>0</v>
      </c>
      <c r="T625" s="11">
        <f t="shared" si="11"/>
        <v>0</v>
      </c>
    </row>
    <row r="626" spans="16:20">
      <c r="P626" s="2" t="s">
        <v>1017</v>
      </c>
      <c r="Q626" s="2" t="s">
        <v>41</v>
      </c>
      <c r="R626" s="2"/>
      <c r="S626" s="1">
        <v>95.7</v>
      </c>
      <c r="T626" s="11">
        <f t="shared" si="11"/>
        <v>7.8989723907391357E-4</v>
      </c>
    </row>
    <row r="627" spans="16:20">
      <c r="P627" s="2" t="s">
        <v>1018</v>
      </c>
      <c r="Q627" s="2" t="s">
        <v>41</v>
      </c>
      <c r="R627" s="2"/>
      <c r="S627" s="1">
        <v>223.3</v>
      </c>
      <c r="T627" s="11">
        <f t="shared" si="11"/>
        <v>1.8430935578391317E-3</v>
      </c>
    </row>
    <row r="628" spans="16:20">
      <c r="P628" s="2" t="s">
        <v>1019</v>
      </c>
      <c r="Q628" s="2" t="s">
        <v>41</v>
      </c>
      <c r="R628" s="2"/>
      <c r="S628" s="1">
        <v>223.3</v>
      </c>
      <c r="T628" s="11">
        <f t="shared" si="11"/>
        <v>1.8430935578391317E-3</v>
      </c>
    </row>
    <row r="629" spans="16:20">
      <c r="P629" s="2" t="s">
        <v>1020</v>
      </c>
      <c r="Q629" s="2" t="s">
        <v>41</v>
      </c>
      <c r="R629" s="2"/>
      <c r="S629" s="1">
        <v>255.2</v>
      </c>
      <c r="T629" s="11">
        <f t="shared" si="11"/>
        <v>2.1063926375304363E-3</v>
      </c>
    </row>
    <row r="630" spans="16:20">
      <c r="P630" s="2" t="s">
        <v>1021</v>
      </c>
      <c r="Q630" s="2" t="s">
        <v>41</v>
      </c>
      <c r="R630" s="2"/>
      <c r="S630" s="1">
        <v>252.88</v>
      </c>
      <c r="T630" s="11">
        <f t="shared" si="11"/>
        <v>2.0872436135528868E-3</v>
      </c>
    </row>
    <row r="631" spans="16:20">
      <c r="P631" s="2" t="s">
        <v>1022</v>
      </c>
      <c r="Q631" s="2" t="s">
        <v>41</v>
      </c>
      <c r="R631" s="2"/>
      <c r="S631" s="1">
        <v>255.2</v>
      </c>
      <c r="T631" s="11">
        <f t="shared" si="11"/>
        <v>2.1063926375304363E-3</v>
      </c>
    </row>
    <row r="632" spans="16:20">
      <c r="P632" s="2" t="s">
        <v>1023</v>
      </c>
      <c r="Q632" s="2" t="s">
        <v>41</v>
      </c>
      <c r="R632" s="2"/>
      <c r="S632" s="1">
        <v>255.2</v>
      </c>
      <c r="T632" s="11">
        <f t="shared" si="11"/>
        <v>2.1063926375304363E-3</v>
      </c>
    </row>
    <row r="633" spans="16:20">
      <c r="P633" s="2" t="s">
        <v>1024</v>
      </c>
      <c r="Q633" s="2" t="s">
        <v>41</v>
      </c>
      <c r="R633" s="2"/>
      <c r="S633" s="1">
        <v>223.3</v>
      </c>
      <c r="T633" s="11">
        <f t="shared" si="11"/>
        <v>1.8430935578391317E-3</v>
      </c>
    </row>
    <row r="634" spans="16:20">
      <c r="P634" s="2" t="s">
        <v>1025</v>
      </c>
      <c r="Q634" s="2" t="s">
        <v>41</v>
      </c>
      <c r="R634" s="2"/>
      <c r="S634" s="1">
        <v>255.2</v>
      </c>
      <c r="T634" s="11">
        <f t="shared" si="11"/>
        <v>2.1063926375304363E-3</v>
      </c>
    </row>
    <row r="635" spans="16:20">
      <c r="P635" s="2" t="s">
        <v>1026</v>
      </c>
      <c r="Q635" s="2" t="s">
        <v>41</v>
      </c>
      <c r="R635" s="2"/>
      <c r="S635" s="1">
        <v>223.3</v>
      </c>
      <c r="T635" s="11">
        <f t="shared" si="11"/>
        <v>1.8430935578391317E-3</v>
      </c>
    </row>
    <row r="636" spans="16:20">
      <c r="P636" s="2" t="s">
        <v>1027</v>
      </c>
      <c r="Q636" s="2" t="s">
        <v>41</v>
      </c>
      <c r="R636" s="2"/>
      <c r="S636" s="1">
        <v>223.3</v>
      </c>
      <c r="T636" s="11">
        <f t="shared" si="11"/>
        <v>1.8430935578391317E-3</v>
      </c>
    </row>
    <row r="637" spans="16:20">
      <c r="P637" s="2" t="s">
        <v>1028</v>
      </c>
      <c r="Q637" s="2" t="s">
        <v>41</v>
      </c>
      <c r="R637" s="2"/>
      <c r="S637" s="1">
        <v>223.3</v>
      </c>
      <c r="T637" s="11">
        <f t="shared" si="11"/>
        <v>1.8430935578391317E-3</v>
      </c>
    </row>
    <row r="638" spans="16:20">
      <c r="P638" s="2" t="s">
        <v>1029</v>
      </c>
      <c r="Q638" s="2" t="s">
        <v>41</v>
      </c>
      <c r="R638" s="2"/>
      <c r="S638" s="1">
        <v>223.3</v>
      </c>
      <c r="T638" s="11">
        <f t="shared" si="11"/>
        <v>1.8430935578391317E-3</v>
      </c>
    </row>
    <row r="639" spans="16:20">
      <c r="P639" s="2" t="s">
        <v>1030</v>
      </c>
      <c r="Q639" s="2" t="s">
        <v>41</v>
      </c>
      <c r="R639" s="2"/>
      <c r="S639" s="1">
        <v>239.25</v>
      </c>
      <c r="T639" s="11">
        <f t="shared" si="11"/>
        <v>1.974743097684784E-3</v>
      </c>
    </row>
    <row r="640" spans="16:20">
      <c r="P640" s="2" t="s">
        <v>1031</v>
      </c>
      <c r="Q640" s="2" t="s">
        <v>41</v>
      </c>
      <c r="R640" s="2"/>
      <c r="S640" s="1">
        <v>239.25</v>
      </c>
      <c r="T640" s="11">
        <f t="shared" si="11"/>
        <v>1.974743097684784E-3</v>
      </c>
    </row>
    <row r="641" spans="16:20">
      <c r="P641" s="2" t="s">
        <v>1032</v>
      </c>
      <c r="Q641" s="2" t="s">
        <v>41</v>
      </c>
      <c r="R641" s="2"/>
      <c r="S641" s="1">
        <v>223.3</v>
      </c>
      <c r="T641" s="11">
        <f t="shared" si="11"/>
        <v>1.8430935578391317E-3</v>
      </c>
    </row>
    <row r="642" spans="16:20">
      <c r="P642" s="2" t="s">
        <v>1033</v>
      </c>
      <c r="Q642" s="2" t="s">
        <v>41</v>
      </c>
      <c r="R642" s="2"/>
      <c r="S642" s="1">
        <v>255.2</v>
      </c>
      <c r="T642" s="11">
        <f t="shared" si="11"/>
        <v>2.1063926375304363E-3</v>
      </c>
    </row>
    <row r="643" spans="16:20">
      <c r="P643" s="2" t="s">
        <v>1034</v>
      </c>
      <c r="Q643" s="2" t="s">
        <v>41</v>
      </c>
      <c r="R643" s="2"/>
      <c r="S643" s="1">
        <v>255.2</v>
      </c>
      <c r="T643" s="11">
        <f t="shared" si="11"/>
        <v>2.1063926375304363E-3</v>
      </c>
    </row>
    <row r="644" spans="16:20">
      <c r="P644" s="2" t="s">
        <v>1035</v>
      </c>
      <c r="Q644" s="2" t="s">
        <v>41</v>
      </c>
      <c r="R644" s="2"/>
      <c r="S644" s="1">
        <v>271.14999999999998</v>
      </c>
      <c r="T644" s="11">
        <f t="shared" si="11"/>
        <v>2.2380421773760882E-3</v>
      </c>
    </row>
    <row r="645" spans="16:20">
      <c r="P645" s="2" t="s">
        <v>1036</v>
      </c>
      <c r="Q645" s="2" t="s">
        <v>41</v>
      </c>
      <c r="R645" s="2"/>
      <c r="S645" s="1">
        <v>271.14999999999998</v>
      </c>
      <c r="T645" s="11">
        <f t="shared" si="11"/>
        <v>2.2380421773760882E-3</v>
      </c>
    </row>
    <row r="646" spans="16:20">
      <c r="P646" s="2" t="s">
        <v>1037</v>
      </c>
      <c r="Q646" s="2" t="s">
        <v>41</v>
      </c>
      <c r="R646" s="2"/>
      <c r="S646" s="1">
        <v>17236.584999999999</v>
      </c>
      <c r="T646" s="11">
        <f t="shared" si="11"/>
        <v>0.14226887045520201</v>
      </c>
    </row>
    <row r="647" spans="16:20">
      <c r="P647" s="2" t="s">
        <v>1038</v>
      </c>
      <c r="Q647" s="2" t="s">
        <v>41</v>
      </c>
      <c r="R647" s="2"/>
      <c r="S647" s="1">
        <v>5484.335</v>
      </c>
      <c r="T647" s="11">
        <f t="shared" si="11"/>
        <v>4.5267095868928235E-2</v>
      </c>
    </row>
    <row r="648" spans="16:20">
      <c r="P648" s="2" t="s">
        <v>1039</v>
      </c>
      <c r="Q648" s="2" t="s">
        <v>42</v>
      </c>
      <c r="R648" s="2"/>
      <c r="S648" s="1">
        <v>6170.4</v>
      </c>
      <c r="T648" s="11">
        <f t="shared" si="11"/>
        <v>5.0929800668565062E-2</v>
      </c>
    </row>
    <row r="649" spans="16:20">
      <c r="P649" s="2" t="s">
        <v>1040</v>
      </c>
      <c r="Q649" s="2" t="s">
        <v>43</v>
      </c>
      <c r="R649" s="2"/>
      <c r="S649" s="1">
        <v>6701.32</v>
      </c>
      <c r="T649" s="11">
        <f t="shared" si="11"/>
        <v>5.5311955759151495E-2</v>
      </c>
    </row>
    <row r="650" spans="16:20">
      <c r="P650" s="2" t="s">
        <v>1041</v>
      </c>
      <c r="Q650" s="2" t="s">
        <v>41</v>
      </c>
      <c r="R650" s="2"/>
      <c r="S650" s="1">
        <v>8906.48</v>
      </c>
      <c r="T650" s="11">
        <f t="shared" si="11"/>
        <v>7.351310304981222E-2</v>
      </c>
    </row>
    <row r="651" spans="16:20">
      <c r="P651" s="2" t="s">
        <v>369</v>
      </c>
      <c r="Q651" s="2"/>
      <c r="R651" s="2"/>
      <c r="S651" s="1"/>
      <c r="T651" s="11">
        <f t="shared" si="11"/>
        <v>0</v>
      </c>
    </row>
    <row r="652" spans="16:20">
      <c r="P652" s="2" t="s">
        <v>381</v>
      </c>
      <c r="Q652" s="2"/>
      <c r="R652" s="2"/>
      <c r="S652" s="1"/>
      <c r="T652" s="11">
        <f t="shared" si="11"/>
        <v>0</v>
      </c>
    </row>
    <row r="653" spans="16:20">
      <c r="P653" s="2" t="s">
        <v>389</v>
      </c>
      <c r="Q653" s="2"/>
      <c r="R653" s="2"/>
      <c r="S653" s="1"/>
      <c r="T653" s="11">
        <f t="shared" si="11"/>
        <v>0</v>
      </c>
    </row>
    <row r="654" spans="16:20">
      <c r="P654" s="2" t="s">
        <v>396</v>
      </c>
      <c r="Q654" s="2"/>
      <c r="R654" s="2"/>
      <c r="S654" s="1"/>
      <c r="T654" s="11">
        <f t="shared" si="11"/>
        <v>0</v>
      </c>
    </row>
    <row r="655" spans="16:20">
      <c r="P655" s="2" t="s">
        <v>401</v>
      </c>
      <c r="Q655" s="2"/>
      <c r="R655" s="2"/>
      <c r="S655" s="1"/>
      <c r="T655" s="11">
        <f t="shared" si="11"/>
        <v>0</v>
      </c>
    </row>
    <row r="656" spans="16:20">
      <c r="P656" s="2" t="s">
        <v>406</v>
      </c>
      <c r="Q656" s="2"/>
      <c r="R656" s="2"/>
      <c r="S656" s="1"/>
      <c r="T656" s="11">
        <f t="shared" si="11"/>
        <v>0</v>
      </c>
    </row>
    <row r="657" spans="16:20">
      <c r="P657" s="2" t="s">
        <v>411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1042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416</v>
      </c>
      <c r="Q659" s="2"/>
      <c r="R659" s="2"/>
      <c r="S659" s="1"/>
      <c r="T659" s="11">
        <f t="shared" si="11"/>
        <v>0</v>
      </c>
    </row>
    <row r="660" spans="16:20">
      <c r="P660" s="2" t="s">
        <v>421</v>
      </c>
      <c r="Q660" s="2"/>
      <c r="R660" s="2"/>
      <c r="S660" s="1"/>
      <c r="T660" s="11">
        <f t="shared" si="11"/>
        <v>0</v>
      </c>
    </row>
    <row r="661" spans="16:20">
      <c r="P661" s="2" t="s">
        <v>427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/>
      <c r="S662" s="1">
        <v>1499.3</v>
      </c>
      <c r="T662" s="11">
        <f t="shared" si="11"/>
        <v>1.2375056745491312E-2</v>
      </c>
    </row>
    <row r="663" spans="16:20">
      <c r="P663" s="2" t="s">
        <v>184</v>
      </c>
      <c r="Q663" s="2" t="s">
        <v>41</v>
      </c>
      <c r="R663" s="2"/>
      <c r="S663" s="1">
        <v>1052.7</v>
      </c>
      <c r="T663" s="11">
        <f t="shared" si="11"/>
        <v>8.688869629813049E-3</v>
      </c>
    </row>
    <row r="664" spans="16:20">
      <c r="P664" s="2" t="s">
        <v>185</v>
      </c>
      <c r="Q664" s="2" t="s">
        <v>41</v>
      </c>
      <c r="R664" s="2"/>
      <c r="S664" s="1">
        <v>1359.23</v>
      </c>
      <c r="T664" s="11">
        <f t="shared" si="11"/>
        <v>1.1218934422846766E-2</v>
      </c>
    </row>
    <row r="665" spans="16:20">
      <c r="P665" s="2" t="s">
        <v>186</v>
      </c>
      <c r="Q665" s="2" t="s">
        <v>41</v>
      </c>
      <c r="R665" s="2"/>
      <c r="S665" s="1">
        <v>1422.45</v>
      </c>
      <c r="T665" s="11">
        <f t="shared" si="11"/>
        <v>1.1740745326234989E-2</v>
      </c>
    </row>
    <row r="666" spans="16:20">
      <c r="P666" s="2" t="s">
        <v>1043</v>
      </c>
      <c r="Q666" s="2" t="s">
        <v>41</v>
      </c>
      <c r="R666" s="2"/>
      <c r="S666" s="1">
        <v>255.2</v>
      </c>
      <c r="T666" s="11">
        <f t="shared" si="11"/>
        <v>2.1063926375304363E-3</v>
      </c>
    </row>
    <row r="667" spans="16:20">
      <c r="P667" s="2" t="s">
        <v>1044</v>
      </c>
      <c r="Q667" s="2" t="s">
        <v>41</v>
      </c>
      <c r="R667" s="2"/>
      <c r="S667" s="1">
        <v>255.2</v>
      </c>
      <c r="T667" s="11">
        <f t="shared" si="11"/>
        <v>2.1063926375304363E-3</v>
      </c>
    </row>
    <row r="668" spans="16:20">
      <c r="P668" s="2" t="s">
        <v>1045</v>
      </c>
      <c r="Q668" s="2" t="s">
        <v>41</v>
      </c>
      <c r="R668" s="2"/>
      <c r="S668" s="1">
        <v>271.14999999999998</v>
      </c>
      <c r="T668" s="11">
        <f t="shared" si="11"/>
        <v>2.2380421773760882E-3</v>
      </c>
    </row>
    <row r="669" spans="16:20">
      <c r="P669" s="2" t="s">
        <v>1046</v>
      </c>
      <c r="Q669" s="2" t="s">
        <v>41</v>
      </c>
      <c r="R669" s="2"/>
      <c r="S669" s="1">
        <v>255.2</v>
      </c>
      <c r="T669" s="11">
        <f t="shared" si="11"/>
        <v>2.1063926375304363E-3</v>
      </c>
    </row>
    <row r="670" spans="16:20">
      <c r="P670" s="2" t="s">
        <v>1047</v>
      </c>
      <c r="Q670" s="2" t="s">
        <v>41</v>
      </c>
      <c r="R670" s="2"/>
      <c r="S670" s="1">
        <v>223.3</v>
      </c>
      <c r="T670" s="11">
        <f t="shared" si="11"/>
        <v>1.8430935578391317E-3</v>
      </c>
    </row>
    <row r="671" spans="16:20">
      <c r="P671" s="2" t="s">
        <v>1048</v>
      </c>
      <c r="Q671" s="2" t="s">
        <v>41</v>
      </c>
      <c r="R671" s="2"/>
      <c r="S671" s="1">
        <v>239.25</v>
      </c>
      <c r="T671" s="11">
        <f t="shared" si="11"/>
        <v>1.974743097684784E-3</v>
      </c>
    </row>
    <row r="672" spans="16:20">
      <c r="P672" s="2" t="s">
        <v>1049</v>
      </c>
      <c r="Q672" s="2" t="s">
        <v>41</v>
      </c>
      <c r="R672" s="2"/>
      <c r="S672" s="1">
        <v>255.2</v>
      </c>
      <c r="T672" s="11">
        <f t="shared" si="11"/>
        <v>2.1063926375304363E-3</v>
      </c>
    </row>
    <row r="673" spans="16:20">
      <c r="P673" s="2" t="s">
        <v>1050</v>
      </c>
      <c r="Q673" s="2" t="s">
        <v>41</v>
      </c>
      <c r="R673" s="2"/>
      <c r="S673" s="1">
        <v>31.9</v>
      </c>
      <c r="T673" s="11">
        <f t="shared" si="11"/>
        <v>2.6329907969130454E-4</v>
      </c>
    </row>
    <row r="674" spans="16:20">
      <c r="P674" s="2" t="s">
        <v>1051</v>
      </c>
      <c r="Q674" s="2" t="s">
        <v>41</v>
      </c>
      <c r="R674" s="2"/>
      <c r="S674" s="1">
        <v>191.4</v>
      </c>
      <c r="T674" s="11">
        <f t="shared" si="11"/>
        <v>1.5797944781478271E-3</v>
      </c>
    </row>
    <row r="675" spans="16:20">
      <c r="P675" s="2" t="s">
        <v>1052</v>
      </c>
      <c r="Q675" s="2" t="s">
        <v>41</v>
      </c>
      <c r="R675" s="2"/>
      <c r="S675" s="1">
        <v>159.5</v>
      </c>
      <c r="T675" s="11">
        <f t="shared" si="11"/>
        <v>1.3164953984565225E-3</v>
      </c>
    </row>
    <row r="676" spans="16:20">
      <c r="P676" s="2" t="s">
        <v>1053</v>
      </c>
      <c r="Q676" s="2" t="s">
        <v>41</v>
      </c>
      <c r="R676" s="2"/>
      <c r="S676" s="1">
        <v>191.4</v>
      </c>
      <c r="T676" s="11">
        <f t="shared" si="11"/>
        <v>1.5797944781478271E-3</v>
      </c>
    </row>
    <row r="677" spans="16:20">
      <c r="P677" s="2" t="s">
        <v>1054</v>
      </c>
      <c r="Q677" s="2" t="s">
        <v>41</v>
      </c>
      <c r="R677" s="2"/>
      <c r="S677" s="1">
        <v>223.3</v>
      </c>
      <c r="T677" s="11">
        <f t="shared" si="11"/>
        <v>1.8430935578391317E-3</v>
      </c>
    </row>
    <row r="678" spans="16:20">
      <c r="P678" s="2" t="s">
        <v>1055</v>
      </c>
      <c r="Q678" s="2" t="s">
        <v>41</v>
      </c>
      <c r="R678" s="2"/>
      <c r="S678" s="1">
        <v>221.27</v>
      </c>
      <c r="T678" s="11">
        <f t="shared" si="11"/>
        <v>1.826338161858776E-3</v>
      </c>
    </row>
    <row r="679" spans="16:20">
      <c r="P679" s="2" t="s">
        <v>1056</v>
      </c>
      <c r="Q679" s="2" t="s">
        <v>41</v>
      </c>
      <c r="R679" s="2"/>
      <c r="S679" s="1">
        <v>221.27</v>
      </c>
      <c r="T679" s="11">
        <f t="shared" si="11"/>
        <v>1.826338161858776E-3</v>
      </c>
    </row>
    <row r="680" spans="16:20">
      <c r="P680" s="2" t="s">
        <v>1057</v>
      </c>
      <c r="Q680" s="2" t="s">
        <v>41</v>
      </c>
      <c r="R680" s="2"/>
      <c r="S680" s="1">
        <v>252.88</v>
      </c>
      <c r="T680" s="11">
        <f t="shared" si="11"/>
        <v>2.0872436135528868E-3</v>
      </c>
    </row>
    <row r="681" spans="16:20">
      <c r="P681" s="2" t="s">
        <v>1058</v>
      </c>
      <c r="Q681" s="2" t="s">
        <v>41</v>
      </c>
      <c r="R681" s="2"/>
      <c r="S681" s="1">
        <v>221.27</v>
      </c>
      <c r="T681" s="11">
        <f t="shared" si="11"/>
        <v>1.826338161858776E-3</v>
      </c>
    </row>
    <row r="682" spans="16:20">
      <c r="P682" s="2" t="s">
        <v>1059</v>
      </c>
      <c r="Q682" s="2" t="s">
        <v>41</v>
      </c>
      <c r="R682" s="2"/>
      <c r="S682" s="1">
        <v>221.27</v>
      </c>
      <c r="T682" s="11">
        <f t="shared" si="11"/>
        <v>1.826338161858776E-3</v>
      </c>
    </row>
    <row r="683" spans="16:20">
      <c r="P683" s="2" t="s">
        <v>1060</v>
      </c>
      <c r="Q683" s="2" t="s">
        <v>41</v>
      </c>
      <c r="R683" s="2"/>
      <c r="S683" s="1">
        <v>221.27</v>
      </c>
      <c r="T683" s="11">
        <f t="shared" si="11"/>
        <v>1.826338161858776E-3</v>
      </c>
    </row>
    <row r="684" spans="16:20">
      <c r="P684" s="2" t="s">
        <v>1061</v>
      </c>
      <c r="Q684" s="2" t="s">
        <v>41</v>
      </c>
      <c r="R684" s="2"/>
      <c r="S684" s="1">
        <v>252.88</v>
      </c>
      <c r="T684" s="11">
        <f t="shared" si="11"/>
        <v>2.0872436135528868E-3</v>
      </c>
    </row>
    <row r="685" spans="16:20">
      <c r="P685" s="2" t="s">
        <v>1062</v>
      </c>
      <c r="Q685" s="2" t="s">
        <v>41</v>
      </c>
      <c r="R685" s="2"/>
      <c r="S685" s="1">
        <v>252.88</v>
      </c>
      <c r="T685" s="11">
        <f t="shared" si="11"/>
        <v>2.0872436135528868E-3</v>
      </c>
    </row>
    <row r="686" spans="16:20">
      <c r="P686" s="2" t="s">
        <v>1063</v>
      </c>
      <c r="Q686" s="2" t="s">
        <v>41</v>
      </c>
      <c r="R686" s="2"/>
      <c r="S686" s="1">
        <v>252.88</v>
      </c>
      <c r="T686" s="11">
        <f t="shared" si="11"/>
        <v>2.0872436135528868E-3</v>
      </c>
    </row>
    <row r="687" spans="16:20">
      <c r="P687" s="2" t="s">
        <v>1064</v>
      </c>
      <c r="Q687" s="2" t="s">
        <v>41</v>
      </c>
      <c r="R687" s="2"/>
      <c r="S687" s="1">
        <v>252.88</v>
      </c>
      <c r="T687" s="11">
        <f t="shared" si="11"/>
        <v>2.0872436135528868E-3</v>
      </c>
    </row>
    <row r="688" spans="16:20">
      <c r="P688" s="2" t="s">
        <v>1065</v>
      </c>
      <c r="Q688" s="2" t="s">
        <v>41</v>
      </c>
      <c r="R688" s="2"/>
      <c r="S688" s="1">
        <v>158.05000000000001</v>
      </c>
      <c r="T688" s="11">
        <f t="shared" ref="T688:T689" si="12">S688/$B$2</f>
        <v>1.3045272584705544E-3</v>
      </c>
    </row>
    <row r="689" spans="16:20">
      <c r="P689" s="2" t="s">
        <v>1066</v>
      </c>
      <c r="Q689" s="2" t="s">
        <v>41</v>
      </c>
      <c r="R689" s="2"/>
      <c r="S689" s="1">
        <v>252.88</v>
      </c>
      <c r="T689" s="11">
        <f t="shared" si="12"/>
        <v>2.0872436135528868E-3</v>
      </c>
    </row>
  </sheetData>
  <phoneticPr fontId="76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0"/>
  <sheetViews>
    <sheetView zoomScale="80" zoomScaleNormal="80" workbookViewId="0">
      <pane xSplit="10" ySplit="1" topLeftCell="K95" activePane="bottomRight" state="frozen"/>
      <selection pane="bottomRight" activeCell="D117" sqref="D117"/>
      <selection pane="bottomLeft" activeCell="A2" sqref="A2"/>
      <selection pane="topRight" activeCell="K1" sqref="K1"/>
    </sheetView>
  </sheetViews>
  <sheetFormatPr defaultColWidth="9" defaultRowHeight="15"/>
  <cols>
    <col min="1" max="1" width="13.125" bestFit="1" customWidth="1"/>
    <col min="2" max="2" width="11.125" customWidth="1"/>
    <col min="3" max="4" width="12.125" customWidth="1"/>
    <col min="5" max="5" width="14.125" customWidth="1"/>
    <col min="6" max="6" width="13" customWidth="1"/>
    <col min="7" max="7" width="10.875" customWidth="1"/>
    <col min="8" max="8" width="9" style="5"/>
    <col min="9" max="9" width="18.125" style="5" customWidth="1"/>
    <col min="10" max="10" width="26" customWidth="1"/>
    <col min="11" max="11" width="17.375" customWidth="1"/>
    <col min="12" max="12" width="16.125" customWidth="1"/>
    <col min="13" max="13" width="18.125" customWidth="1"/>
    <col min="14" max="14" width="12.875" customWidth="1"/>
    <col min="15" max="15" width="11.875" customWidth="1"/>
    <col min="16" max="17" width="19.125" customWidth="1"/>
    <col min="18" max="18" width="12.375" customWidth="1"/>
    <col min="19" max="19" width="12.125" customWidth="1"/>
    <col min="20" max="20" width="19.125" customWidth="1"/>
    <col min="21" max="21" width="18.875" customWidth="1"/>
    <col min="22" max="22" width="18.125" style="27" customWidth="1"/>
    <col min="23" max="23" width="12.875" customWidth="1"/>
    <col min="24" max="24" width="64.375" bestFit="1" customWidth="1"/>
    <col min="25" max="25" width="82.875" bestFit="1" customWidth="1"/>
    <col min="26" max="26" width="14.375" style="5" customWidth="1"/>
    <col min="27" max="29" width="19.875" style="5" customWidth="1"/>
    <col min="30" max="30" width="12.875" customWidth="1"/>
    <col min="31" max="31" width="13.125" customWidth="1"/>
    <col min="32" max="32" width="13.875" customWidth="1"/>
    <col min="33" max="33" width="14.125" customWidth="1"/>
    <col min="34" max="34" width="143.75" bestFit="1" customWidth="1"/>
    <col min="35" max="35" width="12.75" bestFit="1" customWidth="1"/>
    <col min="36" max="36" width="11.875" customWidth="1"/>
    <col min="37" max="37" width="9.875" customWidth="1"/>
    <col min="38" max="38" width="12.125" customWidth="1"/>
    <col min="39" max="39" width="14.37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1067</v>
      </c>
      <c r="F1" s="33" t="s">
        <v>323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1068</v>
      </c>
      <c r="L1" s="33" t="s">
        <v>1069</v>
      </c>
      <c r="M1" s="33" t="s">
        <v>1070</v>
      </c>
      <c r="N1" s="33" t="s">
        <v>1071</v>
      </c>
      <c r="O1" s="33" t="s">
        <v>1072</v>
      </c>
      <c r="P1" s="33" t="s">
        <v>1073</v>
      </c>
      <c r="Q1" s="33" t="s">
        <v>1074</v>
      </c>
      <c r="R1" s="33" t="s">
        <v>1075</v>
      </c>
      <c r="S1" s="33" t="s">
        <v>1076</v>
      </c>
      <c r="T1" s="33" t="s">
        <v>1077</v>
      </c>
      <c r="U1" s="33" t="s">
        <v>1078</v>
      </c>
      <c r="V1" s="33" t="s">
        <v>326</v>
      </c>
      <c r="W1" s="33" t="s">
        <v>1079</v>
      </c>
      <c r="X1" s="33" t="s">
        <v>1080</v>
      </c>
      <c r="Y1" s="33" t="s">
        <v>327</v>
      </c>
      <c r="Z1" s="33" t="s">
        <v>1081</v>
      </c>
      <c r="AA1" s="33" t="s">
        <v>1082</v>
      </c>
      <c r="AB1" s="33" t="s">
        <v>1083</v>
      </c>
      <c r="AC1" s="33" t="s">
        <v>1084</v>
      </c>
      <c r="AD1" s="33" t="s">
        <v>1085</v>
      </c>
      <c r="AE1" s="33" t="s">
        <v>331</v>
      </c>
      <c r="AF1" s="33" t="s">
        <v>332</v>
      </c>
      <c r="AG1" s="33" t="s">
        <v>333</v>
      </c>
      <c r="AH1" s="33" t="s">
        <v>334</v>
      </c>
      <c r="AI1" s="33" t="s">
        <v>335</v>
      </c>
      <c r="AJ1" s="33" t="s">
        <v>336</v>
      </c>
      <c r="AK1" s="33" t="s">
        <v>1086</v>
      </c>
      <c r="AL1" s="43" t="s">
        <v>1087</v>
      </c>
      <c r="AM1" s="43" t="s">
        <v>1088</v>
      </c>
    </row>
    <row r="2" spans="1:39">
      <c r="A2" s="153">
        <v>1</v>
      </c>
      <c r="B2" s="154">
        <v>45750</v>
      </c>
      <c r="C2" s="187">
        <v>2026</v>
      </c>
      <c r="D2" s="34">
        <v>2025</v>
      </c>
      <c r="E2" s="155" t="s">
        <v>339</v>
      </c>
      <c r="F2" s="155" t="s">
        <v>339</v>
      </c>
      <c r="G2" s="175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55" t="s">
        <v>391</v>
      </c>
      <c r="M2" s="35"/>
      <c r="N2" s="35"/>
      <c r="O2" s="38"/>
      <c r="P2" s="38"/>
      <c r="Q2" s="35" t="s">
        <v>369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17019.794999999998</v>
      </c>
      <c r="V2" s="298">
        <f>IFERROR(_xlfn.XLOOKUP(PA_8[[#This Row],[Affected Equipment ]],'Basic Data'!$P:$P,'Basic Data'!$T:$T),"")</f>
        <v>0.14047950971895504</v>
      </c>
      <c r="W2" s="320" t="s">
        <v>407</v>
      </c>
      <c r="X2" s="156" t="s">
        <v>1089</v>
      </c>
      <c r="Y2" s="321" t="s">
        <v>1090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1091</v>
      </c>
      <c r="AI2" s="155" t="s">
        <v>383</v>
      </c>
      <c r="AJ2" s="37">
        <f>IFERROR(PA_8[[#This Row],[Breakdown Time]]*PA_8[[#This Row],[Plant Equivalent Weightage]],"")</f>
        <v>0.87799693574346893</v>
      </c>
      <c r="AK2" s="38">
        <v>3.711217</v>
      </c>
      <c r="AL2" s="157">
        <f>5992.4*PA_8[[#This Row],[Lost PoA(Wh/m2)]]*81.6%</f>
        <v>18147.102948652799</v>
      </c>
      <c r="AM2" s="157"/>
    </row>
    <row r="3" spans="1:39">
      <c r="A3" s="153">
        <v>2</v>
      </c>
      <c r="B3" s="154">
        <v>45755</v>
      </c>
      <c r="C3" s="187">
        <f>YEAR(PA_8[[#This Row],[Date]])+IF(MONTH(PA_8[[#This Row],[Date]])&gt;=4,1,0)</f>
        <v>2026</v>
      </c>
      <c r="D3" s="34">
        <f>YEAR(PA_8[[#This Row],[Date]])</f>
        <v>2025</v>
      </c>
      <c r="E3" s="155" t="s">
        <v>339</v>
      </c>
      <c r="F3" s="155" t="s">
        <v>339</v>
      </c>
      <c r="G3" s="175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55" t="s">
        <v>424</v>
      </c>
      <c r="M3" s="35" t="s">
        <v>365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2583.9</v>
      </c>
      <c r="V3" s="298">
        <f>IFERROR(_xlfn.XLOOKUP(PA_8[[#This Row],[Affected Equipment ]],'Basic Data'!$P:$P,'Basic Data'!$T:$T),"")</f>
        <v>2.1327225454995668E-2</v>
      </c>
      <c r="W3" s="320" t="s">
        <v>344</v>
      </c>
      <c r="X3" s="156" t="s">
        <v>1092</v>
      </c>
      <c r="Y3" s="156" t="s">
        <v>1092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1093</v>
      </c>
      <c r="AI3" s="155" t="s">
        <v>383</v>
      </c>
      <c r="AJ3" s="37">
        <f>IFERROR(PA_8[[#This Row],[Breakdown Time]]*PA_8[[#This Row],[Plant Equivalent Weightage]],"")</f>
        <v>6.0427138789154464E-3</v>
      </c>
      <c r="AK3" s="38">
        <v>0.23899999999999999</v>
      </c>
      <c r="AL3" s="157">
        <f>U3*PA_8[[#This Row],[Lost PoA(Wh/m2)]]*81.6%</f>
        <v>503.92251359999995</v>
      </c>
      <c r="AM3" s="157"/>
    </row>
    <row r="4" spans="1:39">
      <c r="A4" s="153">
        <v>3</v>
      </c>
      <c r="B4" s="154">
        <v>45759</v>
      </c>
      <c r="C4" s="187">
        <f>YEAR(PA_8[[#This Row],[Date]])+IF(MONTH(PA_8[[#This Row],[Date]])&gt;=4,1,0)</f>
        <v>2026</v>
      </c>
      <c r="D4" s="34">
        <f>YEAR(PA_8[[#This Row],[Date]])</f>
        <v>2025</v>
      </c>
      <c r="E4" s="155" t="s">
        <v>339</v>
      </c>
      <c r="F4" s="155" t="s">
        <v>339</v>
      </c>
      <c r="G4" s="175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55" t="s">
        <v>424</v>
      </c>
      <c r="M4" s="35"/>
      <c r="N4" s="35"/>
      <c r="O4" s="38"/>
      <c r="P4" s="38"/>
      <c r="Q4" s="35" t="s">
        <v>369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298">
        <f>IFERROR(_xlfn.XLOOKUP(PA_8[[#This Row],[Affected Equipment ]],'Basic Data'!$P:$P,'Basic Data'!$T:$T),"")</f>
        <v>0.14226887045520201</v>
      </c>
      <c r="W4" s="320" t="s">
        <v>407</v>
      </c>
      <c r="X4" s="156" t="s">
        <v>1094</v>
      </c>
      <c r="Y4" s="156" t="s">
        <v>1095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1096</v>
      </c>
      <c r="AI4" s="155" t="s">
        <v>383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7">
        <f>U4*PA_8[[#This Row],[Lost PoA(Wh/m2)]]*81.6%</f>
        <v>1856.58704352</v>
      </c>
      <c r="AM4" s="157"/>
    </row>
    <row r="5" spans="1:39">
      <c r="A5" s="153">
        <v>4</v>
      </c>
      <c r="B5" s="154">
        <v>45759</v>
      </c>
      <c r="C5" s="187">
        <f>YEAR(PA_8[[#This Row],[Date]])+IF(MONTH(PA_8[[#This Row],[Date]])&gt;=4,1,0)</f>
        <v>2026</v>
      </c>
      <c r="D5" s="34">
        <f>YEAR(PA_8[[#This Row],[Date]])</f>
        <v>2025</v>
      </c>
      <c r="E5" s="155" t="s">
        <v>339</v>
      </c>
      <c r="F5" s="155" t="s">
        <v>339</v>
      </c>
      <c r="G5" s="175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55" t="s">
        <v>429</v>
      </c>
      <c r="M5" s="35"/>
      <c r="N5" s="35"/>
      <c r="O5" s="38"/>
      <c r="P5" s="38"/>
      <c r="Q5" s="35" t="s">
        <v>369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298">
        <f>IFERROR(_xlfn.XLOOKUP(PA_8[[#This Row],[Affected Equipment ]],'Basic Data'!$P:$P,'Basic Data'!$T:$T),"")</f>
        <v>4.5267095868928235E-2</v>
      </c>
      <c r="W5" s="320" t="s">
        <v>407</v>
      </c>
      <c r="X5" s="156" t="s">
        <v>1094</v>
      </c>
      <c r="Y5" s="156" t="s">
        <v>1095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1096</v>
      </c>
      <c r="AI5" s="155" t="s">
        <v>383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7">
        <f>U5*PA_8[[#This Row],[Lost PoA(Wh/m2)]]*81.6%</f>
        <v>590.72869151999998</v>
      </c>
      <c r="AM5" s="157"/>
    </row>
    <row r="6" spans="1:39">
      <c r="A6" s="153">
        <v>5</v>
      </c>
      <c r="B6" s="154">
        <v>45759</v>
      </c>
      <c r="C6" s="187">
        <f>YEAR(PA_8[[#This Row],[Date]])+IF(MONTH(PA_8[[#This Row],[Date]])&gt;=4,1,0)</f>
        <v>2026</v>
      </c>
      <c r="D6" s="34">
        <f>YEAR(PA_8[[#This Row],[Date]])</f>
        <v>2025</v>
      </c>
      <c r="E6" s="155" t="s">
        <v>339</v>
      </c>
      <c r="F6" s="155" t="s">
        <v>339</v>
      </c>
      <c r="G6" s="175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55" t="s">
        <v>433</v>
      </c>
      <c r="M6" s="35"/>
      <c r="N6" s="35"/>
      <c r="O6" s="38"/>
      <c r="P6" s="38"/>
      <c r="Q6" s="322" t="s">
        <v>369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298">
        <f>IFERROR(_xlfn.XLOOKUP(PA_8[[#This Row],[Affected Equipment ]],'Basic Data'!$P:$P,'Basic Data'!$T:$T),"")</f>
        <v>5.0929800668565062E-2</v>
      </c>
      <c r="W6" s="320" t="s">
        <v>407</v>
      </c>
      <c r="X6" s="156" t="s">
        <v>1094</v>
      </c>
      <c r="Y6" s="156" t="s">
        <v>1095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1096</v>
      </c>
      <c r="AI6" s="155" t="s">
        <v>383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7">
        <f>U6*PA_8[[#This Row],[Lost PoA(Wh/m2)]]*81.6%</f>
        <v>664.62612479999996</v>
      </c>
      <c r="AM6" s="157"/>
    </row>
    <row r="7" spans="1:39">
      <c r="A7" s="153">
        <v>6</v>
      </c>
      <c r="B7" s="154">
        <v>45759</v>
      </c>
      <c r="C7" s="187">
        <f>YEAR(PA_8[[#This Row],[Date]])+IF(MONTH(PA_8[[#This Row],[Date]])&gt;=4,1,0)</f>
        <v>2026</v>
      </c>
      <c r="D7" s="34">
        <f>YEAR(PA_8[[#This Row],[Date]])</f>
        <v>2025</v>
      </c>
      <c r="E7" s="155" t="s">
        <v>339</v>
      </c>
      <c r="F7" s="155" t="s">
        <v>339</v>
      </c>
      <c r="G7" s="175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55" t="s">
        <v>436</v>
      </c>
      <c r="M7" s="35"/>
      <c r="N7" s="35"/>
      <c r="O7" s="38"/>
      <c r="P7" s="38"/>
      <c r="Q7" s="35" t="s">
        <v>369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6701.32</v>
      </c>
      <c r="V7" s="298">
        <f>IFERROR(_xlfn.XLOOKUP(PA_8[[#This Row],[Affected Equipment ]],'Basic Data'!$P:$P,'Basic Data'!$T:$T),"")</f>
        <v>5.5311955759151495E-2</v>
      </c>
      <c r="W7" s="320" t="s">
        <v>407</v>
      </c>
      <c r="X7" s="156" t="s">
        <v>1094</v>
      </c>
      <c r="Y7" s="156" t="s">
        <v>1095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1096</v>
      </c>
      <c r="AI7" s="155" t="s">
        <v>383</v>
      </c>
      <c r="AJ7" s="37">
        <f>IFERROR(PA_8[[#This Row],[Breakdown Time]]*PA_8[[#This Row],[Plant Equivalent Weightage]],"")</f>
        <v>4.1483966819363623E-2</v>
      </c>
      <c r="AK7" s="38">
        <v>0.13200000000000001</v>
      </c>
      <c r="AL7" s="157">
        <f>U7*PA_8[[#This Row],[Lost PoA(Wh/m2)]]*81.6%</f>
        <v>721.81257984000001</v>
      </c>
      <c r="AM7" s="157"/>
    </row>
    <row r="8" spans="1:39">
      <c r="A8" s="153">
        <v>7</v>
      </c>
      <c r="B8" s="154">
        <v>45759</v>
      </c>
      <c r="C8" s="187">
        <f>YEAR(PA_8[[#This Row],[Date]])+IF(MONTH(PA_8[[#This Row],[Date]])&gt;=4,1,0)</f>
        <v>2026</v>
      </c>
      <c r="D8" s="34">
        <f>YEAR(PA_8[[#This Row],[Date]])</f>
        <v>2025</v>
      </c>
      <c r="E8" s="155" t="s">
        <v>339</v>
      </c>
      <c r="F8" s="155" t="s">
        <v>339</v>
      </c>
      <c r="G8" s="175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55" t="s">
        <v>439</v>
      </c>
      <c r="M8" s="35"/>
      <c r="N8" s="35"/>
      <c r="O8" s="38"/>
      <c r="P8" s="38"/>
      <c r="Q8" s="35" t="s">
        <v>369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8906.48</v>
      </c>
      <c r="V8" s="298">
        <f>IFERROR(_xlfn.XLOOKUP(PA_8[[#This Row],[Affected Equipment ]],'Basic Data'!$P:$P,'Basic Data'!$T:$T),"")</f>
        <v>7.351310304981222E-2</v>
      </c>
      <c r="W8" s="320" t="s">
        <v>407</v>
      </c>
      <c r="X8" s="156" t="s">
        <v>1094</v>
      </c>
      <c r="Y8" s="156" t="s">
        <v>1095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1096</v>
      </c>
      <c r="AI8" s="155" t="s">
        <v>383</v>
      </c>
      <c r="AJ8" s="37">
        <f>IFERROR(PA_8[[#This Row],[Breakdown Time]]*PA_8[[#This Row],[Plant Equivalent Weightage]],"")</f>
        <v>5.5134827287359162E-2</v>
      </c>
      <c r="AK8" s="38">
        <v>0.13200000000000001</v>
      </c>
      <c r="AL8" s="157">
        <f>U8*PA_8[[#This Row],[Lost PoA(Wh/m2)]]*81.6%</f>
        <v>959.33477375999996</v>
      </c>
      <c r="AM8" s="157"/>
    </row>
    <row r="9" spans="1:39">
      <c r="A9" s="153">
        <v>8</v>
      </c>
      <c r="B9" s="154">
        <v>45760</v>
      </c>
      <c r="C9" s="187">
        <f>YEAR(PA_8[[#This Row],[Date]])+IF(MONTH(PA_8[[#This Row],[Date]])&gt;=4,1,0)</f>
        <v>2026</v>
      </c>
      <c r="D9" s="34">
        <f>YEAR(PA_8[[#This Row],[Date]])</f>
        <v>2025</v>
      </c>
      <c r="E9" s="155" t="s">
        <v>339</v>
      </c>
      <c r="F9" s="155" t="s">
        <v>339</v>
      </c>
      <c r="G9" s="175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55"/>
      <c r="M9" s="35"/>
      <c r="N9" s="35"/>
      <c r="O9" s="38"/>
      <c r="P9" s="38"/>
      <c r="Q9" s="35" t="s">
        <v>416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298">
        <f>IFERROR(_xlfn.XLOOKUP(PA_8[[#This Row],[Affected Equipment ]],'Basic Data'!$P:$P,'Basic Data'!$T:$T),"")</f>
        <v>1.0078494490528662</v>
      </c>
      <c r="W9" s="320" t="s">
        <v>412</v>
      </c>
      <c r="X9" s="156" t="s">
        <v>1097</v>
      </c>
      <c r="Y9" s="156" t="s">
        <v>1098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1099</v>
      </c>
      <c r="AI9" s="155" t="s">
        <v>383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7">
        <f>U9*PA_8[[#This Row],[Lost PoA(Wh/m2)]]*81.6%</f>
        <v>17947.882284479998</v>
      </c>
      <c r="AM9" s="157"/>
    </row>
    <row r="10" spans="1:39">
      <c r="A10" s="153">
        <v>9</v>
      </c>
      <c r="B10" s="154">
        <v>45761</v>
      </c>
      <c r="C10" s="187">
        <f>YEAR(PA_8[[#This Row],[Date]])+IF(MONTH(PA_8[[#This Row],[Date]])&gt;=4,1,0)</f>
        <v>2026</v>
      </c>
      <c r="D10" s="34">
        <f>YEAR(PA_8[[#This Row],[Date]])</f>
        <v>2025</v>
      </c>
      <c r="E10" s="155" t="s">
        <v>339</v>
      </c>
      <c r="F10" s="155" t="s">
        <v>339</v>
      </c>
      <c r="G10" s="175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55" t="s">
        <v>424</v>
      </c>
      <c r="M10" s="35" t="s">
        <v>365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2583.9</v>
      </c>
      <c r="V10" s="298">
        <f>IFERROR(_xlfn.XLOOKUP(PA_8[[#This Row],[Affected Equipment ]],'Basic Data'!$P:$P,'Basic Data'!$T:$T),"")</f>
        <v>2.1327225454995668E-2</v>
      </c>
      <c r="W10" s="320" t="s">
        <v>344</v>
      </c>
      <c r="X10" s="156" t="s">
        <v>1092</v>
      </c>
      <c r="Y10" s="156" t="s">
        <v>1100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1101</v>
      </c>
      <c r="AI10" s="155" t="s">
        <v>375</v>
      </c>
      <c r="AJ10" s="37">
        <f>IFERROR(PA_8[[#This Row],[Breakdown Time]]*PA_8[[#This Row],[Plant Equivalent Weightage]],"")</f>
        <v>0.255926705459948</v>
      </c>
      <c r="AK10" s="38">
        <v>7</v>
      </c>
      <c r="AL10" s="157">
        <f>U10*PA_8[[#This Row],[Lost PoA(Wh/m2)]]*81.6%</f>
        <v>14759.236799999999</v>
      </c>
      <c r="AM10" s="157"/>
    </row>
    <row r="11" spans="1:39">
      <c r="A11" s="153">
        <v>10</v>
      </c>
      <c r="B11" s="154">
        <v>45762</v>
      </c>
      <c r="C11" s="187">
        <f>YEAR(PA_8[[#This Row],[Date]])+IF(MONTH(PA_8[[#This Row],[Date]])&gt;=4,1,0)</f>
        <v>2026</v>
      </c>
      <c r="D11" s="34">
        <f>YEAR(PA_8[[#This Row],[Date]])</f>
        <v>2025</v>
      </c>
      <c r="E11" s="155" t="s">
        <v>339</v>
      </c>
      <c r="F11" s="155" t="s">
        <v>339</v>
      </c>
      <c r="G11" s="175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55" t="s">
        <v>424</v>
      </c>
      <c r="M11" s="35" t="s">
        <v>365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2583.9</v>
      </c>
      <c r="V11" s="298">
        <f>IFERROR(_xlfn.XLOOKUP(PA_8[[#This Row],[Affected Equipment ]],'Basic Data'!$P:$P,'Basic Data'!$T:$T),"")</f>
        <v>2.1327225454995668E-2</v>
      </c>
      <c r="W11" s="320" t="s">
        <v>344</v>
      </c>
      <c r="X11" s="156" t="s">
        <v>1092</v>
      </c>
      <c r="Y11" s="156" t="s">
        <v>1100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1101</v>
      </c>
      <c r="AI11" s="155" t="s">
        <v>375</v>
      </c>
      <c r="AJ11" s="37">
        <f>IFERROR(PA_8[[#This Row],[Breakdown Time]]*PA_8[[#This Row],[Plant Equivalent Weightage]],"")</f>
        <v>0.2552157979447815</v>
      </c>
      <c r="AK11" s="38">
        <v>7</v>
      </c>
      <c r="AL11" s="157">
        <f>U11*PA_8[[#This Row],[Lost PoA(Wh/m2)]]*81.6%</f>
        <v>14759.236799999999</v>
      </c>
      <c r="AM11" s="157"/>
    </row>
    <row r="12" spans="1:39">
      <c r="A12" s="153">
        <v>11</v>
      </c>
      <c r="B12" s="154">
        <v>45763</v>
      </c>
      <c r="C12" s="187">
        <f>YEAR(PA_8[[#This Row],[Date]])+IF(MONTH(PA_8[[#This Row],[Date]])&gt;=4,1,0)</f>
        <v>2026</v>
      </c>
      <c r="D12" s="34">
        <f>YEAR(PA_8[[#This Row],[Date]])</f>
        <v>2025</v>
      </c>
      <c r="E12" s="155" t="s">
        <v>339</v>
      </c>
      <c r="F12" s="155" t="s">
        <v>339</v>
      </c>
      <c r="G12" s="175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55" t="s">
        <v>424</v>
      </c>
      <c r="M12" s="35" t="s">
        <v>365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2583.9</v>
      </c>
      <c r="V12" s="298">
        <f>IFERROR(_xlfn.XLOOKUP(PA_8[[#This Row],[Affected Equipment ]],'Basic Data'!$P:$P,'Basic Data'!$T:$T),"")</f>
        <v>2.1327225454995668E-2</v>
      </c>
      <c r="W12" s="320" t="s">
        <v>344</v>
      </c>
      <c r="X12" s="156" t="s">
        <v>1092</v>
      </c>
      <c r="Y12" s="156" t="s">
        <v>1100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1101</v>
      </c>
      <c r="AI12" s="155" t="s">
        <v>375</v>
      </c>
      <c r="AJ12" s="37">
        <f>IFERROR(PA_8[[#This Row],[Breakdown Time]]*PA_8[[#This Row],[Plant Equivalent Weightage]],"")</f>
        <v>0.25201671412653215</v>
      </c>
      <c r="AK12" s="38">
        <v>6</v>
      </c>
      <c r="AL12" s="157">
        <f>U12*PA_8[[#This Row],[Lost PoA(Wh/m2)]]*81.6%</f>
        <v>12650.7744</v>
      </c>
      <c r="AM12" s="157"/>
    </row>
    <row r="13" spans="1:39">
      <c r="A13" s="153">
        <v>12</v>
      </c>
      <c r="B13" s="154">
        <v>45764</v>
      </c>
      <c r="C13" s="187">
        <f>YEAR(PA_8[[#This Row],[Date]])+IF(MONTH(PA_8[[#This Row],[Date]])&gt;=4,1,0)</f>
        <v>2026</v>
      </c>
      <c r="D13" s="34">
        <f>YEAR(PA_8[[#This Row],[Date]])</f>
        <v>2025</v>
      </c>
      <c r="E13" s="155" t="s">
        <v>339</v>
      </c>
      <c r="F13" s="155" t="s">
        <v>339</v>
      </c>
      <c r="G13" s="175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55" t="s">
        <v>391</v>
      </c>
      <c r="M13" s="35" t="s">
        <v>365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3865.9049999999997</v>
      </c>
      <c r="V13" s="298">
        <f>IFERROR(_xlfn.XLOOKUP(PA_8[[#This Row],[Affected Equipment ]],'Basic Data'!$P:$P,'Basic Data'!$T:$T),"")</f>
        <v>3.1908753249969043E-2</v>
      </c>
      <c r="W13" s="320" t="s">
        <v>344</v>
      </c>
      <c r="X13" s="156" t="s">
        <v>1102</v>
      </c>
      <c r="Y13" s="321" t="s">
        <v>1103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321" t="s">
        <v>1104</v>
      </c>
      <c r="AI13" s="155" t="s">
        <v>383</v>
      </c>
      <c r="AJ13" s="37">
        <f>IFERROR(PA_8[[#This Row],[Breakdown Time]]*PA_8[[#This Row],[Plant Equivalent Weightage]],"")</f>
        <v>2.5527002599975229E-2</v>
      </c>
      <c r="AK13" s="38">
        <v>0.156</v>
      </c>
      <c r="AL13" s="157">
        <f>U13*PA_8[[#This Row],[Lost PoA(Wh/m2)]]*81.6%</f>
        <v>492.11424287999989</v>
      </c>
      <c r="AM13" s="157"/>
    </row>
    <row r="14" spans="1:39">
      <c r="A14" s="153">
        <v>13</v>
      </c>
      <c r="B14" s="154">
        <v>45769</v>
      </c>
      <c r="C14" s="187">
        <f>YEAR(PA_8[[#This Row],[Date]])+IF(MONTH(PA_8[[#This Row],[Date]])&gt;=4,1,0)</f>
        <v>2026</v>
      </c>
      <c r="D14" s="34">
        <f>YEAR(PA_8[[#This Row],[Date]])</f>
        <v>2025</v>
      </c>
      <c r="E14" s="155" t="s">
        <v>339</v>
      </c>
      <c r="F14" s="155" t="s">
        <v>339</v>
      </c>
      <c r="G14" s="175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55" t="s">
        <v>424</v>
      </c>
      <c r="M14" s="35" t="s">
        <v>365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2583.9</v>
      </c>
      <c r="V14" s="298">
        <f>IFERROR(_xlfn.XLOOKUP(PA_8[[#This Row],[Affected Equipment ]],'Basic Data'!$P:$P,'Basic Data'!$T:$T),"")</f>
        <v>2.1327225454995668E-2</v>
      </c>
      <c r="W14" s="320" t="s">
        <v>344</v>
      </c>
      <c r="X14" s="156" t="s">
        <v>1092</v>
      </c>
      <c r="Y14" s="321" t="s">
        <v>1105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321" t="s">
        <v>1106</v>
      </c>
      <c r="AI14" s="155" t="s">
        <v>383</v>
      </c>
      <c r="AJ14" s="37">
        <f>IFERROR(PA_8[[#This Row],[Breakdown Time]]*PA_8[[#This Row],[Plant Equivalent Weightage]],"")</f>
        <v>-4.2654450909991471E-3</v>
      </c>
      <c r="AK14" s="38">
        <v>3.83</v>
      </c>
      <c r="AL14" s="157">
        <f>U14*PA_8[[#This Row],[Lost PoA(Wh/m2)]]*81.6%</f>
        <v>8075.410992000001</v>
      </c>
      <c r="AM14" s="157"/>
    </row>
    <row r="15" spans="1:39">
      <c r="A15" s="153">
        <v>14</v>
      </c>
      <c r="B15" s="154">
        <v>45772</v>
      </c>
      <c r="C15" s="187">
        <f>YEAR(PA_8[[#This Row],[Date]])+IF(MONTH(PA_8[[#This Row],[Date]])&gt;=4,1,0)</f>
        <v>2026</v>
      </c>
      <c r="D15" s="34">
        <f>YEAR(PA_8[[#This Row],[Date]])</f>
        <v>2025</v>
      </c>
      <c r="E15" s="155" t="s">
        <v>339</v>
      </c>
      <c r="F15" s="155" t="s">
        <v>339</v>
      </c>
      <c r="G15" s="175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55" t="s">
        <v>424</v>
      </c>
      <c r="M15" s="35" t="s">
        <v>365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2583.9</v>
      </c>
      <c r="V15" s="298">
        <f>IFERROR(_xlfn.XLOOKUP(PA_8[[#This Row],[Affected Equipment ]],'Basic Data'!$P:$P,'Basic Data'!$T:$T),"")</f>
        <v>2.1327225454995668E-2</v>
      </c>
      <c r="W15" s="320" t="s">
        <v>344</v>
      </c>
      <c r="X15" s="156" t="s">
        <v>1092</v>
      </c>
      <c r="Y15" s="156" t="s">
        <v>1100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321" t="s">
        <v>1106</v>
      </c>
      <c r="AI15" s="155"/>
      <c r="AJ15" s="37">
        <f>IFERROR(PA_8[[#This Row],[Breakdown Time]]*PA_8[[#This Row],[Plant Equivalent Weightage]],"")</f>
        <v>3.4123560727993087E-2</v>
      </c>
      <c r="AK15" s="38">
        <v>0.8407</v>
      </c>
      <c r="AL15" s="157">
        <f>U15*PA_8[[#This Row],[Lost PoA(Wh/m2)]]*81.6%</f>
        <v>1772.5843396800001</v>
      </c>
      <c r="AM15" s="157"/>
    </row>
    <row r="16" spans="1:39">
      <c r="A16" s="153">
        <v>15</v>
      </c>
      <c r="B16" s="154">
        <v>45772</v>
      </c>
      <c r="C16" s="187">
        <f>YEAR(PA_8[[#This Row],[Date]])+IF(MONTH(PA_8[[#This Row],[Date]])&gt;=4,1,0)</f>
        <v>2026</v>
      </c>
      <c r="D16" s="34">
        <f>YEAR(PA_8[[#This Row],[Date]])</f>
        <v>2025</v>
      </c>
      <c r="E16" s="155" t="s">
        <v>339</v>
      </c>
      <c r="F16" s="155" t="s">
        <v>339</v>
      </c>
      <c r="G16" s="175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55" t="s">
        <v>391</v>
      </c>
      <c r="M16" s="35" t="s">
        <v>392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298">
        <f>IFERROR(_xlfn.XLOOKUP(PA_8[[#This Row],[Affected Equipment ]],'Basic Data'!$P:$P,'Basic Data'!$T:$T),"")</f>
        <v>3.6265857785481415E-2</v>
      </c>
      <c r="W16" s="320" t="s">
        <v>344</v>
      </c>
      <c r="X16" s="156" t="s">
        <v>1102</v>
      </c>
      <c r="Y16" s="321" t="s">
        <v>1103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321" t="s">
        <v>1104</v>
      </c>
      <c r="AI16" s="155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7">
        <f>U16*PA_8[[#This Row],[Lost PoA(Wh/m2)]]*81.6%</f>
        <v>591.22135233600011</v>
      </c>
      <c r="AM16" s="157"/>
    </row>
    <row r="17" spans="1:39">
      <c r="A17" s="153">
        <v>16</v>
      </c>
      <c r="B17" s="154">
        <v>45775</v>
      </c>
      <c r="C17" s="187">
        <f>YEAR(PA_8[[#This Row],[Date]])+IF(MONTH(PA_8[[#This Row],[Date]])&gt;=4,1,0)</f>
        <v>2026</v>
      </c>
      <c r="D17" s="34">
        <f>YEAR(PA_8[[#This Row],[Date]])</f>
        <v>2025</v>
      </c>
      <c r="E17" s="155" t="s">
        <v>339</v>
      </c>
      <c r="F17" s="155" t="s">
        <v>339</v>
      </c>
      <c r="G17" s="175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55" t="s">
        <v>424</v>
      </c>
      <c r="M17" s="35" t="s">
        <v>385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3030.5</v>
      </c>
      <c r="V17" s="298">
        <f>IFERROR(_xlfn.XLOOKUP(PA_8[[#This Row],[Affected Equipment ]],'Basic Data'!$P:$P,'Basic Data'!$T:$T),"")</f>
        <v>2.501341257067393E-2</v>
      </c>
      <c r="W17" s="320" t="s">
        <v>344</v>
      </c>
      <c r="X17" s="156" t="s">
        <v>1107</v>
      </c>
      <c r="Y17" s="321" t="s">
        <v>1108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321" t="s">
        <v>1109</v>
      </c>
      <c r="AI17" s="155"/>
      <c r="AJ17" s="37">
        <f>IFERROR(PA_8[[#This Row],[Breakdown Time]]*PA_8[[#This Row],[Plant Equivalent Weightage]],"")</f>
        <v>6.5451762893263446E-2</v>
      </c>
      <c r="AK17" s="38">
        <v>0.88800000000000001</v>
      </c>
      <c r="AL17" s="157">
        <f>U17*PA_8[[#This Row],[Lost PoA(Wh/m2)]]*81.6%</f>
        <v>2195.9245439999995</v>
      </c>
      <c r="AM17" s="157"/>
    </row>
    <row r="18" spans="1:39">
      <c r="A18" s="153">
        <v>17</v>
      </c>
      <c r="B18" s="154">
        <v>45776</v>
      </c>
      <c r="C18" s="187">
        <f>YEAR(PA_8[[#This Row],[Date]])+IF(MONTH(PA_8[[#This Row],[Date]])&gt;=4,1,0)</f>
        <v>2026</v>
      </c>
      <c r="D18" s="34">
        <f>YEAR(PA_8[[#This Row],[Date]])</f>
        <v>2025</v>
      </c>
      <c r="E18" s="155" t="s">
        <v>339</v>
      </c>
      <c r="F18" s="155" t="s">
        <v>339</v>
      </c>
      <c r="G18" s="175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55" t="s">
        <v>376</v>
      </c>
      <c r="M18" s="35"/>
      <c r="N18" s="35"/>
      <c r="O18" s="38"/>
      <c r="P18" s="38"/>
      <c r="Q18" s="35" t="s">
        <v>369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12507.174999999997</v>
      </c>
      <c r="V18" s="298">
        <f>IFERROR(_xlfn.XLOOKUP(PA_8[[#This Row],[Affected Equipment ]],'Basic Data'!$P:$P,'Basic Data'!$T:$T),"")</f>
        <v>0.10323284222689941</v>
      </c>
      <c r="W18" s="320" t="s">
        <v>407</v>
      </c>
      <c r="X18" s="156" t="s">
        <v>1110</v>
      </c>
      <c r="Y18" s="321" t="s">
        <v>1111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321" t="s">
        <v>1112</v>
      </c>
      <c r="AI18" s="155" t="s">
        <v>383</v>
      </c>
      <c r="AJ18" s="37">
        <f>IFERROR(PA_8[[#This Row],[Breakdown Time]]*PA_8[[#This Row],[Plant Equivalent Weightage]],"")</f>
        <v>2.9249305297621396E-2</v>
      </c>
      <c r="AK18" s="38">
        <v>0.2974</v>
      </c>
      <c r="AL18" s="157">
        <f>U18*PA_8[[#This Row],[Lost PoA(Wh/m2)]]*81.6%</f>
        <v>3035.2212175199993</v>
      </c>
      <c r="AM18" s="157"/>
    </row>
    <row r="19" spans="1:39">
      <c r="A19" s="153">
        <v>18</v>
      </c>
      <c r="B19" s="154">
        <v>45776</v>
      </c>
      <c r="C19" s="187">
        <f>YEAR(PA_8[[#This Row],[Date]])+IF(MONTH(PA_8[[#This Row],[Date]])&gt;=4,1,0)</f>
        <v>2026</v>
      </c>
      <c r="D19" s="34">
        <f>YEAR(PA_8[[#This Row],[Date]])</f>
        <v>2025</v>
      </c>
      <c r="E19" s="155" t="s">
        <v>339</v>
      </c>
      <c r="F19" s="155" t="s">
        <v>339</v>
      </c>
      <c r="G19" s="175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55" t="s">
        <v>384</v>
      </c>
      <c r="M19" s="35"/>
      <c r="N19" s="35"/>
      <c r="O19" s="38"/>
      <c r="P19" s="38"/>
      <c r="Q19" s="35" t="s">
        <v>369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8911.4500000000007</v>
      </c>
      <c r="V19" s="298">
        <f>IFERROR(_xlfn.XLOOKUP(PA_8[[#This Row],[Affected Equipment ]],'Basic Data'!$P:$P,'Basic Data'!$T:$T),"")</f>
        <v>7.3554124881350338E-2</v>
      </c>
      <c r="W19" s="320" t="s">
        <v>407</v>
      </c>
      <c r="X19" s="156" t="s">
        <v>1110</v>
      </c>
      <c r="Y19" s="321" t="s">
        <v>1111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321" t="s">
        <v>1112</v>
      </c>
      <c r="AI19" s="155" t="s">
        <v>383</v>
      </c>
      <c r="AJ19" s="37">
        <f>IFERROR(PA_8[[#This Row],[Breakdown Time]]*PA_8[[#This Row],[Plant Equivalent Weightage]],"")</f>
        <v>1.8388531220337519E-2</v>
      </c>
      <c r="AK19" s="38">
        <v>0.25650000000000001</v>
      </c>
      <c r="AL19" s="157">
        <f>U19*PA_8[[#This Row],[Lost PoA(Wh/m2)]]*81.6%</f>
        <v>1865.2021308000001</v>
      </c>
      <c r="AM19" s="157"/>
    </row>
    <row r="20" spans="1:39">
      <c r="A20" s="153">
        <v>19</v>
      </c>
      <c r="B20" s="154">
        <v>45777</v>
      </c>
      <c r="C20" s="187">
        <f>YEAR(PA_8[[#This Row],[Date]])+IF(MONTH(PA_8[[#This Row],[Date]])&gt;=4,1,0)</f>
        <v>2026</v>
      </c>
      <c r="D20" s="34">
        <f>YEAR(PA_8[[#This Row],[Date]])</f>
        <v>2025</v>
      </c>
      <c r="E20" s="155" t="s">
        <v>339</v>
      </c>
      <c r="F20" s="155" t="s">
        <v>339</v>
      </c>
      <c r="G20" s="175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55" t="s">
        <v>397</v>
      </c>
      <c r="M20" s="35"/>
      <c r="N20" s="35"/>
      <c r="O20" s="38"/>
      <c r="P20" s="38"/>
      <c r="Q20" s="35" t="s">
        <v>369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7416.7000000000007</v>
      </c>
      <c r="V20" s="298">
        <f>IFERROR(_xlfn.XLOOKUP(PA_8[[#This Row],[Affected Equipment ]],'Basic Data'!$P:$P,'Basic Data'!$T:$T),"")</f>
        <v>6.1216623333746036E-2</v>
      </c>
      <c r="W20" s="320" t="s">
        <v>407</v>
      </c>
      <c r="X20" s="156" t="s">
        <v>1110</v>
      </c>
      <c r="Y20" s="321" t="s">
        <v>1111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321" t="s">
        <v>1112</v>
      </c>
      <c r="AI20" s="155" t="s">
        <v>383</v>
      </c>
      <c r="AJ20" s="37">
        <f>IFERROR(PA_8[[#This Row],[Breakdown Time]]*PA_8[[#This Row],[Plant Equivalent Weightage]],"")</f>
        <v>3.6729974000247655E-2</v>
      </c>
      <c r="AK20" s="38">
        <v>0.60880000000000001</v>
      </c>
      <c r="AL20" s="157">
        <f>U20*PA_8[[#This Row],[Lost PoA(Wh/m2)]]*81.6%</f>
        <v>3684.4741593600002</v>
      </c>
      <c r="AM20" s="157"/>
    </row>
    <row r="21" spans="1:39">
      <c r="A21" s="153">
        <v>20</v>
      </c>
      <c r="B21" s="154">
        <v>45778</v>
      </c>
      <c r="C21" s="187">
        <f>YEAR(PA_8[[#This Row],[Date]])+IF(MONTH(PA_8[[#This Row],[Date]])&gt;=4,1,0)</f>
        <v>2026</v>
      </c>
      <c r="D21" s="34">
        <f>YEAR(PA_8[[#This Row],[Date]])</f>
        <v>2025</v>
      </c>
      <c r="E21" s="155" t="s">
        <v>339</v>
      </c>
      <c r="F21" s="155" t="s">
        <v>339</v>
      </c>
      <c r="G21" s="175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55" t="s">
        <v>424</v>
      </c>
      <c r="M21" s="35" t="s">
        <v>1113</v>
      </c>
      <c r="N21" s="35" t="s">
        <v>366</v>
      </c>
      <c r="O21" s="38" t="s">
        <v>399</v>
      </c>
      <c r="P21" s="38" t="s">
        <v>395</v>
      </c>
      <c r="Q21" s="35" t="s">
        <v>411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298">
        <f>IFERROR(_xlfn.XLOOKUP(PA_8[[#This Row],[Affected Equipment ]],'Basic Data'!$P:$P,'Basic Data'!$T:$T),"")</f>
        <v>2.5851182369691716E-4</v>
      </c>
      <c r="W21" s="320" t="s">
        <v>1114</v>
      </c>
      <c r="X21" s="156" t="s">
        <v>1115</v>
      </c>
      <c r="Y21" s="321" t="s">
        <v>1116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21" t="s">
        <v>1117</v>
      </c>
      <c r="AI21" s="155" t="s">
        <v>383</v>
      </c>
      <c r="AJ21" s="37">
        <f>IFERROR(PA_8[[#This Row],[Breakdown Time]]*PA_8[[#This Row],[Plant Equivalent Weightage]],"")</f>
        <v>9.9096199083818239E-4</v>
      </c>
      <c r="AK21" s="38">
        <v>1.23</v>
      </c>
      <c r="AL21" s="157">
        <f>U21*PA_8[[#This Row],[Lost PoA(Wh/m2)]]*81.6%</f>
        <v>31.4352576</v>
      </c>
      <c r="AM21" s="157"/>
    </row>
    <row r="22" spans="1:39">
      <c r="A22" s="153">
        <v>21</v>
      </c>
      <c r="B22" s="154">
        <v>45780</v>
      </c>
      <c r="C22" s="187">
        <f>YEAR(PA_8[[#This Row],[Date]])+IF(MONTH(PA_8[[#This Row],[Date]])&gt;=4,1,0)</f>
        <v>2026</v>
      </c>
      <c r="D22" s="34">
        <f>YEAR(PA_8[[#This Row],[Date]])</f>
        <v>2025</v>
      </c>
      <c r="E22" s="155" t="s">
        <v>339</v>
      </c>
      <c r="F22" s="155" t="s">
        <v>339</v>
      </c>
      <c r="G22" s="175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55" t="s">
        <v>402</v>
      </c>
      <c r="M22" s="35"/>
      <c r="N22" s="35"/>
      <c r="O22" s="38"/>
      <c r="P22" s="38"/>
      <c r="Q22" s="35" t="s">
        <v>369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7448.6500000000005</v>
      </c>
      <c r="V22" s="298">
        <f>IFERROR(_xlfn.XLOOKUP(PA_8[[#This Row],[Affected Equipment ]],'Basic Data'!$P:$P,'Basic Data'!$T:$T),"")</f>
        <v>6.1480335107919615E-2</v>
      </c>
      <c r="W22" s="320" t="s">
        <v>407</v>
      </c>
      <c r="X22" s="156" t="s">
        <v>1110</v>
      </c>
      <c r="Y22" s="321" t="s">
        <v>1111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321" t="s">
        <v>1112</v>
      </c>
      <c r="AI22" s="155" t="s">
        <v>383</v>
      </c>
      <c r="AJ22" s="37">
        <f>IFERROR(PA_8[[#This Row],[Breakdown Time]]*PA_8[[#This Row],[Plant Equivalent Weightage]],"")</f>
        <v>3.8937545568349115E-2</v>
      </c>
      <c r="AK22" s="38">
        <v>0.64659999999999995</v>
      </c>
      <c r="AL22" s="157">
        <f>U22*PA_8[[#This Row],[Lost PoA(Wh/m2)]]*81.6%</f>
        <v>3930.0984254399996</v>
      </c>
      <c r="AM22" s="157"/>
    </row>
    <row r="23" spans="1:39">
      <c r="A23" s="153">
        <v>22</v>
      </c>
      <c r="B23" s="154">
        <v>45781</v>
      </c>
      <c r="C23" s="187">
        <f>YEAR(PA_8[[#This Row],[Date]])+IF(MONTH(PA_8[[#This Row],[Date]])&gt;=4,1,0)</f>
        <v>2026</v>
      </c>
      <c r="D23" s="34">
        <f>YEAR(PA_8[[#This Row],[Date]])</f>
        <v>2025</v>
      </c>
      <c r="E23" s="155" t="s">
        <v>339</v>
      </c>
      <c r="F23" s="155" t="s">
        <v>339</v>
      </c>
      <c r="G23" s="175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55" t="s">
        <v>391</v>
      </c>
      <c r="M23" s="35"/>
      <c r="N23" s="35"/>
      <c r="O23" s="38"/>
      <c r="P23" s="38"/>
      <c r="Q23" s="35" t="s">
        <v>369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17019.794999999998</v>
      </c>
      <c r="V23" s="298">
        <f>IFERROR(_xlfn.XLOOKUP(PA_8[[#This Row],[Affected Equipment ]],'Basic Data'!$P:$P,'Basic Data'!$T:$T),"")</f>
        <v>0.14047950971895504</v>
      </c>
      <c r="W23" s="320" t="s">
        <v>407</v>
      </c>
      <c r="X23" s="156" t="s">
        <v>1110</v>
      </c>
      <c r="Y23" s="321" t="s">
        <v>1111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321" t="s">
        <v>1112</v>
      </c>
      <c r="AI23" s="155" t="s">
        <v>383</v>
      </c>
      <c r="AJ23" s="37">
        <f>IFERROR(PA_8[[#This Row],[Breakdown Time]]*PA_8[[#This Row],[Plant Equivalent Weightage]],"")</f>
        <v>2.1071926457843181E-2</v>
      </c>
      <c r="AK23" s="38">
        <v>0.17829999999999999</v>
      </c>
      <c r="AL23" s="157">
        <f>U23*PA_8[[#This Row],[Lost PoA(Wh/m2)]]*81.6%</f>
        <v>2476.2576299759994</v>
      </c>
      <c r="AM23" s="157"/>
    </row>
    <row r="24" spans="1:39">
      <c r="A24" s="153">
        <v>23</v>
      </c>
      <c r="B24" s="154">
        <v>45781</v>
      </c>
      <c r="C24" s="187">
        <f>YEAR(PA_8[[#This Row],[Date]])+IF(MONTH(PA_8[[#This Row],[Date]])&gt;=4,1,0)</f>
        <v>2026</v>
      </c>
      <c r="D24" s="34">
        <f>YEAR(PA_8[[#This Row],[Date]])</f>
        <v>2025</v>
      </c>
      <c r="E24" s="155" t="s">
        <v>339</v>
      </c>
      <c r="F24" s="155" t="s">
        <v>339</v>
      </c>
      <c r="G24" s="175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55" t="s">
        <v>408</v>
      </c>
      <c r="M24" s="35"/>
      <c r="N24" s="35"/>
      <c r="O24" s="38"/>
      <c r="P24" s="38"/>
      <c r="Q24" s="35" t="s">
        <v>369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298">
        <f>IFERROR(_xlfn.XLOOKUP(PA_8[[#This Row],[Affected Equipment ]],'Basic Data'!$P:$P,'Basic Data'!$T:$T),"")</f>
        <v>2.4525112459246424E-2</v>
      </c>
      <c r="W24" s="320" t="s">
        <v>407</v>
      </c>
      <c r="X24" s="156" t="s">
        <v>1110</v>
      </c>
      <c r="Y24" s="321" t="s">
        <v>1111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321" t="s">
        <v>1112</v>
      </c>
      <c r="AI24" s="155" t="s">
        <v>383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7">
        <f>U24*PA_8[[#This Row],[Lost PoA(Wh/m2)]]*81.6%</f>
        <v>1172.0581368960002</v>
      </c>
      <c r="AM24" s="157"/>
    </row>
    <row r="25" spans="1:39">
      <c r="A25" s="153">
        <v>24</v>
      </c>
      <c r="B25" s="154">
        <v>45784</v>
      </c>
      <c r="C25" s="187">
        <f>YEAR(PA_8[[#This Row],[Date]])+IF(MONTH(PA_8[[#This Row],[Date]])&gt;=4,1,0)</f>
        <v>2026</v>
      </c>
      <c r="D25" s="34">
        <f>YEAR(PA_8[[#This Row],[Date]])</f>
        <v>2025</v>
      </c>
      <c r="E25" s="155" t="s">
        <v>339</v>
      </c>
      <c r="F25" s="155" t="s">
        <v>339</v>
      </c>
      <c r="G25" s="175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55" t="s">
        <v>413</v>
      </c>
      <c r="M25" s="35"/>
      <c r="N25" s="35"/>
      <c r="O25" s="38"/>
      <c r="P25" s="38"/>
      <c r="Q25" s="35" t="s">
        <v>369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298">
        <f>IFERROR(_xlfn.XLOOKUP(PA_8[[#This Row],[Affected Equipment ]],'Basic Data'!$P:$P,'Basic Data'!$T:$T),"")</f>
        <v>4.9460732120011563E-2</v>
      </c>
      <c r="W25" s="320" t="s">
        <v>407</v>
      </c>
      <c r="X25" s="156" t="s">
        <v>1110</v>
      </c>
      <c r="Y25" s="321" t="s">
        <v>1111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321" t="s">
        <v>1112</v>
      </c>
      <c r="AI25" s="155"/>
      <c r="AJ25" s="37">
        <f>IFERROR(PA_8[[#This Row],[Breakdown Time]]*PA_8[[#This Row],[Plant Equivalent Weightage]],"")</f>
        <v>0.64958428184281858</v>
      </c>
      <c r="AK25" s="38">
        <v>1.31</v>
      </c>
      <c r="AL25" s="157">
        <f>U25*PA_8[[#This Row],[Lost PoA(Wh/m2)]]*81.6%</f>
        <v>6405.6519384000012</v>
      </c>
      <c r="AM25" s="157"/>
    </row>
    <row r="26" spans="1:39">
      <c r="A26" s="153">
        <v>25</v>
      </c>
      <c r="B26" s="154">
        <v>45784</v>
      </c>
      <c r="C26" s="187">
        <f>YEAR(PA_8[[#This Row],[Date]])+IF(MONTH(PA_8[[#This Row],[Date]])&gt;=4,1,0)</f>
        <v>2026</v>
      </c>
      <c r="D26" s="34">
        <f>YEAR(PA_8[[#This Row],[Date]])</f>
        <v>2025</v>
      </c>
      <c r="E26" s="155" t="s">
        <v>339</v>
      </c>
      <c r="F26" s="155" t="s">
        <v>339</v>
      </c>
      <c r="G26" s="175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55" t="s">
        <v>418</v>
      </c>
      <c r="M26" s="35"/>
      <c r="N26" s="35"/>
      <c r="O26" s="38"/>
      <c r="P26" s="38"/>
      <c r="Q26" s="35" t="s">
        <v>369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8345.0400000000027</v>
      </c>
      <c r="V26" s="298">
        <f>IFERROR(_xlfn.XLOOKUP(PA_8[[#This Row],[Affected Equipment ]],'Basic Data'!$P:$P,'Basic Data'!$T:$T),"")</f>
        <v>6.8879039247245283E-2</v>
      </c>
      <c r="W26" s="320" t="s">
        <v>407</v>
      </c>
      <c r="X26" s="156" t="s">
        <v>1110</v>
      </c>
      <c r="Y26" s="321" t="s">
        <v>1111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321" t="s">
        <v>1112</v>
      </c>
      <c r="AI26" s="155"/>
      <c r="AJ26" s="37">
        <f>IFERROR(PA_8[[#This Row],[Breakdown Time]]*PA_8[[#This Row],[Plant Equivalent Weightage]],"")</f>
        <v>0.99874606908505659</v>
      </c>
      <c r="AK26" s="38">
        <v>0.45889999999999997</v>
      </c>
      <c r="AL26" s="157">
        <f>U26*PA_8[[#This Row],[Lost PoA(Wh/m2)]]*81.6%</f>
        <v>3124.9037064960007</v>
      </c>
      <c r="AM26" s="157"/>
    </row>
    <row r="27" spans="1:39">
      <c r="A27" s="153">
        <v>26</v>
      </c>
      <c r="B27" s="154">
        <v>45786</v>
      </c>
      <c r="C27" s="187">
        <f>YEAR(PA_8[[#This Row],[Date]])+IF(MONTH(PA_8[[#This Row],[Date]])&gt;=4,1,0)</f>
        <v>2026</v>
      </c>
      <c r="D27" s="34">
        <f>YEAR(PA_8[[#This Row],[Date]])</f>
        <v>2025</v>
      </c>
      <c r="E27" s="155" t="s">
        <v>339</v>
      </c>
      <c r="F27" s="155" t="s">
        <v>339</v>
      </c>
      <c r="G27" s="175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55"/>
      <c r="M27" s="35"/>
      <c r="N27" s="35"/>
      <c r="O27" s="38"/>
      <c r="P27" s="38"/>
      <c r="Q27" s="35" t="s">
        <v>416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298">
        <f>IFERROR(_xlfn.XLOOKUP(PA_8[[#This Row],[Affected Equipment ]],'Basic Data'!$P:$P,'Basic Data'!$T:$T),"")</f>
        <v>1.0078494490528662</v>
      </c>
      <c r="W27" s="320" t="s">
        <v>412</v>
      </c>
      <c r="X27" s="156" t="s">
        <v>1118</v>
      </c>
      <c r="Y27" s="156" t="s">
        <v>1098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1119</v>
      </c>
      <c r="AI27" s="155" t="s">
        <v>383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7">
        <f>U27*PA_8[[#This Row],[Lost PoA(Wh/m2)]]*81.6%</f>
        <v>26294.5990944</v>
      </c>
      <c r="AM27" s="157"/>
    </row>
    <row r="28" spans="1:39">
      <c r="A28" s="153">
        <v>27</v>
      </c>
      <c r="B28" s="154">
        <v>45793</v>
      </c>
      <c r="C28" s="187">
        <f>YEAR(PA_8[[#This Row],[Date]])+IF(MONTH(PA_8[[#This Row],[Date]])&gt;=4,1,0)</f>
        <v>2026</v>
      </c>
      <c r="D28" s="34">
        <f>YEAR(PA_8[[#This Row],[Date]])</f>
        <v>2025</v>
      </c>
      <c r="E28" s="155" t="s">
        <v>339</v>
      </c>
      <c r="F28" s="155" t="s">
        <v>339</v>
      </c>
      <c r="G28" s="175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55"/>
      <c r="M28" s="35"/>
      <c r="N28" s="35"/>
      <c r="O28" s="38"/>
      <c r="P28" s="38"/>
      <c r="Q28" s="35" t="s">
        <v>416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298">
        <f>IFERROR(_xlfn.XLOOKUP(PA_8[[#This Row],[Affected Equipment ]],'Basic Data'!$P:$P,'Basic Data'!$T:$T),"")</f>
        <v>1.0078494490528662</v>
      </c>
      <c r="W28" s="320" t="s">
        <v>412</v>
      </c>
      <c r="X28" s="156" t="s">
        <v>1118</v>
      </c>
      <c r="Y28" s="156" t="s">
        <v>1098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1120</v>
      </c>
      <c r="AI28" s="155" t="s">
        <v>383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7">
        <f>U28*PA_8[[#This Row],[Lost PoA(Wh/m2)]]*81.6%</f>
        <v>11657.704032</v>
      </c>
      <c r="AM28" s="157"/>
    </row>
    <row r="29" spans="1:39">
      <c r="A29" s="153">
        <v>28</v>
      </c>
      <c r="B29" s="154">
        <v>45795</v>
      </c>
      <c r="C29" s="187">
        <f>YEAR(PA_8[[#This Row],[Date]])+IF(MONTH(PA_8[[#This Row],[Date]])&gt;=4,1,0)</f>
        <v>2026</v>
      </c>
      <c r="D29" s="34">
        <f>YEAR(PA_8[[#This Row],[Date]])</f>
        <v>2025</v>
      </c>
      <c r="E29" s="155" t="s">
        <v>339</v>
      </c>
      <c r="F29" s="155" t="s">
        <v>339</v>
      </c>
      <c r="G29" s="175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55" t="s">
        <v>397</v>
      </c>
      <c r="M29" s="35"/>
      <c r="N29" s="35"/>
      <c r="O29" s="38"/>
      <c r="P29" s="38"/>
      <c r="Q29" s="35" t="s">
        <v>369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7416.7000000000007</v>
      </c>
      <c r="V29" s="298">
        <f>IFERROR(_xlfn.XLOOKUP(PA_8[[#This Row],[Affected Equipment ]],'Basic Data'!$P:$P,'Basic Data'!$T:$T),"")</f>
        <v>6.1216623333746036E-2</v>
      </c>
      <c r="W29" s="320" t="s">
        <v>407</v>
      </c>
      <c r="X29" s="156" t="s">
        <v>1110</v>
      </c>
      <c r="Y29" s="321" t="s">
        <v>1121</v>
      </c>
      <c r="Z29" s="39">
        <v>0.46458333333333335</v>
      </c>
      <c r="AA29" s="39"/>
      <c r="AB29" s="39">
        <v>0.4826388888888889</v>
      </c>
      <c r="AC29" s="271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1122</v>
      </c>
      <c r="AI29" s="155" t="s">
        <v>383</v>
      </c>
      <c r="AJ29" s="37">
        <f>IFERROR(PA_8[[#This Row],[Breakdown Time]]*PA_8[[#This Row],[Plant Equivalent Weightage]],"")</f>
        <v>5.6115238055933832E-2</v>
      </c>
      <c r="AK29" s="38">
        <v>0.83240000000000003</v>
      </c>
      <c r="AL29" s="157">
        <f>U29*PA_8[[#This Row],[Lost PoA(Wh/m2)]]*81.6%</f>
        <v>5037.7074412800002</v>
      </c>
      <c r="AM29" s="157"/>
    </row>
    <row r="30" spans="1:39">
      <c r="A30" s="153">
        <v>29</v>
      </c>
      <c r="B30" s="154">
        <v>45796</v>
      </c>
      <c r="C30" s="187">
        <f>YEAR(PA_8[[#This Row],[Date]])+IF(MONTH(PA_8[[#This Row],[Date]])&gt;=4,1,0)</f>
        <v>2026</v>
      </c>
      <c r="D30" s="34">
        <f>YEAR(PA_8[[#This Row],[Date]])</f>
        <v>2025</v>
      </c>
      <c r="E30" s="155" t="s">
        <v>339</v>
      </c>
      <c r="F30" s="155" t="s">
        <v>339</v>
      </c>
      <c r="G30" s="175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55" t="s">
        <v>397</v>
      </c>
      <c r="M30" s="35"/>
      <c r="N30" s="35"/>
      <c r="O30" s="38"/>
      <c r="P30" s="38"/>
      <c r="Q30" s="35" t="s">
        <v>369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7416.7000000000007</v>
      </c>
      <c r="V30" s="298">
        <f>IFERROR(_xlfn.XLOOKUP(PA_8[[#This Row],[Affected Equipment ]],'Basic Data'!$P:$P,'Basic Data'!$T:$T),"")</f>
        <v>6.1216623333746036E-2</v>
      </c>
      <c r="W30" s="320" t="s">
        <v>407</v>
      </c>
      <c r="X30" s="156" t="s">
        <v>1110</v>
      </c>
      <c r="Y30" s="321" t="s">
        <v>1121</v>
      </c>
      <c r="Z30" s="271">
        <v>0.51597222222222228</v>
      </c>
      <c r="AA30" s="39"/>
      <c r="AB30" s="271">
        <v>0.51597222222222228</v>
      </c>
      <c r="AC30" s="271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1122</v>
      </c>
      <c r="AI30" s="155" t="s">
        <v>383</v>
      </c>
      <c r="AJ30" s="37">
        <f>IFERROR(PA_8[[#This Row],[Breakdown Time]]*PA_8[[#This Row],[Plant Equivalent Weightage]],"")</f>
        <v>4.1831359278058991E-2</v>
      </c>
      <c r="AK30" s="38">
        <v>0.59809999999999997</v>
      </c>
      <c r="AL30" s="157">
        <f>U30*PA_8[[#This Row],[Lost PoA(Wh/m2)]]*81.6%</f>
        <v>3619.7174683200001</v>
      </c>
      <c r="AM30" s="157"/>
    </row>
    <row r="31" spans="1:39">
      <c r="A31" s="153">
        <v>30</v>
      </c>
      <c r="B31" s="154">
        <v>45798</v>
      </c>
      <c r="C31" s="187">
        <f>YEAR(PA_8[[#This Row],[Date]])+IF(MONTH(PA_8[[#This Row],[Date]])&gt;=4,1,0)</f>
        <v>2026</v>
      </c>
      <c r="D31" s="34">
        <f>YEAR(PA_8[[#This Row],[Date]])</f>
        <v>2025</v>
      </c>
      <c r="E31" s="155" t="s">
        <v>339</v>
      </c>
      <c r="F31" s="155" t="s">
        <v>339</v>
      </c>
      <c r="G31" s="175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55" t="s">
        <v>424</v>
      </c>
      <c r="M31" s="35" t="s">
        <v>385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3030.5</v>
      </c>
      <c r="V31" s="298">
        <f>IFERROR(_xlfn.XLOOKUP(PA_8[[#This Row],[Affected Equipment ]],'Basic Data'!$P:$P,'Basic Data'!$T:$T),"")</f>
        <v>2.501341257067393E-2</v>
      </c>
      <c r="W31" s="320" t="s">
        <v>344</v>
      </c>
      <c r="X31" s="272" t="s">
        <v>1123</v>
      </c>
      <c r="Y31" s="272" t="s">
        <v>1123</v>
      </c>
      <c r="Z31" s="271">
        <v>0.4201388888888889</v>
      </c>
      <c r="AA31" s="39"/>
      <c r="AB31" s="40">
        <v>0.77222222222222225</v>
      </c>
      <c r="AC31" s="271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1124</v>
      </c>
      <c r="AI31" s="155" t="s">
        <v>375</v>
      </c>
      <c r="AJ31" s="37">
        <f>IFERROR(PA_8[[#This Row],[Breakdown Time]]*PA_8[[#This Row],[Plant Equivalent Weightage]],"")</f>
        <v>-0.25221857675429549</v>
      </c>
      <c r="AK31" s="273">
        <v>4.938241274999994</v>
      </c>
      <c r="AL31" s="157">
        <f>U31*PA_8[[#This Row],[Lost PoA(Wh/m2)]]*81.6%</f>
        <v>12211.717590052183</v>
      </c>
      <c r="AM31" s="157"/>
    </row>
    <row r="32" spans="1:39">
      <c r="A32" s="153">
        <v>31</v>
      </c>
      <c r="B32" s="154">
        <v>45798</v>
      </c>
      <c r="C32" s="187">
        <f>YEAR(PA_8[[#This Row],[Date]])+IF(MONTH(PA_8[[#This Row],[Date]])&gt;=4,1,0)</f>
        <v>2026</v>
      </c>
      <c r="D32" s="34">
        <f>YEAR(PA_8[[#This Row],[Date]])</f>
        <v>2025</v>
      </c>
      <c r="E32" s="155" t="s">
        <v>339</v>
      </c>
      <c r="F32" s="155" t="s">
        <v>339</v>
      </c>
      <c r="G32" s="175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55" t="s">
        <v>424</v>
      </c>
      <c r="M32" s="35" t="s">
        <v>392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2360.6</v>
      </c>
      <c r="V32" s="299">
        <f>IFERROR(_xlfn.XLOOKUP(PA_8[[#This Row],[Affected Equipment ]],'Basic Data'!$P:$P,'Basic Data'!$T:$T),"")</f>
        <v>1.9484131897156535E-2</v>
      </c>
      <c r="W32" s="320" t="s">
        <v>344</v>
      </c>
      <c r="X32" s="272" t="s">
        <v>1123</v>
      </c>
      <c r="Y32" s="272" t="s">
        <v>1123</v>
      </c>
      <c r="Z32" s="271">
        <v>0.4201388888888889</v>
      </c>
      <c r="AA32" s="39"/>
      <c r="AB32" s="40">
        <v>0.77222222222222225</v>
      </c>
      <c r="AC32" s="271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1124</v>
      </c>
      <c r="AI32" s="155" t="s">
        <v>375</v>
      </c>
      <c r="AJ32" s="37">
        <f>IFERROR(PA_8[[#This Row],[Breakdown Time]]*PA_8[[#This Row],[Plant Equivalent Weightage]],"")</f>
        <v>-0.19646499662966174</v>
      </c>
      <c r="AK32" s="273">
        <v>4.938241274999994</v>
      </c>
      <c r="AL32" s="157">
        <f>U32*PA_8[[#This Row],[Lost PoA(Wh/m2)]]*81.6%</f>
        <v>9512.2852806722276</v>
      </c>
      <c r="AM32" s="157"/>
    </row>
    <row r="33" spans="1:39">
      <c r="A33" s="153">
        <v>32</v>
      </c>
      <c r="B33" s="154">
        <v>45799</v>
      </c>
      <c r="C33" s="187">
        <f>YEAR(PA_8[[#This Row],[Date]])+IF(MONTH(PA_8[[#This Row],[Date]])&gt;=4,1,0)</f>
        <v>2026</v>
      </c>
      <c r="D33" s="34">
        <f>YEAR(PA_8[[#This Row],[Date]])</f>
        <v>2025</v>
      </c>
      <c r="E33" s="155" t="s">
        <v>339</v>
      </c>
      <c r="F33" s="155" t="s">
        <v>339</v>
      </c>
      <c r="G33" s="175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55" t="s">
        <v>424</v>
      </c>
      <c r="M33" s="35" t="s">
        <v>385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3030.5</v>
      </c>
      <c r="V33" s="298">
        <f>IFERROR(_xlfn.XLOOKUP(PA_8[[#This Row],[Affected Equipment ]],'Basic Data'!$P:$P,'Basic Data'!$T:$T),"")</f>
        <v>2.501341257067393E-2</v>
      </c>
      <c r="W33" s="320" t="s">
        <v>344</v>
      </c>
      <c r="X33" s="272" t="s">
        <v>1123</v>
      </c>
      <c r="Y33" s="272" t="s">
        <v>1123</v>
      </c>
      <c r="Z33" s="271">
        <v>0.2722222222222222</v>
      </c>
      <c r="AA33" s="39"/>
      <c r="AB33" s="40">
        <v>0.77222222222222225</v>
      </c>
      <c r="AC33" s="271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1124</v>
      </c>
      <c r="AI33" s="155" t="s">
        <v>375</v>
      </c>
      <c r="AJ33" s="37">
        <f>IFERROR(PA_8[[#This Row],[Breakdown Time]]*PA_8[[#This Row],[Plant Equivalent Weightage]],"")</f>
        <v>-0.16342096212840301</v>
      </c>
      <c r="AK33" s="273">
        <v>6.2420594250000008</v>
      </c>
      <c r="AL33" s="157">
        <f>U33*PA_8[[#This Row],[Lost PoA(Wh/m2)]]*81.6%</f>
        <v>15435.9138473694</v>
      </c>
      <c r="AM33" s="157"/>
    </row>
    <row r="34" spans="1:39">
      <c r="A34" s="153">
        <v>33</v>
      </c>
      <c r="B34" s="154">
        <v>45799</v>
      </c>
      <c r="C34" s="187">
        <f>YEAR(PA_8[[#This Row],[Date]])+IF(MONTH(PA_8[[#This Row],[Date]])&gt;=4,1,0)</f>
        <v>2026</v>
      </c>
      <c r="D34" s="34">
        <f>YEAR(PA_8[[#This Row],[Date]])</f>
        <v>2025</v>
      </c>
      <c r="E34" s="155" t="s">
        <v>339</v>
      </c>
      <c r="F34" s="155" t="s">
        <v>339</v>
      </c>
      <c r="G34" s="175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55" t="s">
        <v>424</v>
      </c>
      <c r="M34" s="35" t="s">
        <v>392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2360.6</v>
      </c>
      <c r="V34" s="299">
        <f>IFERROR(_xlfn.XLOOKUP(PA_8[[#This Row],[Affected Equipment ]],'Basic Data'!$P:$P,'Basic Data'!$T:$T),"")</f>
        <v>1.9484131897156535E-2</v>
      </c>
      <c r="W34" s="320" t="s">
        <v>344</v>
      </c>
      <c r="X34" s="272" t="s">
        <v>1123</v>
      </c>
      <c r="Y34" s="272" t="s">
        <v>1123</v>
      </c>
      <c r="Z34" s="271">
        <v>0.2722222222222222</v>
      </c>
      <c r="AA34" s="39"/>
      <c r="AB34" s="40">
        <v>0.77222222222222225</v>
      </c>
      <c r="AC34" s="271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1124</v>
      </c>
      <c r="AI34" s="155" t="s">
        <v>375</v>
      </c>
      <c r="AJ34" s="37">
        <f>IFERROR(PA_8[[#This Row],[Breakdown Time]]*PA_8[[#This Row],[Plant Equivalent Weightage]],"")</f>
        <v>-0.12729632839475602</v>
      </c>
      <c r="AK34" s="273">
        <v>6.2420594250000008</v>
      </c>
      <c r="AL34" s="157">
        <f>U34*PA_8[[#This Row],[Lost PoA(Wh/m2)]]*81.6%</f>
        <v>12023.76447058248</v>
      </c>
      <c r="AM34" s="157"/>
    </row>
    <row r="35" spans="1:39">
      <c r="A35" s="153">
        <v>34</v>
      </c>
      <c r="B35" s="154">
        <v>45800</v>
      </c>
      <c r="C35" s="187">
        <f>YEAR(PA_8[[#This Row],[Date]])+IF(MONTH(PA_8[[#This Row],[Date]])&gt;=4,1,0)</f>
        <v>2026</v>
      </c>
      <c r="D35" s="34">
        <f>YEAR(PA_8[[#This Row],[Date]])</f>
        <v>2025</v>
      </c>
      <c r="E35" s="155" t="s">
        <v>339</v>
      </c>
      <c r="F35" s="155" t="s">
        <v>339</v>
      </c>
      <c r="G35" s="175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55" t="s">
        <v>413</v>
      </c>
      <c r="M35" s="35" t="s">
        <v>365</v>
      </c>
      <c r="N35" s="35" t="s">
        <v>378</v>
      </c>
      <c r="O35" s="38" t="s">
        <v>399</v>
      </c>
      <c r="P35" s="38" t="s">
        <v>400</v>
      </c>
      <c r="Q35" s="35" t="s">
        <v>1125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298">
        <f>IFERROR(_xlfn.XLOOKUP(PA_8[[#This Row],[Affected Equipment ]],'Basic Data'!$P:$P,'Basic Data'!$T:$T),"")</f>
        <v>2.6090545169411085E-4</v>
      </c>
      <c r="W35" s="320" t="s">
        <v>1126</v>
      </c>
      <c r="X35" s="272" t="s">
        <v>1127</v>
      </c>
      <c r="Y35" s="272" t="s">
        <v>1128</v>
      </c>
      <c r="Z35" s="271">
        <v>0.60416666666666663</v>
      </c>
      <c r="AA35" s="39"/>
      <c r="AB35" s="40">
        <v>0.72916666666666663</v>
      </c>
      <c r="AC35" s="271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1129</v>
      </c>
      <c r="AI35" s="155" t="s">
        <v>383</v>
      </c>
      <c r="AJ35" s="37">
        <f>IFERROR(PA_8[[#This Row],[Breakdown Time]]*PA_8[[#This Row],[Plant Equivalent Weightage]],"")</f>
        <v>1.0436218067764438E-3</v>
      </c>
      <c r="AK35" s="273">
        <v>2.54</v>
      </c>
      <c r="AL35" s="157">
        <f>U35*PA_8[[#This Row],[Lost PoA(Wh/m2)]]*81.6%</f>
        <v>65.516150400000001</v>
      </c>
      <c r="AM35" s="157"/>
    </row>
    <row r="36" spans="1:39">
      <c r="A36" s="153">
        <v>35</v>
      </c>
      <c r="B36" s="154">
        <v>45800</v>
      </c>
      <c r="C36" s="187">
        <f>YEAR(PA_8[[#This Row],[Date]])+IF(MONTH(PA_8[[#This Row],[Date]])&gt;=4,1,0)</f>
        <v>2026</v>
      </c>
      <c r="D36" s="34">
        <f>YEAR(PA_8[[#This Row],[Date]])</f>
        <v>2025</v>
      </c>
      <c r="E36" s="155" t="s">
        <v>339</v>
      </c>
      <c r="F36" s="155" t="s">
        <v>339</v>
      </c>
      <c r="G36" s="175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55" t="s">
        <v>424</v>
      </c>
      <c r="M36" s="35" t="s">
        <v>385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3030.5</v>
      </c>
      <c r="V36" s="298">
        <f>IFERROR(_xlfn.XLOOKUP(PA_8[[#This Row],[Affected Equipment ]],'Basic Data'!$P:$P,'Basic Data'!$T:$T),"")</f>
        <v>2.501341257067393E-2</v>
      </c>
      <c r="W36" s="320" t="s">
        <v>344</v>
      </c>
      <c r="X36" s="272" t="s">
        <v>1123</v>
      </c>
      <c r="Y36" s="272" t="s">
        <v>1123</v>
      </c>
      <c r="Z36" s="271">
        <v>0.2722222222222222</v>
      </c>
      <c r="AA36" s="39"/>
      <c r="AB36" s="40">
        <v>0.77222222222222225</v>
      </c>
      <c r="AC36" s="271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1124</v>
      </c>
      <c r="AI36" s="155" t="s">
        <v>375</v>
      </c>
      <c r="AJ36" s="37">
        <f>IFERROR(PA_8[[#This Row],[Breakdown Time]]*PA_8[[#This Row],[Plant Equivalent Weightage]],"")</f>
        <v>-0.16342096212840301</v>
      </c>
      <c r="AK36" s="273">
        <v>2.6424233416666665</v>
      </c>
      <c r="AL36" s="157">
        <f>U36*PA_8[[#This Row],[Lost PoA(Wh/m2)]]*81.6%</f>
        <v>6534.4169725273996</v>
      </c>
      <c r="AM36" s="157"/>
    </row>
    <row r="37" spans="1:39">
      <c r="A37" s="153"/>
      <c r="B37" s="154">
        <v>45800</v>
      </c>
      <c r="C37" s="187">
        <f>YEAR(PA_8[[#This Row],[Date]])+IF(MONTH(PA_8[[#This Row],[Date]])&gt;=4,1,0)</f>
        <v>2026</v>
      </c>
      <c r="D37" s="34">
        <f>YEAR(PA_8[[#This Row],[Date]])</f>
        <v>2025</v>
      </c>
      <c r="E37" s="155" t="s">
        <v>339</v>
      </c>
      <c r="F37" s="155" t="s">
        <v>339</v>
      </c>
      <c r="G37" s="175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55" t="s">
        <v>424</v>
      </c>
      <c r="M37" s="35" t="s">
        <v>392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2360.6</v>
      </c>
      <c r="V37" s="299">
        <f>IFERROR(_xlfn.XLOOKUP(PA_8[[#This Row],[Affected Equipment ]],'Basic Data'!$P:$P,'Basic Data'!$T:$T),"")</f>
        <v>1.9484131897156535E-2</v>
      </c>
      <c r="W37" s="320" t="s">
        <v>344</v>
      </c>
      <c r="X37" s="272" t="s">
        <v>1123</v>
      </c>
      <c r="Y37" s="272" t="s">
        <v>1123</v>
      </c>
      <c r="Z37" s="271">
        <v>0.2722222222222222</v>
      </c>
      <c r="AA37" s="39"/>
      <c r="AB37" s="40">
        <v>0.77222222222222225</v>
      </c>
      <c r="AC37" s="271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1124</v>
      </c>
      <c r="AI37" s="155" t="s">
        <v>375</v>
      </c>
      <c r="AJ37" s="37">
        <f>IFERROR(PA_8[[#This Row],[Breakdown Time]]*PA_8[[#This Row],[Plant Equivalent Weightage]],"")</f>
        <v>-0.12729632839475602</v>
      </c>
      <c r="AK37" s="273">
        <v>2.6424233416666665</v>
      </c>
      <c r="AL37" s="157">
        <f>U37*PA_8[[#This Row],[Lost PoA(Wh/m2)]]*81.6%</f>
        <v>5089.9669049160793</v>
      </c>
      <c r="AM37" s="157"/>
    </row>
    <row r="38" spans="1:39">
      <c r="A38" s="153">
        <v>36</v>
      </c>
      <c r="B38" s="154">
        <v>45801</v>
      </c>
      <c r="C38" s="274">
        <f>YEAR(PA_8[[#This Row],[Date]])+IF(MONTH(PA_8[[#This Row],[Date]])&gt;=4,1,0)</f>
        <v>2026</v>
      </c>
      <c r="D38" s="275">
        <f>YEAR(PA_8[[#This Row],[Date]])</f>
        <v>2025</v>
      </c>
      <c r="E38" s="155" t="s">
        <v>339</v>
      </c>
      <c r="F38" s="155" t="s">
        <v>339</v>
      </c>
      <c r="G38" s="276">
        <f>PA_8[[#This Row],[Date]]-DAY(PA_8[[#This Row],[Date]])+1</f>
        <v>45778</v>
      </c>
      <c r="H38" s="275">
        <f>DAY(EOMONTH(PA_8[[#This Row],[Month Year]],0))</f>
        <v>31</v>
      </c>
      <c r="I38" s="277">
        <f>IFERROR(_xlfn.XLOOKUP(PA_8[[#This Row],[Date]],Input_Raw!$A:$A,Input_Raw!F:F),"")</f>
        <v>0.26250000000000001</v>
      </c>
      <c r="J38" s="277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55" t="s">
        <v>424</v>
      </c>
      <c r="M38" s="35" t="s">
        <v>385</v>
      </c>
      <c r="N38" s="278"/>
      <c r="O38" s="279"/>
      <c r="P38" s="279"/>
      <c r="Q38" s="35"/>
      <c r="R38" s="275">
        <f>IF((PA_8[[#This Row],[String Type(If String BD)]]&amp;PA_8[[#This Row],[Equipment (If any BD other than PV  array and inv)]])="",1,0)</f>
        <v>1</v>
      </c>
      <c r="S38" s="275">
        <f>IF(PA_8[[#This Row],[String Type(If String BD)]]="",1,0)</f>
        <v>1</v>
      </c>
      <c r="T38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3030.5</v>
      </c>
      <c r="V38" s="298">
        <f>IFERROR(_xlfn.XLOOKUP(PA_8[[#This Row],[Affected Equipment ]],'Basic Data'!$P:$P,'Basic Data'!$T:$T),"")</f>
        <v>2.501341257067393E-2</v>
      </c>
      <c r="W38" s="320" t="s">
        <v>344</v>
      </c>
      <c r="X38" s="272" t="s">
        <v>1123</v>
      </c>
      <c r="Y38" s="272" t="s">
        <v>1123</v>
      </c>
      <c r="Z38" s="271">
        <v>0.2722222222222222</v>
      </c>
      <c r="AA38" s="39"/>
      <c r="AB38" s="40">
        <v>0.77222222222222225</v>
      </c>
      <c r="AC38" s="280"/>
      <c r="AD38" s="281">
        <f>IF(PA_8[[#This Row],[Acknowledgement Time ]]="NA","",(PA_8[[#This Row],[Acknowledgement Time ]]-PA_8[[#This Row],[Fault Time]])*24)</f>
        <v>-6.5333333333333332</v>
      </c>
      <c r="AE38" s="281">
        <f>IF(PA_8[[#This Row],[Work Start time on Fault]]="NA","",(PA_8[[#This Row],[Work Start time on Fault]]-PA_8[[#This Row],[Fault Time]])*24)</f>
        <v>12</v>
      </c>
      <c r="AF38" s="282" t="str">
        <f>IF(PA_8[[#This Row],[Status]]="Open","",(PA_8[[#This Row],[Work Completion time on fault]]-PA_8[[#This Row],[Fault Time]])*24)</f>
        <v/>
      </c>
      <c r="AG38" s="281">
        <f>IFERROR((PA_8[[#This Row],[Work Completion time on fault]]-PA_8[[#This Row],[Fault Time]])*24,"")</f>
        <v>-6.5333333333333332</v>
      </c>
      <c r="AH38" s="38" t="s">
        <v>1124</v>
      </c>
      <c r="AI38" s="155" t="s">
        <v>375</v>
      </c>
      <c r="AJ38" s="283">
        <f>IFERROR(PA_8[[#This Row],[Breakdown Time]]*PA_8[[#This Row],[Plant Equivalent Weightage]],"")</f>
        <v>-0.16342096212840301</v>
      </c>
      <c r="AK38" s="284">
        <v>3.5202772916666696</v>
      </c>
      <c r="AL38" s="157">
        <f>U38*PA_8[[#This Row],[Lost PoA(Wh/m2)]]*81.6%</f>
        <v>8705.2514712350057</v>
      </c>
      <c r="AM38" s="285"/>
    </row>
    <row r="39" spans="1:39">
      <c r="A39" s="153"/>
      <c r="B39" s="154">
        <v>45801</v>
      </c>
      <c r="C39" s="187">
        <f>YEAR(PA_8[[#This Row],[Date]])+IF(MONTH(PA_8[[#This Row],[Date]])&gt;=4,1,0)</f>
        <v>2026</v>
      </c>
      <c r="D39" s="34">
        <f>YEAR(PA_8[[#This Row],[Date]])</f>
        <v>2025</v>
      </c>
      <c r="E39" s="155" t="s">
        <v>339</v>
      </c>
      <c r="F39" s="155" t="s">
        <v>339</v>
      </c>
      <c r="G39" s="175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55" t="s">
        <v>424</v>
      </c>
      <c r="M39" s="35" t="s">
        <v>392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2360.6</v>
      </c>
      <c r="V39" s="299">
        <f>IFERROR(_xlfn.XLOOKUP(PA_8[[#This Row],[Affected Equipment ]],'Basic Data'!$P:$P,'Basic Data'!$T:$T),"")</f>
        <v>1.9484131897156535E-2</v>
      </c>
      <c r="W39" s="320" t="s">
        <v>344</v>
      </c>
      <c r="X39" s="272" t="s">
        <v>1123</v>
      </c>
      <c r="Y39" s="272" t="s">
        <v>1123</v>
      </c>
      <c r="Z39" s="271">
        <v>0.2722222222222222</v>
      </c>
      <c r="AA39" s="39"/>
      <c r="AB39" s="40">
        <v>0.77222222222222225</v>
      </c>
      <c r="AC39" s="271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1124</v>
      </c>
      <c r="AI39" s="155" t="s">
        <v>375</v>
      </c>
      <c r="AJ39" s="37">
        <f>IFERROR(PA_8[[#This Row],[Breakdown Time]]*PA_8[[#This Row],[Plant Equivalent Weightage]],"")</f>
        <v>-0.12729632839475602</v>
      </c>
      <c r="AK39" s="284">
        <v>3.5202772916666696</v>
      </c>
      <c r="AL39" s="157">
        <f>U39*PA_8[[#This Row],[Lost PoA(Wh/m2)]]*81.6%</f>
        <v>6780.9327249620046</v>
      </c>
      <c r="AM39" s="157"/>
    </row>
    <row r="40" spans="1:39">
      <c r="A40" s="153">
        <v>37</v>
      </c>
      <c r="B40" s="154">
        <v>45801</v>
      </c>
      <c r="C40" s="187">
        <f>YEAR(PA_8[[#This Row],[Date]])+IF(MONTH(PA_8[[#This Row],[Date]])&gt;=4,1,0)</f>
        <v>2026</v>
      </c>
      <c r="D40" s="34">
        <f>YEAR(PA_8[[#This Row],[Date]])</f>
        <v>2025</v>
      </c>
      <c r="E40" s="155" t="s">
        <v>339</v>
      </c>
      <c r="F40" s="155" t="s">
        <v>339</v>
      </c>
      <c r="G40" s="175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55" t="s">
        <v>424</v>
      </c>
      <c r="M40" s="35"/>
      <c r="N40" s="35"/>
      <c r="O40" s="38"/>
      <c r="P40" s="38"/>
      <c r="Q40" s="35" t="s">
        <v>369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298">
        <f>IFERROR(_xlfn.XLOOKUP(PA_8[[#This Row],[Affected Equipment ]],'Basic Data'!$P:$P,'Basic Data'!$T:$T),"")</f>
        <v>0.14226887045520201</v>
      </c>
      <c r="W40" s="320" t="s">
        <v>407</v>
      </c>
      <c r="X40" s="156" t="s">
        <v>1094</v>
      </c>
      <c r="Y40" s="156" t="s">
        <v>1095</v>
      </c>
      <c r="Z40" s="271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1096</v>
      </c>
      <c r="AI40" s="155" t="s">
        <v>383</v>
      </c>
      <c r="AJ40" s="37">
        <f>IFERROR(PA_8[[#This Row],[Breakdown Time]]*PA_8[[#This Row],[Plant Equivalent Weightage]],"")</f>
        <v>0.23948593193292328</v>
      </c>
      <c r="AK40" s="273">
        <v>0.2233</v>
      </c>
      <c r="AL40" s="157">
        <f>U40*PA_8[[#This Row],[Lost PoA(Wh/m2)]]*81.6%</f>
        <v>3140.7264152879998</v>
      </c>
      <c r="AM40" s="157"/>
    </row>
    <row r="41" spans="1:39">
      <c r="A41" s="153">
        <v>38</v>
      </c>
      <c r="B41" s="154">
        <v>45801</v>
      </c>
      <c r="C41" s="187">
        <f>YEAR(PA_8[[#This Row],[Date]])+IF(MONTH(PA_8[[#This Row],[Date]])&gt;=4,1,0)</f>
        <v>2026</v>
      </c>
      <c r="D41" s="34">
        <f>YEAR(PA_8[[#This Row],[Date]])</f>
        <v>2025</v>
      </c>
      <c r="E41" s="155" t="s">
        <v>339</v>
      </c>
      <c r="F41" s="155" t="s">
        <v>339</v>
      </c>
      <c r="G41" s="175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55" t="s">
        <v>429</v>
      </c>
      <c r="M41" s="35"/>
      <c r="N41" s="35"/>
      <c r="O41" s="38"/>
      <c r="P41" s="38"/>
      <c r="Q41" s="35" t="s">
        <v>369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298">
        <f>IFERROR(_xlfn.XLOOKUP(PA_8[[#This Row],[Affected Equipment ]],'Basic Data'!$P:$P,'Basic Data'!$T:$T),"")</f>
        <v>4.5267095868928235E-2</v>
      </c>
      <c r="W41" s="320" t="s">
        <v>407</v>
      </c>
      <c r="X41" s="156" t="s">
        <v>1094</v>
      </c>
      <c r="Y41" s="156" t="s">
        <v>1095</v>
      </c>
      <c r="Z41" s="271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1096</v>
      </c>
      <c r="AI41" s="155" t="s">
        <v>383</v>
      </c>
      <c r="AJ41" s="37">
        <f>IFERROR(PA_8[[#This Row],[Breakdown Time]]*PA_8[[#This Row],[Plant Equivalent Weightage]],"")</f>
        <v>7.61996113793625E-2</v>
      </c>
      <c r="AK41" s="273">
        <v>0.2233</v>
      </c>
      <c r="AL41" s="157">
        <f>U41*PA_8[[#This Row],[Lost PoA(Wh/m2)]]*81.6%</f>
        <v>999.31603648800001</v>
      </c>
      <c r="AM41" s="157"/>
    </row>
    <row r="42" spans="1:39">
      <c r="A42" s="153">
        <v>39</v>
      </c>
      <c r="B42" s="154">
        <v>45801</v>
      </c>
      <c r="C42" s="187">
        <f>YEAR(PA_8[[#This Row],[Date]])+IF(MONTH(PA_8[[#This Row],[Date]])&gt;=4,1,0)</f>
        <v>2026</v>
      </c>
      <c r="D42" s="34">
        <f>YEAR(PA_8[[#This Row],[Date]])</f>
        <v>2025</v>
      </c>
      <c r="E42" s="155" t="s">
        <v>339</v>
      </c>
      <c r="F42" s="155" t="s">
        <v>339</v>
      </c>
      <c r="G42" s="175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55" t="s">
        <v>433</v>
      </c>
      <c r="M42" s="35"/>
      <c r="N42" s="35"/>
      <c r="O42" s="38"/>
      <c r="P42" s="38"/>
      <c r="Q42" s="35" t="s">
        <v>369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298">
        <f>IFERROR(_xlfn.XLOOKUP(PA_8[[#This Row],[Affected Equipment ]],'Basic Data'!$P:$P,'Basic Data'!$T:$T),"")</f>
        <v>5.0929800668565062E-2</v>
      </c>
      <c r="W42" s="320" t="s">
        <v>407</v>
      </c>
      <c r="X42" s="156" t="s">
        <v>1094</v>
      </c>
      <c r="Y42" s="156" t="s">
        <v>1095</v>
      </c>
      <c r="Z42" s="271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1096</v>
      </c>
      <c r="AI42" s="155" t="s">
        <v>383</v>
      </c>
      <c r="AJ42" s="37">
        <f>IFERROR(PA_8[[#This Row],[Breakdown Time]]*PA_8[[#This Row],[Plant Equivalent Weightage]],"")</f>
        <v>8.5731831125417823E-2</v>
      </c>
      <c r="AK42" s="273">
        <v>0.2233</v>
      </c>
      <c r="AL42" s="157">
        <f>U42*PA_8[[#This Row],[Lost PoA(Wh/m2)]]*81.6%</f>
        <v>1124.3258611199999</v>
      </c>
      <c r="AM42" s="157"/>
    </row>
    <row r="43" spans="1:39">
      <c r="A43" s="153">
        <v>40</v>
      </c>
      <c r="B43" s="154">
        <v>45801</v>
      </c>
      <c r="C43" s="187">
        <f>YEAR(PA_8[[#This Row],[Date]])+IF(MONTH(PA_8[[#This Row],[Date]])&gt;=4,1,0)</f>
        <v>2026</v>
      </c>
      <c r="D43" s="34">
        <f>YEAR(PA_8[[#This Row],[Date]])</f>
        <v>2025</v>
      </c>
      <c r="E43" s="155" t="s">
        <v>339</v>
      </c>
      <c r="F43" s="155" t="s">
        <v>339</v>
      </c>
      <c r="G43" s="175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55" t="s">
        <v>436</v>
      </c>
      <c r="M43" s="35"/>
      <c r="N43" s="35"/>
      <c r="O43" s="38"/>
      <c r="P43" s="38"/>
      <c r="Q43" s="35" t="s">
        <v>369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6701.32</v>
      </c>
      <c r="V43" s="298">
        <f>IFERROR(_xlfn.XLOOKUP(PA_8[[#This Row],[Affected Equipment ]],'Basic Data'!$P:$P,'Basic Data'!$T:$T),"")</f>
        <v>5.5311955759151495E-2</v>
      </c>
      <c r="W43" s="320" t="s">
        <v>407</v>
      </c>
      <c r="X43" s="156" t="s">
        <v>1094</v>
      </c>
      <c r="Y43" s="156" t="s">
        <v>1095</v>
      </c>
      <c r="Z43" s="271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1096</v>
      </c>
      <c r="AI43" s="155" t="s">
        <v>383</v>
      </c>
      <c r="AJ43" s="37">
        <f>IFERROR(PA_8[[#This Row],[Breakdown Time]]*PA_8[[#This Row],[Plant Equivalent Weightage]],"")</f>
        <v>9.3108458861238308E-2</v>
      </c>
      <c r="AK43" s="273">
        <v>0.2233</v>
      </c>
      <c r="AL43" s="157">
        <f>U43*PA_8[[#This Row],[Lost PoA(Wh/m2)]]*81.6%</f>
        <v>1221.0662808959999</v>
      </c>
      <c r="AM43" s="157"/>
    </row>
    <row r="44" spans="1:39">
      <c r="A44" s="153">
        <v>41</v>
      </c>
      <c r="B44" s="154">
        <v>45801</v>
      </c>
      <c r="C44" s="187">
        <f>YEAR(PA_8[[#This Row],[Date]])+IF(MONTH(PA_8[[#This Row],[Date]])&gt;=4,1,0)</f>
        <v>2026</v>
      </c>
      <c r="D44" s="34">
        <f>YEAR(PA_8[[#This Row],[Date]])</f>
        <v>2025</v>
      </c>
      <c r="E44" s="155" t="s">
        <v>339</v>
      </c>
      <c r="F44" s="155" t="s">
        <v>339</v>
      </c>
      <c r="G44" s="175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55" t="s">
        <v>439</v>
      </c>
      <c r="M44" s="35"/>
      <c r="N44" s="35"/>
      <c r="O44" s="38"/>
      <c r="P44" s="38"/>
      <c r="Q44" s="35" t="s">
        <v>369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8906.48</v>
      </c>
      <c r="V44" s="298">
        <f>IFERROR(_xlfn.XLOOKUP(PA_8[[#This Row],[Affected Equipment ]],'Basic Data'!$P:$P,'Basic Data'!$T:$T),"")</f>
        <v>7.351310304981222E-2</v>
      </c>
      <c r="W44" s="320" t="s">
        <v>407</v>
      </c>
      <c r="X44" s="156" t="s">
        <v>1094</v>
      </c>
      <c r="Y44" s="156" t="s">
        <v>1095</v>
      </c>
      <c r="Z44" s="271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1096</v>
      </c>
      <c r="AI44" s="155" t="s">
        <v>383</v>
      </c>
      <c r="AJ44" s="37">
        <f>IFERROR(PA_8[[#This Row],[Breakdown Time]]*PA_8[[#This Row],[Plant Equivalent Weightage]],"")</f>
        <v>0.12374705680051719</v>
      </c>
      <c r="AK44" s="273">
        <v>0.2233</v>
      </c>
      <c r="AL44" s="157">
        <f>U44*PA_8[[#This Row],[Lost PoA(Wh/m2)]]*81.6%</f>
        <v>1622.8746589439997</v>
      </c>
      <c r="AM44" s="157"/>
    </row>
    <row r="45" spans="1:39">
      <c r="A45" s="153">
        <v>42</v>
      </c>
      <c r="B45" s="154">
        <v>45802</v>
      </c>
      <c r="C45" s="187">
        <f>YEAR(PA_8[[#This Row],[Date]])+IF(MONTH(PA_8[[#This Row],[Date]])&gt;=4,1,0)</f>
        <v>2026</v>
      </c>
      <c r="D45" s="34">
        <f>YEAR(PA_8[[#This Row],[Date]])</f>
        <v>2025</v>
      </c>
      <c r="E45" s="155" t="s">
        <v>339</v>
      </c>
      <c r="F45" s="155" t="s">
        <v>339</v>
      </c>
      <c r="G45" s="175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55" t="s">
        <v>424</v>
      </c>
      <c r="M45" s="35" t="s">
        <v>385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3030.5</v>
      </c>
      <c r="V45" s="298">
        <f>IFERROR(_xlfn.XLOOKUP(PA_8[[#This Row],[Affected Equipment ]],'Basic Data'!$P:$P,'Basic Data'!$T:$T),"")</f>
        <v>2.501341257067393E-2</v>
      </c>
      <c r="W45" s="320" t="s">
        <v>344</v>
      </c>
      <c r="X45" s="272" t="s">
        <v>1123</v>
      </c>
      <c r="Y45" s="272" t="s">
        <v>1123</v>
      </c>
      <c r="Z45" s="271">
        <v>0.2722222222222222</v>
      </c>
      <c r="AA45" s="39"/>
      <c r="AB45" s="40">
        <v>0.77222222222222225</v>
      </c>
      <c r="AC45" s="271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1124</v>
      </c>
      <c r="AI45" s="155" t="s">
        <v>375</v>
      </c>
      <c r="AJ45" s="37">
        <f>IFERROR(PA_8[[#This Row],[Breakdown Time]]*PA_8[[#This Row],[Plant Equivalent Weightage]],"")</f>
        <v>-0.16342096212840301</v>
      </c>
      <c r="AK45" s="273">
        <v>1.9297837499999995</v>
      </c>
      <c r="AL45" s="157">
        <f>U45*PA_8[[#This Row],[Lost PoA(Wh/m2)]]*81.6%</f>
        <v>4772.1390779699987</v>
      </c>
      <c r="AM45" s="157"/>
    </row>
    <row r="46" spans="1:39">
      <c r="A46" s="153"/>
      <c r="B46" s="154">
        <v>45802</v>
      </c>
      <c r="C46" s="187">
        <f>YEAR(PA_8[[#This Row],[Date]])+IF(MONTH(PA_8[[#This Row],[Date]])&gt;=4,1,0)</f>
        <v>2026</v>
      </c>
      <c r="D46" s="34">
        <f>YEAR(PA_8[[#This Row],[Date]])</f>
        <v>2025</v>
      </c>
      <c r="E46" s="155" t="s">
        <v>339</v>
      </c>
      <c r="F46" s="155" t="s">
        <v>339</v>
      </c>
      <c r="G46" s="175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55" t="s">
        <v>424</v>
      </c>
      <c r="M46" s="35" t="s">
        <v>392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2360.6</v>
      </c>
      <c r="V46" s="299">
        <f>IFERROR(_xlfn.XLOOKUP(PA_8[[#This Row],[Affected Equipment ]],'Basic Data'!$P:$P,'Basic Data'!$T:$T),"")</f>
        <v>1.9484131897156535E-2</v>
      </c>
      <c r="W46" s="320" t="s">
        <v>344</v>
      </c>
      <c r="X46" s="272" t="s">
        <v>1123</v>
      </c>
      <c r="Y46" s="272" t="s">
        <v>1123</v>
      </c>
      <c r="Z46" s="271">
        <v>0.2722222222222222</v>
      </c>
      <c r="AA46" s="39"/>
      <c r="AB46" s="40">
        <v>0.77222222222222225</v>
      </c>
      <c r="AC46" s="271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1124</v>
      </c>
      <c r="AI46" s="155" t="s">
        <v>375</v>
      </c>
      <c r="AJ46" s="37">
        <f>IFERROR(PA_8[[#This Row],[Breakdown Time]]*PA_8[[#This Row],[Plant Equivalent Weightage]],"")</f>
        <v>-0.12729632839475602</v>
      </c>
      <c r="AK46" s="273">
        <v>1.9297837499999995</v>
      </c>
      <c r="AL46" s="157">
        <f>U46*PA_8[[#This Row],[Lost PoA(Wh/m2)]]*81.6%</f>
        <v>3717.2451765239989</v>
      </c>
      <c r="AM46" s="157"/>
    </row>
    <row r="47" spans="1:39">
      <c r="A47" s="153">
        <v>43</v>
      </c>
      <c r="B47" s="154">
        <v>45802</v>
      </c>
      <c r="C47" s="187">
        <f>YEAR(PA_8[[#This Row],[Date]])+IF(MONTH(PA_8[[#This Row],[Date]])&gt;=4,1,0)</f>
        <v>2026</v>
      </c>
      <c r="D47" s="34">
        <f>YEAR(PA_8[[#This Row],[Date]])</f>
        <v>2025</v>
      </c>
      <c r="E47" s="155" t="s">
        <v>339</v>
      </c>
      <c r="F47" s="155" t="s">
        <v>339</v>
      </c>
      <c r="G47" s="175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55" t="s">
        <v>429</v>
      </c>
      <c r="M47" s="35" t="s">
        <v>365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733.69999999999993</v>
      </c>
      <c r="V47" s="298">
        <f>IFERROR(_xlfn.XLOOKUP(PA_8[[#This Row],[Affected Equipment ]],'Basic Data'!$P:$P,'Basic Data'!$T:$T),"")</f>
        <v>6.055878832900004E-3</v>
      </c>
      <c r="W47" s="320" t="s">
        <v>344</v>
      </c>
      <c r="X47" s="272" t="s">
        <v>1108</v>
      </c>
      <c r="Y47" s="321" t="s">
        <v>1103</v>
      </c>
      <c r="Z47" s="271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321" t="s">
        <v>1109</v>
      </c>
      <c r="AI47" s="155" t="s">
        <v>383</v>
      </c>
      <c r="AJ47" s="37">
        <f>IFERROR(PA_8[[#This Row],[Breakdown Time]]*PA_8[[#This Row],[Plant Equivalent Weightage]],"")</f>
        <v>2.4223515331600009E-2</v>
      </c>
      <c r="AK47" s="273">
        <v>0.74939999999999996</v>
      </c>
      <c r="AL47" s="157">
        <f>U47*PA_8[[#This Row],[Lost PoA(Wh/m2)]]*81.6%</f>
        <v>448.66518047999989</v>
      </c>
      <c r="AM47" s="157"/>
    </row>
    <row r="48" spans="1:39">
      <c r="A48" s="153">
        <v>44</v>
      </c>
      <c r="B48" s="154">
        <v>45803</v>
      </c>
      <c r="C48" s="187">
        <f>YEAR(PA_8[[#This Row],[Date]])+IF(MONTH(PA_8[[#This Row],[Date]])&gt;=4,1,0)</f>
        <v>2026</v>
      </c>
      <c r="D48" s="34">
        <f>YEAR(PA_8[[#This Row],[Date]])</f>
        <v>2025</v>
      </c>
      <c r="E48" s="155" t="s">
        <v>339</v>
      </c>
      <c r="F48" s="155" t="s">
        <v>339</v>
      </c>
      <c r="G48" s="175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55" t="s">
        <v>424</v>
      </c>
      <c r="M48" s="35" t="s">
        <v>385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3030.5</v>
      </c>
      <c r="V48" s="298">
        <f>IFERROR(_xlfn.XLOOKUP(PA_8[[#This Row],[Affected Equipment ]],'Basic Data'!$P:$P,'Basic Data'!$T:$T),"")</f>
        <v>2.501341257067393E-2</v>
      </c>
      <c r="W48" s="320" t="s">
        <v>344</v>
      </c>
      <c r="X48" s="272" t="s">
        <v>1123</v>
      </c>
      <c r="Y48" s="272" t="s">
        <v>1123</v>
      </c>
      <c r="Z48" s="271">
        <v>0.2722222222222222</v>
      </c>
      <c r="AA48" s="39"/>
      <c r="AB48" s="40">
        <v>0.77222222222222225</v>
      </c>
      <c r="AC48" s="271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1124</v>
      </c>
      <c r="AI48" s="155" t="s">
        <v>383</v>
      </c>
      <c r="AJ48" s="37">
        <f>IFERROR(PA_8[[#This Row],[Breakdown Time]]*PA_8[[#This Row],[Plant Equivalent Weightage]],"")</f>
        <v>-0.16342096212840301</v>
      </c>
      <c r="AK48" s="273">
        <v>6.7432472583333318</v>
      </c>
      <c r="AL48" s="157">
        <f>U48*PA_8[[#This Row],[Lost PoA(Wh/m2)]]*81.6%</f>
        <v>16675.295226165395</v>
      </c>
      <c r="AM48" s="157"/>
    </row>
    <row r="49" spans="1:39">
      <c r="A49" s="153"/>
      <c r="B49" s="154">
        <v>45803</v>
      </c>
      <c r="C49" s="187">
        <f>YEAR(PA_8[[#This Row],[Date]])+IF(MONTH(PA_8[[#This Row],[Date]])&gt;=4,1,0)</f>
        <v>2026</v>
      </c>
      <c r="D49" s="34">
        <f>YEAR(PA_8[[#This Row],[Date]])</f>
        <v>2025</v>
      </c>
      <c r="E49" s="155" t="s">
        <v>339</v>
      </c>
      <c r="F49" s="155" t="s">
        <v>339</v>
      </c>
      <c r="G49" s="175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55" t="s">
        <v>424</v>
      </c>
      <c r="M49" s="35" t="s">
        <v>392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2360.6</v>
      </c>
      <c r="V49" s="299">
        <f>IFERROR(_xlfn.XLOOKUP(PA_8[[#This Row],[Affected Equipment ]],'Basic Data'!$P:$P,'Basic Data'!$T:$T),"")</f>
        <v>1.9484131897156535E-2</v>
      </c>
      <c r="W49" s="320" t="s">
        <v>344</v>
      </c>
      <c r="X49" s="272" t="s">
        <v>1123</v>
      </c>
      <c r="Y49" s="272" t="s">
        <v>1123</v>
      </c>
      <c r="Z49" s="271">
        <v>0.2722222222222222</v>
      </c>
      <c r="AA49" s="39"/>
      <c r="AB49" s="40">
        <v>0.77222222222222225</v>
      </c>
      <c r="AC49" s="271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1124</v>
      </c>
      <c r="AI49" s="155" t="s">
        <v>375</v>
      </c>
      <c r="AJ49" s="37">
        <f>IFERROR(PA_8[[#This Row],[Breakdown Time]]*PA_8[[#This Row],[Plant Equivalent Weightage]],"")</f>
        <v>-0.12729632839475602</v>
      </c>
      <c r="AK49" s="273">
        <v>6.7432472583333318</v>
      </c>
      <c r="AL49" s="157">
        <f>U49*PA_8[[#This Row],[Lost PoA(Wh/m2)]]*81.6%</f>
        <v>12989.177334065676</v>
      </c>
      <c r="AM49" s="157"/>
    </row>
    <row r="50" spans="1:39">
      <c r="A50" s="153">
        <v>45</v>
      </c>
      <c r="B50" s="154">
        <v>45804</v>
      </c>
      <c r="C50" s="187">
        <f>YEAR(PA_8[[#This Row],[Date]])+IF(MONTH(PA_8[[#This Row],[Date]])&gt;=4,1,0)</f>
        <v>2026</v>
      </c>
      <c r="D50" s="34">
        <f>YEAR(PA_8[[#This Row],[Date]])</f>
        <v>2025</v>
      </c>
      <c r="E50" s="155" t="s">
        <v>339</v>
      </c>
      <c r="F50" s="155" t="s">
        <v>339</v>
      </c>
      <c r="G50" s="175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55" t="s">
        <v>413</v>
      </c>
      <c r="M50" s="35" t="s">
        <v>365</v>
      </c>
      <c r="N50" s="35" t="s">
        <v>393</v>
      </c>
      <c r="O50" s="38" t="s">
        <v>387</v>
      </c>
      <c r="P50" s="38" t="s">
        <v>395</v>
      </c>
      <c r="Q50" s="35" t="s">
        <v>406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298">
        <f>IFERROR(_xlfn.XLOOKUP(PA_8[[#This Row],[Affected Equipment ]],'Basic Data'!$P:$P,'Basic Data'!$T:$T),"")</f>
        <v>2.5851182369691716E-4</v>
      </c>
      <c r="W50" s="320" t="s">
        <v>1126</v>
      </c>
      <c r="X50" s="272" t="s">
        <v>1130</v>
      </c>
      <c r="Y50" s="272" t="s">
        <v>1131</v>
      </c>
      <c r="Z50" s="271">
        <v>0.31388888888888899</v>
      </c>
      <c r="AA50" s="39"/>
      <c r="AB50" s="40">
        <v>0.52083333333333337</v>
      </c>
      <c r="AC50" s="271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1132</v>
      </c>
      <c r="AI50" s="155" t="s">
        <v>383</v>
      </c>
      <c r="AJ50" s="37">
        <f>IFERROR(PA_8[[#This Row],[Breakdown Time]]*PA_8[[#This Row],[Plant Equivalent Weightage]],"")</f>
        <v>2.5765011761792736E-3</v>
      </c>
      <c r="AK50" s="273">
        <v>5.55</v>
      </c>
      <c r="AL50" s="157">
        <f>U50*PA_8[[#This Row],[Lost PoA(Wh/m2)]]*81.6%</f>
        <v>141.84201599999997</v>
      </c>
      <c r="AM50" s="157"/>
    </row>
    <row r="51" spans="1:39">
      <c r="A51" s="153">
        <v>46</v>
      </c>
      <c r="B51" s="154">
        <v>45804</v>
      </c>
      <c r="C51" s="187">
        <f>YEAR(PA_8[[#This Row],[Date]])+IF(MONTH(PA_8[[#This Row],[Date]])&gt;=4,1,0)</f>
        <v>2026</v>
      </c>
      <c r="D51" s="34">
        <f>YEAR(PA_8[[#This Row],[Date]])</f>
        <v>2025</v>
      </c>
      <c r="E51" s="155" t="s">
        <v>339</v>
      </c>
      <c r="F51" s="155" t="s">
        <v>339</v>
      </c>
      <c r="G51" s="175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55" t="s">
        <v>424</v>
      </c>
      <c r="M51" s="35" t="s">
        <v>385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3030.5</v>
      </c>
      <c r="V51" s="298">
        <f>IFERROR(_xlfn.XLOOKUP(PA_8[[#This Row],[Affected Equipment ]],'Basic Data'!$P:$P,'Basic Data'!$T:$T),"")</f>
        <v>2.501341257067393E-2</v>
      </c>
      <c r="W51" s="320" t="s">
        <v>344</v>
      </c>
      <c r="X51" s="272" t="s">
        <v>1123</v>
      </c>
      <c r="Y51" s="272" t="s">
        <v>1123</v>
      </c>
      <c r="Z51" s="271">
        <v>0.2722222222222222</v>
      </c>
      <c r="AA51" s="39"/>
      <c r="AB51" s="40">
        <v>0.77222222222222225</v>
      </c>
      <c r="AC51" s="271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1124</v>
      </c>
      <c r="AI51" s="155" t="s">
        <v>375</v>
      </c>
      <c r="AJ51" s="37">
        <f>IFERROR(PA_8[[#This Row],[Breakdown Time]]*PA_8[[#This Row],[Plant Equivalent Weightage]],"")</f>
        <v>-0.16342096212840301</v>
      </c>
      <c r="AK51" s="273">
        <v>5.5893830666666684</v>
      </c>
      <c r="AL51" s="157">
        <f>U51*PA_8[[#This Row],[Lost PoA(Wh/m2)]]*81.6%</f>
        <v>13821.918312963202</v>
      </c>
      <c r="AM51" s="157"/>
    </row>
    <row r="52" spans="1:39">
      <c r="A52" s="153"/>
      <c r="B52" s="154"/>
      <c r="C52" s="187">
        <f>YEAR(PA_8[[#This Row],[Date]])+IF(MONTH(PA_8[[#This Row],[Date]])&gt;=4,1,0)</f>
        <v>1900</v>
      </c>
      <c r="D52" s="34">
        <f>YEAR(PA_8[[#This Row],[Date]])</f>
        <v>1900</v>
      </c>
      <c r="E52" s="155"/>
      <c r="F52" s="155"/>
      <c r="G52" s="175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55" t="s">
        <v>424</v>
      </c>
      <c r="M52" s="35" t="s">
        <v>392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2360.6</v>
      </c>
      <c r="V52" s="299">
        <f>IFERROR(_xlfn.XLOOKUP(PA_8[[#This Row],[Affected Equipment ]],'Basic Data'!$P:$P,'Basic Data'!$T:$T),"")</f>
        <v>1.9484131897156535E-2</v>
      </c>
      <c r="W52" s="320" t="s">
        <v>344</v>
      </c>
      <c r="X52" s="272" t="s">
        <v>1123</v>
      </c>
      <c r="Y52" s="272" t="s">
        <v>1123</v>
      </c>
      <c r="Z52" s="271">
        <v>0.2722222222222222</v>
      </c>
      <c r="AA52" s="39"/>
      <c r="AB52" s="40">
        <v>0.77222222222222225</v>
      </c>
      <c r="AC52" s="271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1124</v>
      </c>
      <c r="AI52" s="155" t="s">
        <v>375</v>
      </c>
      <c r="AJ52" s="37">
        <f>IFERROR(PA_8[[#This Row],[Breakdown Time]]*PA_8[[#This Row],[Plant Equivalent Weightage]],"")</f>
        <v>-0.12729632839475602</v>
      </c>
      <c r="AK52" s="273">
        <v>5.5893830666666684</v>
      </c>
      <c r="AL52" s="157">
        <f>U52*PA_8[[#This Row],[Lost PoA(Wh/m2)]]*81.6%</f>
        <v>10766.546896413443</v>
      </c>
      <c r="AM52" s="157"/>
    </row>
    <row r="53" spans="1:39">
      <c r="A53" s="153">
        <v>47</v>
      </c>
      <c r="B53" s="154">
        <v>45805</v>
      </c>
      <c r="C53" s="187">
        <f>YEAR(PA_8[[#This Row],[Date]])+IF(MONTH(PA_8[[#This Row],[Date]])&gt;=4,1,0)</f>
        <v>2026</v>
      </c>
      <c r="D53" s="34">
        <f>YEAR(PA_8[[#This Row],[Date]])</f>
        <v>2025</v>
      </c>
      <c r="E53" s="155" t="s">
        <v>339</v>
      </c>
      <c r="F53" s="155" t="s">
        <v>339</v>
      </c>
      <c r="G53" s="175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55" t="s">
        <v>424</v>
      </c>
      <c r="M53" s="35" t="s">
        <v>385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3030.5</v>
      </c>
      <c r="V53" s="298">
        <f>IFERROR(_xlfn.XLOOKUP(PA_8[[#This Row],[Affected Equipment ]],'Basic Data'!$P:$P,'Basic Data'!$T:$T),"")</f>
        <v>2.501341257067393E-2</v>
      </c>
      <c r="W53" s="320" t="s">
        <v>344</v>
      </c>
      <c r="X53" s="272" t="s">
        <v>1123</v>
      </c>
      <c r="Y53" s="272" t="s">
        <v>1123</v>
      </c>
      <c r="Z53" s="271">
        <v>0.2722222222222222</v>
      </c>
      <c r="AA53" s="39"/>
      <c r="AB53" s="40">
        <v>0.77222222222222225</v>
      </c>
      <c r="AC53" s="271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1124</v>
      </c>
      <c r="AI53" s="155" t="s">
        <v>375</v>
      </c>
      <c r="AJ53" s="37">
        <f>IFERROR(PA_8[[#This Row],[Breakdown Time]]*PA_8[[#This Row],[Plant Equivalent Weightage]],"")</f>
        <v>-0.16342096212840301</v>
      </c>
      <c r="AK53" s="273">
        <v>2.6786335083333332</v>
      </c>
      <c r="AL53" s="157">
        <f>U53*PA_8[[#This Row],[Lost PoA(Wh/m2)]]*81.6%</f>
        <v>6623.9606591553993</v>
      </c>
      <c r="AM53" s="157"/>
    </row>
    <row r="54" spans="1:39">
      <c r="A54" s="153"/>
      <c r="B54" s="154"/>
      <c r="C54" s="187">
        <f>YEAR(PA_8[[#This Row],[Date]])+IF(MONTH(PA_8[[#This Row],[Date]])&gt;=4,1,0)</f>
        <v>1900</v>
      </c>
      <c r="D54" s="34">
        <f>YEAR(PA_8[[#This Row],[Date]])</f>
        <v>1900</v>
      </c>
      <c r="E54" s="155"/>
      <c r="F54" s="155"/>
      <c r="G54" s="175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55" t="s">
        <v>424</v>
      </c>
      <c r="M54" s="35" t="s">
        <v>392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2360.6</v>
      </c>
      <c r="V54" s="299">
        <f>IFERROR(_xlfn.XLOOKUP(PA_8[[#This Row],[Affected Equipment ]],'Basic Data'!$P:$P,'Basic Data'!$T:$T),"")</f>
        <v>1.9484131897156535E-2</v>
      </c>
      <c r="W54" s="320" t="s">
        <v>344</v>
      </c>
      <c r="X54" s="272" t="s">
        <v>1123</v>
      </c>
      <c r="Y54" s="272" t="s">
        <v>1123</v>
      </c>
      <c r="Z54" s="271">
        <v>0.2722222222222222</v>
      </c>
      <c r="AA54" s="39"/>
      <c r="AB54" s="40">
        <v>0.77222222222222225</v>
      </c>
      <c r="AC54" s="271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1124</v>
      </c>
      <c r="AI54" s="155" t="s">
        <v>375</v>
      </c>
      <c r="AJ54" s="37">
        <f>IFERROR(PA_8[[#This Row],[Breakdown Time]]*PA_8[[#This Row],[Plant Equivalent Weightage]],"")</f>
        <v>-0.12729632839475602</v>
      </c>
      <c r="AK54" s="273">
        <v>2.6786335083333332</v>
      </c>
      <c r="AL54" s="157">
        <f>U54*PA_8[[#This Row],[Lost PoA(Wh/m2)]]*81.6%</f>
        <v>5159.7167239736791</v>
      </c>
      <c r="AM54" s="157"/>
    </row>
    <row r="55" spans="1:39">
      <c r="A55" s="153">
        <v>48</v>
      </c>
      <c r="B55" s="154">
        <v>45806</v>
      </c>
      <c r="C55" s="187">
        <f>YEAR(PA_8[[#This Row],[Date]])+IF(MONTH(PA_8[[#This Row],[Date]])&gt;=4,1,0)</f>
        <v>2026</v>
      </c>
      <c r="D55" s="34">
        <f>YEAR(PA_8[[#This Row],[Date]])</f>
        <v>2025</v>
      </c>
      <c r="E55" s="155" t="s">
        <v>339</v>
      </c>
      <c r="F55" s="155" t="s">
        <v>339</v>
      </c>
      <c r="G55" s="175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55" t="s">
        <v>424</v>
      </c>
      <c r="M55" s="35" t="s">
        <v>385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3030.5</v>
      </c>
      <c r="V55" s="298">
        <f>IFERROR(_xlfn.XLOOKUP(PA_8[[#This Row],[Affected Equipment ]],'Basic Data'!$P:$P,'Basic Data'!$T:$T),"")</f>
        <v>2.501341257067393E-2</v>
      </c>
      <c r="W55" s="320" t="s">
        <v>344</v>
      </c>
      <c r="X55" s="272" t="s">
        <v>1123</v>
      </c>
      <c r="Y55" s="272" t="s">
        <v>1123</v>
      </c>
      <c r="Z55" s="271">
        <v>0.2722222222222222</v>
      </c>
      <c r="AA55" s="39"/>
      <c r="AB55" s="40">
        <v>0.77222222222222225</v>
      </c>
      <c r="AC55" s="271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1124</v>
      </c>
      <c r="AI55" s="155" t="s">
        <v>375</v>
      </c>
      <c r="AJ55" s="37">
        <f>IFERROR(PA_8[[#This Row],[Breakdown Time]]*PA_8[[#This Row],[Plant Equivalent Weightage]],"")</f>
        <v>-0.16342096212840301</v>
      </c>
      <c r="AK55" s="273">
        <v>5.3923668666666593</v>
      </c>
      <c r="AL55" s="157">
        <f>U55*PA_8[[#This Row],[Lost PoA(Wh/m2)]]*81.6%</f>
        <v>13334.719316177581</v>
      </c>
      <c r="AM55" s="157"/>
    </row>
    <row r="56" spans="1:39">
      <c r="A56" s="153"/>
      <c r="B56" s="154"/>
      <c r="C56" s="187">
        <f>YEAR(PA_8[[#This Row],[Date]])+IF(MONTH(PA_8[[#This Row],[Date]])&gt;=4,1,0)</f>
        <v>1900</v>
      </c>
      <c r="D56" s="34">
        <f>YEAR(PA_8[[#This Row],[Date]])</f>
        <v>1900</v>
      </c>
      <c r="E56" s="155"/>
      <c r="F56" s="155"/>
      <c r="G56" s="175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55" t="s">
        <v>424</v>
      </c>
      <c r="M56" s="35" t="s">
        <v>392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2360.6</v>
      </c>
      <c r="V56" s="299">
        <f>IFERROR(_xlfn.XLOOKUP(PA_8[[#This Row],[Affected Equipment ]],'Basic Data'!$P:$P,'Basic Data'!$T:$T),"")</f>
        <v>1.9484131897156535E-2</v>
      </c>
      <c r="W56" s="320" t="s">
        <v>344</v>
      </c>
      <c r="X56" s="272" t="s">
        <v>1123</v>
      </c>
      <c r="Y56" s="272" t="s">
        <v>1123</v>
      </c>
      <c r="Z56" s="271">
        <v>0.2722222222222222</v>
      </c>
      <c r="AA56" s="39"/>
      <c r="AB56" s="40">
        <v>0.77222222222222225</v>
      </c>
      <c r="AC56" s="271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1124</v>
      </c>
      <c r="AI56" s="155" t="s">
        <v>375</v>
      </c>
      <c r="AJ56" s="37">
        <f>IFERROR(PA_8[[#This Row],[Breakdown Time]]*PA_8[[#This Row],[Plant Equivalent Weightage]],"")</f>
        <v>-0.12729632839475602</v>
      </c>
      <c r="AK56" s="273">
        <v>5.3923668666666593</v>
      </c>
      <c r="AL56" s="157">
        <f>U56*PA_8[[#This Row],[Lost PoA(Wh/m2)]]*81.6%</f>
        <v>10387.044519969904</v>
      </c>
      <c r="AM56" s="157"/>
    </row>
    <row r="57" spans="1:39">
      <c r="A57" s="153">
        <v>49</v>
      </c>
      <c r="B57" s="154">
        <v>45807</v>
      </c>
      <c r="C57" s="187">
        <f>YEAR(PA_8[[#This Row],[Date]])+IF(MONTH(PA_8[[#This Row],[Date]])&gt;=4,1,0)</f>
        <v>2026</v>
      </c>
      <c r="D57" s="34">
        <f>YEAR(PA_8[[#This Row],[Date]])</f>
        <v>2025</v>
      </c>
      <c r="E57" s="155" t="s">
        <v>339</v>
      </c>
      <c r="F57" s="155" t="s">
        <v>339</v>
      </c>
      <c r="G57" s="175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55" t="s">
        <v>424</v>
      </c>
      <c r="M57" s="35" t="s">
        <v>385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3030.5</v>
      </c>
      <c r="V57" s="298">
        <f>IFERROR(_xlfn.XLOOKUP(PA_8[[#This Row],[Affected Equipment ]],'Basic Data'!$P:$P,'Basic Data'!$T:$T),"")</f>
        <v>2.501341257067393E-2</v>
      </c>
      <c r="W57" s="320" t="s">
        <v>344</v>
      </c>
      <c r="X57" s="272" t="s">
        <v>1123</v>
      </c>
      <c r="Y57" s="272" t="s">
        <v>1123</v>
      </c>
      <c r="Z57" s="271">
        <v>0.2722222222222222</v>
      </c>
      <c r="AA57" s="39"/>
      <c r="AB57" s="40">
        <v>0.77222222222222225</v>
      </c>
      <c r="AC57" s="271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1124</v>
      </c>
      <c r="AI57" s="155" t="s">
        <v>375</v>
      </c>
      <c r="AJ57" s="37">
        <f>IFERROR(PA_8[[#This Row],[Breakdown Time]]*PA_8[[#This Row],[Plant Equivalent Weightage]],"")</f>
        <v>-0.16342096212840301</v>
      </c>
      <c r="AK57" s="273">
        <v>5.3922111416666638</v>
      </c>
      <c r="AL57" s="157">
        <f>U57*PA_8[[#This Row],[Lost PoA(Wh/m2)]]*81.6%</f>
        <v>13334.334225693792</v>
      </c>
      <c r="AM57" s="157"/>
    </row>
    <row r="58" spans="1:39">
      <c r="A58" s="153"/>
      <c r="B58" s="154"/>
      <c r="C58" s="187">
        <f>YEAR(PA_8[[#This Row],[Date]])+IF(MONTH(PA_8[[#This Row],[Date]])&gt;=4,1,0)</f>
        <v>1900</v>
      </c>
      <c r="D58" s="34">
        <f>YEAR(PA_8[[#This Row],[Date]])</f>
        <v>1900</v>
      </c>
      <c r="E58" s="155"/>
      <c r="F58" s="155"/>
      <c r="G58" s="175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55" t="s">
        <v>424</v>
      </c>
      <c r="M58" s="35" t="s">
        <v>392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2360.6</v>
      </c>
      <c r="V58" s="299">
        <f>IFERROR(_xlfn.XLOOKUP(PA_8[[#This Row],[Affected Equipment ]],'Basic Data'!$P:$P,'Basic Data'!$T:$T),"")</f>
        <v>1.9484131897156535E-2</v>
      </c>
      <c r="W58" s="320" t="s">
        <v>344</v>
      </c>
      <c r="X58" s="272" t="s">
        <v>1123</v>
      </c>
      <c r="Y58" s="272" t="s">
        <v>1123</v>
      </c>
      <c r="Z58" s="271">
        <v>0.2722222222222222</v>
      </c>
      <c r="AA58" s="39"/>
      <c r="AB58" s="40">
        <v>0.77222222222222225</v>
      </c>
      <c r="AC58" s="271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1124</v>
      </c>
      <c r="AI58" s="155" t="s">
        <v>375</v>
      </c>
      <c r="AJ58" s="37">
        <f>IFERROR(PA_8[[#This Row],[Breakdown Time]]*PA_8[[#This Row],[Plant Equivalent Weightage]],"")</f>
        <v>-0.12729632839475602</v>
      </c>
      <c r="AK58" s="273">
        <v>5.3923668666666593</v>
      </c>
      <c r="AL58" s="157">
        <f>U58*PA_8[[#This Row],[Lost PoA(Wh/m2)]]*81.6%</f>
        <v>10387.044519969904</v>
      </c>
      <c r="AM58" s="157"/>
    </row>
    <row r="59" spans="1:39">
      <c r="A59" s="153">
        <v>50</v>
      </c>
      <c r="B59" s="154">
        <v>45808</v>
      </c>
      <c r="C59" s="274">
        <f>YEAR(PA_8[[#This Row],[Date]])+IF(MONTH(PA_8[[#This Row],[Date]])&gt;=4,1,0)</f>
        <v>2026</v>
      </c>
      <c r="D59" s="275">
        <f>YEAR(PA_8[[#This Row],[Date]])</f>
        <v>2025</v>
      </c>
      <c r="E59" s="155" t="s">
        <v>339</v>
      </c>
      <c r="F59" s="155" t="s">
        <v>339</v>
      </c>
      <c r="G59" s="276">
        <f>PA_8[[#This Row],[Date]]-DAY(PA_8[[#This Row],[Date]])+1</f>
        <v>45778</v>
      </c>
      <c r="H59" s="275">
        <f>DAY(EOMONTH(PA_8[[#This Row],[Month Year]],0))</f>
        <v>31</v>
      </c>
      <c r="I59" s="277">
        <f>IFERROR(_xlfn.XLOOKUP(PA_8[[#This Row],[Date]],Input_Raw!$A:$A,Input_Raw!F:F),"")</f>
        <v>0.24930555555555556</v>
      </c>
      <c r="J59" s="277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55" t="s">
        <v>424</v>
      </c>
      <c r="M59" s="35" t="s">
        <v>385</v>
      </c>
      <c r="N59" s="278"/>
      <c r="O59" s="279"/>
      <c r="P59" s="279"/>
      <c r="Q59" s="35"/>
      <c r="R59" s="275">
        <f>IF((PA_8[[#This Row],[String Type(If String BD)]]&amp;PA_8[[#This Row],[Equipment (If any BD other than PV  array and inv)]])="",1,0)</f>
        <v>1</v>
      </c>
      <c r="S59" s="275">
        <f>IF(PA_8[[#This Row],[String Type(If String BD)]]="",1,0)</f>
        <v>1</v>
      </c>
      <c r="T59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3030.5</v>
      </c>
      <c r="V59" s="298">
        <f>IFERROR(_xlfn.XLOOKUP(PA_8[[#This Row],[Affected Equipment ]],'Basic Data'!$P:$P,'Basic Data'!$T:$T),"")</f>
        <v>2.501341257067393E-2</v>
      </c>
      <c r="W59" s="320" t="s">
        <v>344</v>
      </c>
      <c r="X59" s="272" t="s">
        <v>1123</v>
      </c>
      <c r="Y59" s="272" t="s">
        <v>1123</v>
      </c>
      <c r="Z59" s="271">
        <v>0.2722222222222222</v>
      </c>
      <c r="AA59" s="39"/>
      <c r="AB59" s="40">
        <v>0.77222222222222225</v>
      </c>
      <c r="AC59" s="280"/>
      <c r="AD59" s="281">
        <f>IF(PA_8[[#This Row],[Acknowledgement Time ]]="NA","",(PA_8[[#This Row],[Acknowledgement Time ]]-PA_8[[#This Row],[Fault Time]])*24)</f>
        <v>-6.5333333333333332</v>
      </c>
      <c r="AE59" s="281">
        <f>IF(PA_8[[#This Row],[Work Start time on Fault]]="NA","",(PA_8[[#This Row],[Work Start time on Fault]]-PA_8[[#This Row],[Fault Time]])*24)</f>
        <v>12</v>
      </c>
      <c r="AF59" s="282" t="str">
        <f>IF(PA_8[[#This Row],[Status]]="Open","",(PA_8[[#This Row],[Work Completion time on fault]]-PA_8[[#This Row],[Fault Time]])*24)</f>
        <v/>
      </c>
      <c r="AG59" s="281">
        <f>IFERROR((PA_8[[#This Row],[Work Completion time on fault]]-PA_8[[#This Row],[Fault Time]])*24,"")</f>
        <v>-6.5333333333333332</v>
      </c>
      <c r="AH59" s="38" t="s">
        <v>1124</v>
      </c>
      <c r="AI59" s="155" t="s">
        <v>375</v>
      </c>
      <c r="AJ59" s="283">
        <f>IFERROR(PA_8[[#This Row],[Breakdown Time]]*PA_8[[#This Row],[Plant Equivalent Weightage]],"")</f>
        <v>-0.16342096212840301</v>
      </c>
      <c r="AK59" s="284">
        <v>7.0123685166666618</v>
      </c>
      <c r="AL59" s="157">
        <f>U59*PA_8[[#This Row],[Lost PoA(Wh/m2)]]*81.6%</f>
        <v>17340.801956442789</v>
      </c>
      <c r="AM59" s="285"/>
    </row>
    <row r="60" spans="1:39">
      <c r="A60" s="153">
        <v>51</v>
      </c>
      <c r="B60" s="154">
        <v>45809</v>
      </c>
      <c r="C60" s="187">
        <f>YEAR(PA_8[[#This Row],[Date]])+IF(MONTH(PA_8[[#This Row],[Date]])&gt;=4,1,0)</f>
        <v>2026</v>
      </c>
      <c r="D60" s="34">
        <f>YEAR(PA_8[[#This Row],[Date]])</f>
        <v>2025</v>
      </c>
      <c r="E60" s="155" t="s">
        <v>339</v>
      </c>
      <c r="F60" s="155" t="s">
        <v>339</v>
      </c>
      <c r="G60" s="175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55"/>
      <c r="M60" s="35"/>
      <c r="N60" s="35"/>
      <c r="O60" s="38"/>
      <c r="P60" s="38"/>
      <c r="Q60" s="35" t="s">
        <v>416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298">
        <f>IFERROR(_xlfn.XLOOKUP(PA_8[[#This Row],[Affected Equipment ]],'Basic Data'!$P:$P,'Basic Data'!$T:$T),"")</f>
        <v>1.0078494490528662</v>
      </c>
      <c r="W60" s="320" t="s">
        <v>412</v>
      </c>
      <c r="X60" s="272" t="s">
        <v>1133</v>
      </c>
      <c r="Y60" s="272" t="s">
        <v>1134</v>
      </c>
      <c r="Z60" s="271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1135</v>
      </c>
      <c r="AI60" s="155" t="s">
        <v>383</v>
      </c>
      <c r="AJ60" s="37">
        <f>IFERROR(PA_8[[#This Row],[Breakdown Time]]*PA_8[[#This Row],[Plant Equivalent Weightage]],"")</f>
        <v>4.4177400850150637</v>
      </c>
      <c r="AK60" s="273">
        <v>3.5169000000000001</v>
      </c>
      <c r="AL60" s="157">
        <f>U60*PA_8[[#This Row],[Lost PoA(Wh/m2)]]*84.2%</f>
        <v>361583.92595880007</v>
      </c>
      <c r="AM60" s="157"/>
    </row>
    <row r="61" spans="1:39" ht="18.95" customHeight="1">
      <c r="A61" s="153">
        <v>52</v>
      </c>
      <c r="B61" s="154">
        <v>45811</v>
      </c>
      <c r="C61" s="187">
        <f>YEAR(PA_8[[#This Row],[Date]])+IF(MONTH(PA_8[[#This Row],[Date]])&gt;=4,1,0)</f>
        <v>2026</v>
      </c>
      <c r="D61" s="34">
        <f>YEAR(PA_8[[#This Row],[Date]])</f>
        <v>2025</v>
      </c>
      <c r="E61" s="155" t="s">
        <v>339</v>
      </c>
      <c r="F61" s="155" t="s">
        <v>339</v>
      </c>
      <c r="G61" s="175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55" t="s">
        <v>424</v>
      </c>
      <c r="M61" s="35" t="s">
        <v>385</v>
      </c>
      <c r="N61" s="35" t="s">
        <v>378</v>
      </c>
      <c r="O61" s="38" t="s">
        <v>394</v>
      </c>
      <c r="P61" s="35" t="s">
        <v>380</v>
      </c>
      <c r="Q61" s="35" t="s">
        <v>1136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298">
        <f>IFERROR(_xlfn.XLOOKUP(PA_8[[#This Row],[Affected Equipment ]],'Basic Data'!$P:$P,'Basic Data'!$T:$T),"")</f>
        <v>1.3045272584705542E-4</v>
      </c>
      <c r="W61" s="320" t="s">
        <v>1126</v>
      </c>
      <c r="X61" s="272" t="s">
        <v>1115</v>
      </c>
      <c r="Y61" s="272" t="s">
        <v>1137</v>
      </c>
      <c r="Z61" s="271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1138</v>
      </c>
      <c r="AI61" s="155" t="s">
        <v>383</v>
      </c>
      <c r="AJ61" s="37">
        <f>IFERROR(PA_8[[#This Row],[Breakdown Time]]*PA_8[[#This Row],[Plant Equivalent Weightage]],"")</f>
        <v>1.3480115004195726E-3</v>
      </c>
      <c r="AK61" s="273">
        <v>2.1</v>
      </c>
      <c r="AL61" s="157">
        <f>U61*PA_8[[#This Row],[Lost PoA(Wh/m2)]]*84.2%</f>
        <v>27.946401000000002</v>
      </c>
      <c r="AM61" s="157"/>
    </row>
    <row r="62" spans="1:39">
      <c r="A62" s="153">
        <v>53</v>
      </c>
      <c r="B62" s="154">
        <v>45812</v>
      </c>
      <c r="C62" s="187">
        <f>YEAR(PA_8[[#This Row],[Date]])+IF(MONTH(PA_8[[#This Row],[Date]])&gt;=4,1,0)</f>
        <v>2026</v>
      </c>
      <c r="D62" s="34">
        <f>YEAR(PA_8[[#This Row],[Date]])</f>
        <v>2025</v>
      </c>
      <c r="E62" s="155" t="s">
        <v>339</v>
      </c>
      <c r="F62" s="155" t="s">
        <v>339</v>
      </c>
      <c r="G62" s="175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55" t="s">
        <v>439</v>
      </c>
      <c r="M62" s="35" t="s">
        <v>377</v>
      </c>
      <c r="N62" s="35" t="s">
        <v>393</v>
      </c>
      <c r="O62" s="38" t="s">
        <v>387</v>
      </c>
      <c r="P62" s="35" t="s">
        <v>380</v>
      </c>
      <c r="Q62" s="35" t="s">
        <v>1136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298">
        <f>IFERROR(_xlfn.XLOOKUP(PA_8[[#This Row],[Affected Equipment ]],'Basic Data'!$P:$P,'Basic Data'!$T:$T),"")</f>
        <v>1.3045272584705542E-4</v>
      </c>
      <c r="W62" s="320" t="s">
        <v>1126</v>
      </c>
      <c r="X62" s="272" t="s">
        <v>1139</v>
      </c>
      <c r="Y62" s="272" t="s">
        <v>1139</v>
      </c>
      <c r="Z62" s="271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1140</v>
      </c>
      <c r="AI62" s="155" t="s">
        <v>383</v>
      </c>
      <c r="AJ62" s="37">
        <f>IFERROR(PA_8[[#This Row],[Breakdown Time]]*PA_8[[#This Row],[Plant Equivalent Weightage]],"")</f>
        <v>1.1740745326234991E-3</v>
      </c>
      <c r="AK62" s="273">
        <v>0.92</v>
      </c>
      <c r="AL62" s="157">
        <f>U62*PA_8[[#This Row],[Lost PoA(Wh/m2)]]*84.2%</f>
        <v>12.243185200000001</v>
      </c>
      <c r="AM62" s="157"/>
    </row>
    <row r="63" spans="1:39">
      <c r="A63" s="153">
        <v>54</v>
      </c>
      <c r="B63" s="154">
        <v>45812</v>
      </c>
      <c r="C63" s="187">
        <f>YEAR(PA_8[[#This Row],[Date]])+IF(MONTH(PA_8[[#This Row],[Date]])&gt;=4,1,0)</f>
        <v>2026</v>
      </c>
      <c r="D63" s="34">
        <f>YEAR(PA_8[[#This Row],[Date]])</f>
        <v>2025</v>
      </c>
      <c r="E63" s="155" t="s">
        <v>339</v>
      </c>
      <c r="F63" s="155" t="s">
        <v>339</v>
      </c>
      <c r="G63" s="175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55" t="s">
        <v>433</v>
      </c>
      <c r="M63" s="35" t="s">
        <v>365</v>
      </c>
      <c r="N63" s="35" t="s">
        <v>378</v>
      </c>
      <c r="O63" s="38" t="s">
        <v>394</v>
      </c>
      <c r="P63" s="35" t="s">
        <v>388</v>
      </c>
      <c r="Q63" s="35" t="s">
        <v>1136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298">
        <f>IFERROR(_xlfn.XLOOKUP(PA_8[[#This Row],[Affected Equipment ]],'Basic Data'!$P:$P,'Basic Data'!$T:$T),"")</f>
        <v>1.3164953984565227E-4</v>
      </c>
      <c r="W63" s="320" t="s">
        <v>1126</v>
      </c>
      <c r="X63" s="272"/>
      <c r="Y63" s="272" t="s">
        <v>1141</v>
      </c>
      <c r="Z63" s="271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1142</v>
      </c>
      <c r="AI63" s="155" t="s">
        <v>383</v>
      </c>
      <c r="AJ63" s="37">
        <f>IFERROR(PA_8[[#This Row],[Breakdown Time]]*PA_8[[#This Row],[Plant Equivalent Weightage]],"")</f>
        <v>5.7048133933115992E-4</v>
      </c>
      <c r="AK63" s="273">
        <v>0.85</v>
      </c>
      <c r="AL63" s="157">
        <f>U63*PA_8[[#This Row],[Lost PoA(Wh/m2)]]*84.2%</f>
        <v>11.415415000000001</v>
      </c>
      <c r="AM63" s="157"/>
    </row>
    <row r="64" spans="1:39">
      <c r="A64" s="153">
        <v>55</v>
      </c>
      <c r="B64" s="154">
        <v>45818</v>
      </c>
      <c r="C64" s="187">
        <f>YEAR(PA_8[[#This Row],[Date]])+IF(MONTH(PA_8[[#This Row],[Date]])&gt;=4,1,0)</f>
        <v>2026</v>
      </c>
      <c r="D64" s="34">
        <f>YEAR(PA_8[[#This Row],[Date]])</f>
        <v>2025</v>
      </c>
      <c r="E64" s="155" t="s">
        <v>339</v>
      </c>
      <c r="F64" s="155" t="s">
        <v>339</v>
      </c>
      <c r="G64" s="175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55" t="s">
        <v>436</v>
      </c>
      <c r="M64" s="35"/>
      <c r="N64" s="35"/>
      <c r="O64" s="38"/>
      <c r="P64" s="38"/>
      <c r="Q64" s="35" t="s">
        <v>369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6701.32</v>
      </c>
      <c r="V64" s="298">
        <f>IFERROR(_xlfn.XLOOKUP(PA_8[[#This Row],[Affected Equipment ]],'Basic Data'!$P:$P,'Basic Data'!$T:$T),"")</f>
        <v>5.5311955759151495E-2</v>
      </c>
      <c r="W64" s="320" t="s">
        <v>407</v>
      </c>
      <c r="X64" s="156" t="s">
        <v>1143</v>
      </c>
      <c r="Y64" s="156" t="s">
        <v>1144</v>
      </c>
      <c r="Z64" s="271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1145</v>
      </c>
      <c r="AI64" s="155" t="s">
        <v>383</v>
      </c>
      <c r="AJ64" s="37">
        <f>IFERROR(PA_8[[#This Row],[Breakdown Time]]*PA_8[[#This Row],[Plant Equivalent Weightage]],"")</f>
        <v>0.13090496196332527</v>
      </c>
      <c r="AK64" s="273">
        <v>0.21099999999999999</v>
      </c>
      <c r="AL64" s="157">
        <f>U64*PA_8[[#This Row],[Lost PoA(Wh/m2)]]*84.2%</f>
        <v>1190.56991384</v>
      </c>
      <c r="AM64" s="157"/>
    </row>
    <row r="65" spans="1:39">
      <c r="A65" s="153">
        <v>56</v>
      </c>
      <c r="B65" s="154">
        <v>45820</v>
      </c>
      <c r="C65" s="187">
        <f>YEAR(PA_8[[#This Row],[Date]])+IF(MONTH(PA_8[[#This Row],[Date]])&gt;=4,1,0)</f>
        <v>2026</v>
      </c>
      <c r="D65" s="34">
        <f>YEAR(PA_8[[#This Row],[Date]])</f>
        <v>2025</v>
      </c>
      <c r="E65" s="155" t="s">
        <v>339</v>
      </c>
      <c r="F65" s="155" t="s">
        <v>339</v>
      </c>
      <c r="G65" s="175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55"/>
      <c r="M65" s="35"/>
      <c r="N65" s="35"/>
      <c r="O65" s="38"/>
      <c r="P65" s="38"/>
      <c r="Q65" s="35" t="s">
        <v>416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298">
        <f>IFERROR(_xlfn.XLOOKUP(PA_8[[#This Row],[Affected Equipment ]],'Basic Data'!$P:$P,'Basic Data'!$T:$T),"")</f>
        <v>1.0078494490528662</v>
      </c>
      <c r="W65" s="320" t="s">
        <v>412</v>
      </c>
      <c r="X65" s="156" t="s">
        <v>1146</v>
      </c>
      <c r="Y65" s="156" t="s">
        <v>1147</v>
      </c>
      <c r="Z65" s="271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1148</v>
      </c>
      <c r="AI65" s="155" t="s">
        <v>383</v>
      </c>
      <c r="AJ65" s="37">
        <f>IFERROR(PA_8[[#This Row],[Breakdown Time]]*PA_8[[#This Row],[Plant Equivalent Weightage]],"")</f>
        <v>0.52072221534398166</v>
      </c>
      <c r="AK65" s="273">
        <v>6.4000000000000001E-2</v>
      </c>
      <c r="AL65" s="157">
        <f>U65*PA_8[[#This Row],[Lost PoA(Wh/m2)]]*84.2%</f>
        <v>6580.0481280000013</v>
      </c>
      <c r="AM65" s="157"/>
    </row>
    <row r="66" spans="1:39">
      <c r="A66" s="153">
        <v>57</v>
      </c>
      <c r="B66" s="154">
        <v>45821</v>
      </c>
      <c r="C66" s="187">
        <f>YEAR(PA_8[[#This Row],[Date]])+IF(MONTH(PA_8[[#This Row],[Date]])&gt;=4,1,0)</f>
        <v>2026</v>
      </c>
      <c r="D66" s="34">
        <f>YEAR(PA_8[[#This Row],[Date]])</f>
        <v>2025</v>
      </c>
      <c r="E66" s="155" t="s">
        <v>339</v>
      </c>
      <c r="F66" s="155" t="s">
        <v>339</v>
      </c>
      <c r="G66" s="175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55" t="s">
        <v>433</v>
      </c>
      <c r="M66" s="35"/>
      <c r="N66" s="35"/>
      <c r="O66" s="38"/>
      <c r="P66" s="38"/>
      <c r="Q66" s="35" t="s">
        <v>369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298">
        <f>IFERROR(_xlfn.XLOOKUP(PA_8[[#This Row],[Affected Equipment ]],'Basic Data'!$P:$P,'Basic Data'!$T:$T),"")</f>
        <v>5.0929800668565062E-2</v>
      </c>
      <c r="W66" s="320" t="s">
        <v>407</v>
      </c>
      <c r="X66" s="156" t="s">
        <v>1143</v>
      </c>
      <c r="Y66" s="156" t="s">
        <v>1144</v>
      </c>
      <c r="Z66" s="271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1145</v>
      </c>
      <c r="AI66" s="155" t="s">
        <v>383</v>
      </c>
      <c r="AJ66" s="37">
        <f>IFERROR(PA_8[[#This Row],[Breakdown Time]]*PA_8[[#This Row],[Plant Equivalent Weightage]],"")</f>
        <v>6.9604060913705607E-2</v>
      </c>
      <c r="AK66" s="273">
        <v>1.268</v>
      </c>
      <c r="AL66" s="157">
        <f>U66*PA_8[[#This Row],[Lost PoA(Wh/m2)]]*84.2%</f>
        <v>6587.8645824000005</v>
      </c>
      <c r="AM66" s="157"/>
    </row>
    <row r="67" spans="1:39">
      <c r="A67" s="153">
        <v>58</v>
      </c>
      <c r="B67" s="154">
        <v>45821</v>
      </c>
      <c r="C67" s="187">
        <f>YEAR(PA_8[[#This Row],[Date]])+IF(MONTH(PA_8[[#This Row],[Date]])&gt;=4,1,0)</f>
        <v>2026</v>
      </c>
      <c r="D67" s="34">
        <f>YEAR(PA_8[[#This Row],[Date]])</f>
        <v>2025</v>
      </c>
      <c r="E67" s="155" t="s">
        <v>339</v>
      </c>
      <c r="F67" s="155" t="s">
        <v>339</v>
      </c>
      <c r="G67" s="175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55" t="s">
        <v>433</v>
      </c>
      <c r="M67" s="35" t="s">
        <v>365</v>
      </c>
      <c r="N67" s="35" t="s">
        <v>366</v>
      </c>
      <c r="O67" s="38" t="s">
        <v>387</v>
      </c>
      <c r="P67" s="35" t="s">
        <v>380</v>
      </c>
      <c r="Q67" s="35" t="s">
        <v>1136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298">
        <f>IFERROR(_xlfn.XLOOKUP(PA_8[[#This Row],[Affected Equipment ]],'Basic Data'!$P:$P,'Basic Data'!$T:$T),"")</f>
        <v>1.3045272584705542E-4</v>
      </c>
      <c r="W67" s="320" t="s">
        <v>1126</v>
      </c>
      <c r="X67" s="156" t="s">
        <v>1149</v>
      </c>
      <c r="Y67" s="156" t="s">
        <v>1150</v>
      </c>
      <c r="Z67" s="271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1151</v>
      </c>
      <c r="AI67" s="155" t="s">
        <v>383</v>
      </c>
      <c r="AJ67" s="37">
        <f>IFERROR(PA_8[[#This Row],[Breakdown Time]]*PA_8[[#This Row],[Plant Equivalent Weightage]],"")</f>
        <v>5.2181090338822192E-4</v>
      </c>
      <c r="AK67" s="273">
        <v>1.22</v>
      </c>
      <c r="AL67" s="157">
        <f>U67*PA_8[[#This Row],[Lost PoA(Wh/m2)]]*84.2%</f>
        <v>16.235528200000001</v>
      </c>
      <c r="AM67" s="157"/>
    </row>
    <row r="68" spans="1:39">
      <c r="A68" s="153">
        <v>59</v>
      </c>
      <c r="B68" s="154">
        <v>45821</v>
      </c>
      <c r="C68" s="187">
        <f>YEAR(PA_8[[#This Row],[Date]])+IF(MONTH(PA_8[[#This Row],[Date]])&gt;=4,1,0)</f>
        <v>2026</v>
      </c>
      <c r="D68" s="34">
        <f>YEAR(PA_8[[#This Row],[Date]])</f>
        <v>2025</v>
      </c>
      <c r="E68" s="155" t="s">
        <v>339</v>
      </c>
      <c r="F68" s="155" t="s">
        <v>339</v>
      </c>
      <c r="G68" s="175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55" t="s">
        <v>429</v>
      </c>
      <c r="M68" s="35" t="s">
        <v>365</v>
      </c>
      <c r="N68" s="35" t="s">
        <v>386</v>
      </c>
      <c r="O68" s="38" t="s">
        <v>399</v>
      </c>
      <c r="P68" s="35" t="s">
        <v>388</v>
      </c>
      <c r="Q68" s="35" t="s">
        <v>1136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298">
        <f>IFERROR(_xlfn.XLOOKUP(PA_8[[#This Row],[Affected Equipment ]],'Basic Data'!$P:$P,'Basic Data'!$T:$T),"")</f>
        <v>1.3164953984565227E-4</v>
      </c>
      <c r="W68" s="320" t="s">
        <v>1126</v>
      </c>
      <c r="X68" s="156" t="s">
        <v>1152</v>
      </c>
      <c r="Y68" s="156" t="s">
        <v>1153</v>
      </c>
      <c r="Z68" s="271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1154</v>
      </c>
      <c r="AI68" s="155" t="s">
        <v>383</v>
      </c>
      <c r="AJ68" s="37">
        <f>IFERROR(PA_8[[#This Row],[Breakdown Time]]*PA_8[[#This Row],[Plant Equivalent Weightage]],"")</f>
        <v>6.3630610925398618E-4</v>
      </c>
      <c r="AK68" s="273">
        <v>1.34</v>
      </c>
      <c r="AL68" s="157">
        <f>U68*PA_8[[#This Row],[Lost PoA(Wh/m2)]]*84.2%</f>
        <v>17.996066000000003</v>
      </c>
      <c r="AM68" s="157"/>
    </row>
    <row r="69" spans="1:39">
      <c r="A69" s="153">
        <v>60</v>
      </c>
      <c r="B69" s="154">
        <v>45826</v>
      </c>
      <c r="C69" s="187">
        <f>YEAR(PA_8[[#This Row],[Date]])+IF(MONTH(PA_8[[#This Row],[Date]])&gt;=4,1,0)</f>
        <v>2026</v>
      </c>
      <c r="D69" s="34">
        <f>YEAR(PA_8[[#This Row],[Date]])</f>
        <v>2025</v>
      </c>
      <c r="E69" s="155" t="s">
        <v>339</v>
      </c>
      <c r="F69" s="155" t="s">
        <v>339</v>
      </c>
      <c r="G69" s="175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55" t="s">
        <v>424</v>
      </c>
      <c r="M69" s="35" t="s">
        <v>392</v>
      </c>
      <c r="N69" s="35" t="s">
        <v>366</v>
      </c>
      <c r="O69" s="38" t="s">
        <v>387</v>
      </c>
      <c r="P69" s="322" t="s">
        <v>380</v>
      </c>
      <c r="Q69" s="322" t="s">
        <v>1136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298">
        <f>IFERROR(_xlfn.XLOOKUP(PA_8[[#This Row],[Affected Equipment ]],'Basic Data'!$P:$P,'Basic Data'!$T:$T),"")</f>
        <v>1.3045272584705542E-4</v>
      </c>
      <c r="W69" s="320" t="s">
        <v>1126</v>
      </c>
      <c r="X69" s="323" t="s">
        <v>1149</v>
      </c>
      <c r="Y69" s="323" t="s">
        <v>1155</v>
      </c>
      <c r="Z69" s="271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324" t="s">
        <v>1156</v>
      </c>
      <c r="AI69" s="325" t="s">
        <v>383</v>
      </c>
      <c r="AJ69" s="37">
        <f>IFERROR(PA_8[[#This Row],[Breakdown Time]]*PA_8[[#This Row],[Plant Equivalent Weightage]],"")</f>
        <v>8.0445847605684171E-4</v>
      </c>
      <c r="AK69" s="273">
        <v>1.02</v>
      </c>
      <c r="AL69" s="157">
        <f>U69*PA_8[[#This Row],[Lost PoA(Wh/m2)]]*84.2%</f>
        <v>13.573966199999999</v>
      </c>
      <c r="AM69" s="157"/>
    </row>
    <row r="70" spans="1:39">
      <c r="A70" s="153">
        <v>61</v>
      </c>
      <c r="B70" s="154">
        <v>45826</v>
      </c>
      <c r="C70" s="187">
        <f>YEAR(PA_8[[#This Row],[Date]])+IF(MONTH(PA_8[[#This Row],[Date]])&gt;=4,1,0)</f>
        <v>2026</v>
      </c>
      <c r="D70" s="34">
        <f>YEAR(PA_8[[#This Row],[Date]])</f>
        <v>2025</v>
      </c>
      <c r="E70" s="155" t="s">
        <v>339</v>
      </c>
      <c r="F70" s="155" t="s">
        <v>339</v>
      </c>
      <c r="G70" s="175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55" t="s">
        <v>424</v>
      </c>
      <c r="M70" s="35" t="s">
        <v>392</v>
      </c>
      <c r="N70" s="35" t="s">
        <v>366</v>
      </c>
      <c r="O70" s="38" t="s">
        <v>394</v>
      </c>
      <c r="P70" s="322" t="s">
        <v>380</v>
      </c>
      <c r="Q70" s="322" t="s">
        <v>1136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298">
        <f>IFERROR(_xlfn.XLOOKUP(PA_8[[#This Row],[Affected Equipment ]],'Basic Data'!$P:$P,'Basic Data'!$T:$T),"")</f>
        <v>1.3045272584705542E-4</v>
      </c>
      <c r="W70" s="320" t="s">
        <v>1126</v>
      </c>
      <c r="X70" s="323" t="s">
        <v>1152</v>
      </c>
      <c r="Y70" s="323" t="s">
        <v>1153</v>
      </c>
      <c r="Z70" s="271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324" t="s">
        <v>1154</v>
      </c>
      <c r="AI70" s="325" t="s">
        <v>383</v>
      </c>
      <c r="AJ70" s="37">
        <f>IFERROR(PA_8[[#This Row],[Breakdown Time]]*PA_8[[#This Row],[Plant Equivalent Weightage]],"")</f>
        <v>4.9354614612135968E-4</v>
      </c>
      <c r="AK70" s="273"/>
      <c r="AL70" s="157">
        <f>U70*PA_8[[#This Row],[Lost PoA(Wh/m2)]]*84.2%</f>
        <v>0</v>
      </c>
      <c r="AM70" s="157"/>
    </row>
    <row r="71" spans="1:39">
      <c r="A71" s="153">
        <v>62</v>
      </c>
      <c r="B71" s="154">
        <v>45834</v>
      </c>
      <c r="C71" s="187">
        <f>YEAR(PA_8[[#This Row],[Date]])+IF(MONTH(PA_8[[#This Row],[Date]])&gt;=4,1,0)</f>
        <v>2026</v>
      </c>
      <c r="D71" s="34">
        <f>YEAR(PA_8[[#This Row],[Date]])</f>
        <v>2025</v>
      </c>
      <c r="E71" s="155" t="s">
        <v>339</v>
      </c>
      <c r="F71" s="155" t="s">
        <v>339</v>
      </c>
      <c r="G71" s="175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55" t="s">
        <v>439</v>
      </c>
      <c r="M71" s="35" t="s">
        <v>365</v>
      </c>
      <c r="N71" s="35"/>
      <c r="O71" s="38"/>
      <c r="P71" s="322"/>
      <c r="Q71" s="322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0</v>
      </c>
      <c r="V71" s="298">
        <f>IFERROR(_xlfn.XLOOKUP(PA_8[[#This Row],[Affected Equipment ]],'Basic Data'!$P:$P,'Basic Data'!$T:$T),"")</f>
        <v>0</v>
      </c>
      <c r="W71" s="320" t="s">
        <v>1126</v>
      </c>
      <c r="X71" s="323" t="s">
        <v>1157</v>
      </c>
      <c r="Y71" s="323" t="s">
        <v>1158</v>
      </c>
      <c r="Z71" s="271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24" t="s">
        <v>1159</v>
      </c>
      <c r="AI71" s="325" t="s">
        <v>383</v>
      </c>
      <c r="AJ71" s="37">
        <f>IFERROR(PA_8[[#This Row],[Breakdown Time]]*PA_8[[#This Row],[Plant Equivalent Weightage]],"")</f>
        <v>0</v>
      </c>
      <c r="AK71" s="273">
        <v>0.18</v>
      </c>
      <c r="AL71" s="157">
        <f>U71*PA_8[[#This Row],[Lost PoA(Wh/m2)]]*84.2%</f>
        <v>0</v>
      </c>
      <c r="AM71" s="157"/>
    </row>
    <row r="72" spans="1:39">
      <c r="A72" s="153">
        <v>63</v>
      </c>
      <c r="B72" s="154">
        <v>45835</v>
      </c>
      <c r="C72" s="187">
        <f>YEAR(PA_8[[#This Row],[Date]])+IF(MONTH(PA_8[[#This Row],[Date]])&gt;=4,1,0)</f>
        <v>2026</v>
      </c>
      <c r="D72" s="34">
        <f>YEAR(PA_8[[#This Row],[Date]])</f>
        <v>2025</v>
      </c>
      <c r="E72" s="155" t="s">
        <v>339</v>
      </c>
      <c r="F72" s="155" t="s">
        <v>339</v>
      </c>
      <c r="G72" s="175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55" t="s">
        <v>439</v>
      </c>
      <c r="M72" s="35"/>
      <c r="N72" s="35"/>
      <c r="O72" s="38"/>
      <c r="P72" s="35"/>
      <c r="Q72" s="35" t="s">
        <v>369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8906.48</v>
      </c>
      <c r="V72" s="298">
        <f>IFERROR(_xlfn.XLOOKUP(PA_8[[#This Row],[Affected Equipment ]],'Basic Data'!$P:$P,'Basic Data'!$T:$T),"")</f>
        <v>7.351310304981222E-2</v>
      </c>
      <c r="W72" s="320" t="s">
        <v>1126</v>
      </c>
      <c r="X72" s="156" t="s">
        <v>1160</v>
      </c>
      <c r="Y72" s="156" t="s">
        <v>1161</v>
      </c>
      <c r="Z72" s="271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1162</v>
      </c>
      <c r="AI72" s="325" t="s">
        <v>383</v>
      </c>
      <c r="AJ72" s="37">
        <f>IFERROR(PA_8[[#This Row],[Breakdown Time]]*PA_8[[#This Row],[Plant Equivalent Weightage]],"")</f>
        <v>0.18378275762453067</v>
      </c>
      <c r="AK72" s="273">
        <v>1.01</v>
      </c>
      <c r="AL72" s="157">
        <f>U72*PA_8[[#This Row],[Lost PoA(Wh/m2)]]*84.2%</f>
        <v>7574.2487216000009</v>
      </c>
      <c r="AM72" s="157"/>
    </row>
    <row r="73" spans="1:39">
      <c r="A73" s="153">
        <v>64</v>
      </c>
      <c r="B73" s="154">
        <v>45837</v>
      </c>
      <c r="C73" s="187">
        <f>YEAR(PA_8[[#This Row],[Date]])+IF(MONTH(PA_8[[#This Row],[Date]])&gt;=4,1,0)</f>
        <v>2026</v>
      </c>
      <c r="D73" s="34">
        <f>YEAR(PA_8[[#This Row],[Date]])</f>
        <v>2025</v>
      </c>
      <c r="E73" s="155" t="s">
        <v>339</v>
      </c>
      <c r="F73" s="155" t="s">
        <v>339</v>
      </c>
      <c r="G73" s="175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55" t="s">
        <v>429</v>
      </c>
      <c r="M73" s="35" t="s">
        <v>365</v>
      </c>
      <c r="N73" s="35" t="s">
        <v>393</v>
      </c>
      <c r="O73" s="38" t="s">
        <v>394</v>
      </c>
      <c r="P73" s="35" t="s">
        <v>380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298">
        <f>IFERROR(_xlfn.XLOOKUP(PA_8[[#This Row],[Affected Equipment ]],'Basic Data'!$P:$P,'Basic Data'!$T:$T),"")</f>
        <v>1.3045272584705542E-4</v>
      </c>
      <c r="W73" s="320" t="s">
        <v>1126</v>
      </c>
      <c r="X73" s="156" t="s">
        <v>1163</v>
      </c>
      <c r="Y73" s="156" t="s">
        <v>1163</v>
      </c>
      <c r="Z73" s="271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1164</v>
      </c>
      <c r="AI73" s="325" t="s">
        <v>383</v>
      </c>
      <c r="AJ73" s="37"/>
      <c r="AK73" s="273">
        <v>1.61</v>
      </c>
      <c r="AL73" s="157">
        <f>U73*PA_8[[#This Row],[Lost PoA(Wh/m2)]]*84.2%</f>
        <v>21.425574100000002</v>
      </c>
      <c r="AM73" s="157"/>
    </row>
    <row r="74" spans="1:39">
      <c r="A74" s="153">
        <v>65</v>
      </c>
      <c r="B74" s="154">
        <v>45837</v>
      </c>
      <c r="C74" s="187">
        <f>YEAR(PA_8[[#This Row],[Date]])+IF(MONTH(PA_8[[#This Row],[Date]])&gt;=4,1,0)</f>
        <v>2026</v>
      </c>
      <c r="D74" s="34">
        <f>YEAR(PA_8[[#This Row],[Date]])</f>
        <v>2025</v>
      </c>
      <c r="E74" s="155" t="s">
        <v>339</v>
      </c>
      <c r="F74" s="155" t="s">
        <v>339</v>
      </c>
      <c r="G74" s="175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55" t="s">
        <v>429</v>
      </c>
      <c r="M74" s="35" t="s">
        <v>365</v>
      </c>
      <c r="N74" s="35" t="s">
        <v>393</v>
      </c>
      <c r="O74" s="38" t="s">
        <v>367</v>
      </c>
      <c r="P74" s="35" t="s">
        <v>395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298">
        <f>IFERROR(_xlfn.XLOOKUP(PA_8[[#This Row],[Affected Equipment ]],'Basic Data'!$P:$P,'Basic Data'!$T:$T),"")</f>
        <v>2.5851182369691716E-4</v>
      </c>
      <c r="W74" s="320" t="s">
        <v>1126</v>
      </c>
      <c r="X74" s="156" t="s">
        <v>1165</v>
      </c>
      <c r="Y74" s="156" t="s">
        <v>1165</v>
      </c>
      <c r="Z74" s="271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1164</v>
      </c>
      <c r="AI74" s="325" t="s">
        <v>383</v>
      </c>
      <c r="AJ74" s="37">
        <f>IFERROR(PA_8[[#This Row],[Breakdown Time]]*PA_8[[#This Row],[Plant Equivalent Weightage]],"")</f>
        <v>1.5510709421815028E-3</v>
      </c>
      <c r="AK74" s="273">
        <v>1.59</v>
      </c>
      <c r="AL74" s="157">
        <f>U74*PA_8[[#This Row],[Lost PoA(Wh/m2)]]*84.2%</f>
        <v>41.930589600000005</v>
      </c>
      <c r="AM74" s="157"/>
    </row>
    <row r="75" spans="1:39">
      <c r="A75" s="153">
        <v>66</v>
      </c>
      <c r="B75" s="154">
        <v>45837</v>
      </c>
      <c r="C75" s="187">
        <f>YEAR(PA_8[[#This Row],[Date]])+IF(MONTH(PA_8[[#This Row],[Date]])&gt;=4,1,0)</f>
        <v>2026</v>
      </c>
      <c r="D75" s="34">
        <f>YEAR(PA_8[[#This Row],[Date]])</f>
        <v>2025</v>
      </c>
      <c r="E75" s="155" t="s">
        <v>339</v>
      </c>
      <c r="F75" s="155" t="s">
        <v>339</v>
      </c>
      <c r="G75" s="175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55" t="s">
        <v>429</v>
      </c>
      <c r="M75" s="35" t="s">
        <v>365</v>
      </c>
      <c r="N75" s="35" t="s">
        <v>386</v>
      </c>
      <c r="O75" s="38" t="s">
        <v>379</v>
      </c>
      <c r="P75" s="35" t="s">
        <v>395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298">
        <f>IFERROR(_xlfn.XLOOKUP(PA_8[[#This Row],[Affected Equipment ]],'Basic Data'!$P:$P,'Basic Data'!$T:$T),"")</f>
        <v>2.5851182369691716E-4</v>
      </c>
      <c r="W75" s="320" t="s">
        <v>1126</v>
      </c>
      <c r="X75" s="156" t="s">
        <v>1166</v>
      </c>
      <c r="Y75" s="156" t="s">
        <v>1166</v>
      </c>
      <c r="Z75" s="271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1164</v>
      </c>
      <c r="AI75" s="325" t="s">
        <v>383</v>
      </c>
      <c r="AJ75" s="37">
        <f>IFERROR(PA_8[[#This Row],[Breakdown Time]]*PA_8[[#This Row],[Plant Equivalent Weightage]],"")</f>
        <v>1.5079856382320168E-3</v>
      </c>
      <c r="AK75" s="273">
        <v>1.5</v>
      </c>
      <c r="AL75" s="157">
        <f>U75*PA_8[[#This Row],[Lost PoA(Wh/m2)]]*84.2%</f>
        <v>39.55716000000001</v>
      </c>
      <c r="AM75" s="157"/>
    </row>
    <row r="76" spans="1:39">
      <c r="A76" s="153">
        <v>67</v>
      </c>
      <c r="B76" s="154">
        <v>45837</v>
      </c>
      <c r="C76" s="187">
        <f>YEAR(PA_8[[#This Row],[Date]])+IF(MONTH(PA_8[[#This Row],[Date]])&gt;=4,1,0)</f>
        <v>2026</v>
      </c>
      <c r="D76" s="34">
        <f>YEAR(PA_8[[#This Row],[Date]])</f>
        <v>2025</v>
      </c>
      <c r="E76" s="155" t="s">
        <v>339</v>
      </c>
      <c r="F76" s="155" t="s">
        <v>339</v>
      </c>
      <c r="G76" s="175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55" t="s">
        <v>429</v>
      </c>
      <c r="M76" s="35" t="s">
        <v>365</v>
      </c>
      <c r="N76" s="35" t="s">
        <v>386</v>
      </c>
      <c r="O76" s="38" t="s">
        <v>394</v>
      </c>
      <c r="P76" s="35" t="s">
        <v>400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298">
        <f>IFERROR(_xlfn.XLOOKUP(PA_8[[#This Row],[Affected Equipment ]],'Basic Data'!$P:$P,'Basic Data'!$T:$T),"")</f>
        <v>2.6090545169411085E-4</v>
      </c>
      <c r="W76" s="320" t="s">
        <v>1126</v>
      </c>
      <c r="X76" s="156" t="s">
        <v>1167</v>
      </c>
      <c r="Y76" s="156" t="s">
        <v>1167</v>
      </c>
      <c r="Z76" s="271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1164</v>
      </c>
      <c r="AI76" s="325" t="s">
        <v>383</v>
      </c>
      <c r="AJ76" s="37">
        <f>IFERROR(PA_8[[#This Row],[Breakdown Time]]*PA_8[[#This Row],[Plant Equivalent Weightage]],"")</f>
        <v>1.6306590730881926E-3</v>
      </c>
      <c r="AK76" s="273">
        <v>1.2</v>
      </c>
      <c r="AL76" s="157">
        <f>U76*PA_8[[#This Row],[Lost PoA(Wh/m2)]]*84.2%</f>
        <v>31.938744</v>
      </c>
      <c r="AM76" s="157"/>
    </row>
    <row r="77" spans="1:39">
      <c r="A77" s="153">
        <v>68</v>
      </c>
      <c r="B77" s="154">
        <v>45837</v>
      </c>
      <c r="C77" s="187">
        <f>YEAR(PA_8[[#This Row],[Date]])+IF(MONTH(PA_8[[#This Row],[Date]])&gt;=4,1,0)</f>
        <v>2026</v>
      </c>
      <c r="D77" s="34">
        <f>YEAR(PA_8[[#This Row],[Date]])</f>
        <v>2025</v>
      </c>
      <c r="E77" s="155" t="s">
        <v>339</v>
      </c>
      <c r="F77" s="155" t="s">
        <v>339</v>
      </c>
      <c r="G77" s="175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55" t="s">
        <v>429</v>
      </c>
      <c r="M77" s="35" t="s">
        <v>365</v>
      </c>
      <c r="N77" s="35" t="s">
        <v>378</v>
      </c>
      <c r="O77" s="38" t="s">
        <v>379</v>
      </c>
      <c r="P77" s="35" t="s">
        <v>388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298">
        <f>IFERROR(_xlfn.XLOOKUP(PA_8[[#This Row],[Affected Equipment ]],'Basic Data'!$P:$P,'Basic Data'!$T:$T),"")</f>
        <v>1.3164953984565227E-4</v>
      </c>
      <c r="W77" s="320" t="s">
        <v>1126</v>
      </c>
      <c r="X77" s="156" t="s">
        <v>1167</v>
      </c>
      <c r="Y77" s="156" t="s">
        <v>1167</v>
      </c>
      <c r="Z77" s="271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1164</v>
      </c>
      <c r="AI77" s="325" t="s">
        <v>383</v>
      </c>
      <c r="AJ77" s="37">
        <f>IFERROR(PA_8[[#This Row],[Breakdown Time]]*PA_8[[#This Row],[Plant Equivalent Weightage]],"")</f>
        <v>8.2280962403532653E-4</v>
      </c>
      <c r="AK77" s="273">
        <v>1.31</v>
      </c>
      <c r="AL77" s="157">
        <f>U77*PA_8[[#This Row],[Lost PoA(Wh/m2)]]*84.2%</f>
        <v>17.593169000000003</v>
      </c>
      <c r="AM77" s="157"/>
    </row>
    <row r="78" spans="1:39">
      <c r="A78" s="153">
        <v>69</v>
      </c>
      <c r="B78" s="154">
        <v>45837</v>
      </c>
      <c r="C78" s="187">
        <f>YEAR(PA_8[[#This Row],[Date]])+IF(MONTH(PA_8[[#This Row],[Date]])&gt;=4,1,0)</f>
        <v>2026</v>
      </c>
      <c r="D78" s="34">
        <f>YEAR(PA_8[[#This Row],[Date]])</f>
        <v>2025</v>
      </c>
      <c r="E78" s="155" t="s">
        <v>339</v>
      </c>
      <c r="F78" s="155" t="s">
        <v>339</v>
      </c>
      <c r="G78" s="175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55" t="s">
        <v>433</v>
      </c>
      <c r="M78" s="35" t="s">
        <v>365</v>
      </c>
      <c r="N78" s="35" t="s">
        <v>386</v>
      </c>
      <c r="O78" s="38" t="s">
        <v>404</v>
      </c>
      <c r="P78" s="35" t="s">
        <v>380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298">
        <f>IFERROR(_xlfn.XLOOKUP(PA_8[[#This Row],[Affected Equipment ]],'Basic Data'!$P:$P,'Basic Data'!$T:$T),"")</f>
        <v>1.3045272584705542E-4</v>
      </c>
      <c r="W78" s="320" t="s">
        <v>1126</v>
      </c>
      <c r="X78" s="156" t="s">
        <v>1168</v>
      </c>
      <c r="Y78" s="156" t="s">
        <v>1168</v>
      </c>
      <c r="Z78" s="271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1164</v>
      </c>
      <c r="AI78" s="325" t="s">
        <v>383</v>
      </c>
      <c r="AJ78" s="37">
        <f>IFERROR(PA_8[[#This Row],[Breakdown Time]]*PA_8[[#This Row],[Plant Equivalent Weightage]],"")</f>
        <v>6.305215082607681E-4</v>
      </c>
      <c r="AK78" s="273">
        <v>1.2</v>
      </c>
      <c r="AL78" s="157">
        <f>U78*PA_8[[#This Row],[Lost PoA(Wh/m2)]]*84.2%</f>
        <v>15.969372</v>
      </c>
      <c r="AM78" s="157"/>
    </row>
    <row r="79" spans="1:39">
      <c r="A79" s="153">
        <v>70</v>
      </c>
      <c r="B79" s="154">
        <v>45837</v>
      </c>
      <c r="C79" s="187">
        <f>YEAR(PA_8[[#This Row],[Date]])+IF(MONTH(PA_8[[#This Row],[Date]])&gt;=4,1,0)</f>
        <v>2026</v>
      </c>
      <c r="D79" s="34">
        <f>YEAR(PA_8[[#This Row],[Date]])</f>
        <v>2025</v>
      </c>
      <c r="E79" s="155" t="s">
        <v>339</v>
      </c>
      <c r="F79" s="155" t="s">
        <v>339</v>
      </c>
      <c r="G79" s="175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55" t="s">
        <v>433</v>
      </c>
      <c r="M79" s="35" t="s">
        <v>365</v>
      </c>
      <c r="N79" s="35" t="s">
        <v>378</v>
      </c>
      <c r="O79" s="38" t="s">
        <v>404</v>
      </c>
      <c r="P79" s="35" t="s">
        <v>380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298">
        <f>IFERROR(_xlfn.XLOOKUP(PA_8[[#This Row],[Affected Equipment ]],'Basic Data'!$P:$P,'Basic Data'!$T:$T),"")</f>
        <v>1.3045272584705542E-4</v>
      </c>
      <c r="W79" s="320" t="s">
        <v>1126</v>
      </c>
      <c r="X79" s="156" t="s">
        <v>1169</v>
      </c>
      <c r="Y79" s="156" t="s">
        <v>1169</v>
      </c>
      <c r="Z79" s="271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1164</v>
      </c>
      <c r="AI79" s="325" t="s">
        <v>383</v>
      </c>
      <c r="AJ79" s="37">
        <f>IFERROR(PA_8[[#This Row],[Breakdown Time]]*PA_8[[#This Row],[Plant Equivalent Weightage]],"")</f>
        <v>6.4139256874802271E-4</v>
      </c>
      <c r="AK79" s="273">
        <v>1.4</v>
      </c>
      <c r="AL79" s="157">
        <f>U79*PA_8[[#This Row],[Lost PoA(Wh/m2)]]*84.2%</f>
        <v>18.630934</v>
      </c>
      <c r="AM79" s="157"/>
    </row>
    <row r="80" spans="1:39">
      <c r="A80" s="153">
        <v>71</v>
      </c>
      <c r="B80" s="154">
        <v>45837</v>
      </c>
      <c r="C80" s="187">
        <f>YEAR(PA_8[[#This Row],[Date]])+IF(MONTH(PA_8[[#This Row],[Date]])&gt;=4,1,0)</f>
        <v>2026</v>
      </c>
      <c r="D80" s="34">
        <f>YEAR(PA_8[[#This Row],[Date]])</f>
        <v>2025</v>
      </c>
      <c r="E80" s="155" t="s">
        <v>339</v>
      </c>
      <c r="F80" s="155" t="s">
        <v>339</v>
      </c>
      <c r="G80" s="175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55" t="s">
        <v>433</v>
      </c>
      <c r="M80" s="35" t="s">
        <v>365</v>
      </c>
      <c r="N80" s="35" t="s">
        <v>378</v>
      </c>
      <c r="O80" s="38" t="s">
        <v>394</v>
      </c>
      <c r="P80" s="35" t="s">
        <v>380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298">
        <f>IFERROR(_xlfn.XLOOKUP(PA_8[[#This Row],[Affected Equipment ]],'Basic Data'!$P:$P,'Basic Data'!$T:$T),"")</f>
        <v>1.3045272584705542E-4</v>
      </c>
      <c r="W80" s="320" t="s">
        <v>1126</v>
      </c>
      <c r="X80" s="156" t="s">
        <v>1170</v>
      </c>
      <c r="Y80" s="156" t="s">
        <v>1170</v>
      </c>
      <c r="Z80" s="271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1164</v>
      </c>
      <c r="AI80" s="325" t="s">
        <v>383</v>
      </c>
      <c r="AJ80" s="37">
        <f>IFERROR(PA_8[[#This Row],[Breakdown Time]]*PA_8[[#This Row],[Plant Equivalent Weightage]],"")</f>
        <v>5.3920460016782922E-4</v>
      </c>
      <c r="AK80" s="273">
        <v>1.43</v>
      </c>
      <c r="AL80" s="157">
        <f>U80*PA_8[[#This Row],[Lost PoA(Wh/m2)]]*84.2%</f>
        <v>19.0301683</v>
      </c>
      <c r="AM80" s="157"/>
    </row>
    <row r="81" spans="1:39">
      <c r="A81" s="153">
        <v>72</v>
      </c>
      <c r="B81" s="154">
        <v>45837</v>
      </c>
      <c r="C81" s="187">
        <f>YEAR(PA_8[[#This Row],[Date]])+IF(MONTH(PA_8[[#This Row],[Date]])&gt;=4,1,0)</f>
        <v>2026</v>
      </c>
      <c r="D81" s="34">
        <f>YEAR(PA_8[[#This Row],[Date]])</f>
        <v>2025</v>
      </c>
      <c r="E81" s="155" t="s">
        <v>339</v>
      </c>
      <c r="F81" s="155" t="s">
        <v>339</v>
      </c>
      <c r="G81" s="175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55" t="s">
        <v>436</v>
      </c>
      <c r="M81" s="35" t="s">
        <v>377</v>
      </c>
      <c r="N81" s="35" t="s">
        <v>366</v>
      </c>
      <c r="O81" s="38" t="s">
        <v>379</v>
      </c>
      <c r="P81" s="35" t="s">
        <v>388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298">
        <f>IFERROR(_xlfn.XLOOKUP(PA_8[[#This Row],[Affected Equipment ]],'Basic Data'!$P:$P,'Basic Data'!$T:$T),"")</f>
        <v>1.3164953984565227E-4</v>
      </c>
      <c r="W81" s="320" t="s">
        <v>1126</v>
      </c>
      <c r="X81" s="156" t="s">
        <v>1166</v>
      </c>
      <c r="Y81" s="156" t="s">
        <v>1166</v>
      </c>
      <c r="Z81" s="271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1164</v>
      </c>
      <c r="AI81" s="325" t="s">
        <v>383</v>
      </c>
      <c r="AJ81" s="37">
        <f>IFERROR(PA_8[[#This Row],[Breakdown Time]]*PA_8[[#This Row],[Plant Equivalent Weightage]],"")</f>
        <v>5.4853974935688461E-4</v>
      </c>
      <c r="AK81" s="273">
        <v>1.6</v>
      </c>
      <c r="AL81" s="157">
        <f>U81*PA_8[[#This Row],[Lost PoA(Wh/m2)]]*84.2%</f>
        <v>21.487840000000002</v>
      </c>
      <c r="AM81" s="157"/>
    </row>
    <row r="82" spans="1:39">
      <c r="A82" s="153">
        <v>73</v>
      </c>
      <c r="B82" s="154">
        <v>45837</v>
      </c>
      <c r="C82" s="187">
        <f>YEAR(PA_8[[#This Row],[Date]])+IF(MONTH(PA_8[[#This Row],[Date]])&gt;=4,1,0)</f>
        <v>2026</v>
      </c>
      <c r="D82" s="34">
        <f>YEAR(PA_8[[#This Row],[Date]])</f>
        <v>2025</v>
      </c>
      <c r="E82" s="155" t="s">
        <v>339</v>
      </c>
      <c r="F82" s="155" t="s">
        <v>339</v>
      </c>
      <c r="G82" s="175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55" t="s">
        <v>429</v>
      </c>
      <c r="M82" s="35" t="s">
        <v>365</v>
      </c>
      <c r="N82" s="35" t="s">
        <v>393</v>
      </c>
      <c r="O82" s="38" t="s">
        <v>399</v>
      </c>
      <c r="P82" s="35" t="s">
        <v>380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298">
        <f>IFERROR(_xlfn.XLOOKUP(PA_8[[#This Row],[Affected Equipment ]],'Basic Data'!$P:$P,'Basic Data'!$T:$T),"")</f>
        <v>1.3045272584705542E-4</v>
      </c>
      <c r="W82" s="320" t="s">
        <v>1126</v>
      </c>
      <c r="X82" s="156" t="s">
        <v>1171</v>
      </c>
      <c r="Y82" s="156" t="s">
        <v>1171</v>
      </c>
      <c r="Z82" s="271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1164</v>
      </c>
      <c r="AI82" s="325" t="s">
        <v>383</v>
      </c>
      <c r="AJ82" s="37">
        <f>IFERROR(PA_8[[#This Row],[Breakdown Time]]*PA_8[[#This Row],[Plant Equivalent Weightage]],"")</f>
        <v>8.0445847605684171E-4</v>
      </c>
      <c r="AK82" s="273">
        <v>1.6</v>
      </c>
      <c r="AL82" s="157">
        <f>U82*PA_8[[#This Row],[Lost PoA(Wh/m2)]]*84.2%</f>
        <v>21.292496000000003</v>
      </c>
      <c r="AM82" s="157"/>
    </row>
    <row r="83" spans="1:39">
      <c r="A83" s="153">
        <v>74</v>
      </c>
      <c r="B83" s="154">
        <v>45837</v>
      </c>
      <c r="C83" s="187">
        <f>YEAR(PA_8[[#This Row],[Date]])+IF(MONTH(PA_8[[#This Row],[Date]])&gt;=4,1,0)</f>
        <v>2026</v>
      </c>
      <c r="D83" s="34">
        <f>YEAR(PA_8[[#This Row],[Date]])</f>
        <v>2025</v>
      </c>
      <c r="E83" s="155" t="s">
        <v>339</v>
      </c>
      <c r="F83" s="155" t="s">
        <v>339</v>
      </c>
      <c r="G83" s="175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55" t="s">
        <v>429</v>
      </c>
      <c r="M83" s="35" t="s">
        <v>365</v>
      </c>
      <c r="N83" s="35" t="s">
        <v>386</v>
      </c>
      <c r="O83" s="38" t="s">
        <v>387</v>
      </c>
      <c r="P83" s="35" t="s">
        <v>380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298">
        <f>IFERROR(_xlfn.XLOOKUP(PA_8[[#This Row],[Affected Equipment ]],'Basic Data'!$P:$P,'Basic Data'!$T:$T),"")</f>
        <v>1.3045272584705542E-4</v>
      </c>
      <c r="W83" s="320" t="s">
        <v>1126</v>
      </c>
      <c r="X83" s="156" t="s">
        <v>1172</v>
      </c>
      <c r="Y83" s="156" t="s">
        <v>1172</v>
      </c>
      <c r="Z83" s="271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1164</v>
      </c>
      <c r="AI83" s="325" t="s">
        <v>383</v>
      </c>
      <c r="AJ83" s="37">
        <f>IFERROR(PA_8[[#This Row],[Breakdown Time]]*PA_8[[#This Row],[Plant Equivalent Weightage]],"")</f>
        <v>7.935874155695871E-4</v>
      </c>
      <c r="AK83" s="273">
        <v>1.6</v>
      </c>
      <c r="AL83" s="157">
        <f>U83*PA_8[[#This Row],[Lost PoA(Wh/m2)]]*84.2%</f>
        <v>21.292496000000003</v>
      </c>
      <c r="AM83" s="157"/>
    </row>
    <row r="84" spans="1:39">
      <c r="A84" s="153">
        <v>75</v>
      </c>
      <c r="B84" s="154">
        <v>45837</v>
      </c>
      <c r="C84" s="187">
        <f>YEAR(PA_8[[#This Row],[Date]])+IF(MONTH(PA_8[[#This Row],[Date]])&gt;=4,1,0)</f>
        <v>2026</v>
      </c>
      <c r="D84" s="34">
        <f>YEAR(PA_8[[#This Row],[Date]])</f>
        <v>2025</v>
      </c>
      <c r="E84" s="155" t="s">
        <v>339</v>
      </c>
      <c r="F84" s="155" t="s">
        <v>339</v>
      </c>
      <c r="G84" s="175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55" t="s">
        <v>433</v>
      </c>
      <c r="M84" s="35" t="s">
        <v>365</v>
      </c>
      <c r="N84" s="35" t="s">
        <v>386</v>
      </c>
      <c r="O84" s="38" t="s">
        <v>399</v>
      </c>
      <c r="P84" s="35" t="s">
        <v>388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298">
        <f>IFERROR(_xlfn.XLOOKUP(PA_8[[#This Row],[Affected Equipment ]],'Basic Data'!$P:$P,'Basic Data'!$T:$T),"")</f>
        <v>1.3164953984565227E-4</v>
      </c>
      <c r="W84" s="320" t="s">
        <v>1126</v>
      </c>
      <c r="X84" s="156" t="s">
        <v>1166</v>
      </c>
      <c r="Y84" s="156" t="s">
        <v>1166</v>
      </c>
      <c r="Z84" s="271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1164</v>
      </c>
      <c r="AI84" s="325" t="s">
        <v>383</v>
      </c>
      <c r="AJ84" s="37">
        <f>IFERROR(PA_8[[#This Row],[Breakdown Time]]*PA_8[[#This Row],[Plant Equivalent Weightage]],"")</f>
        <v>7.8989723907391357E-4</v>
      </c>
      <c r="AK84" s="273">
        <v>1.32</v>
      </c>
      <c r="AL84" s="157">
        <f>U84*PA_8[[#This Row],[Lost PoA(Wh/m2)]]*84.2%</f>
        <v>17.727468000000002</v>
      </c>
      <c r="AM84" s="157"/>
    </row>
    <row r="85" spans="1:39">
      <c r="A85" s="153">
        <v>76</v>
      </c>
      <c r="B85" s="154">
        <v>45838</v>
      </c>
      <c r="C85" s="187">
        <f>YEAR(PA_8[[#This Row],[Date]])+IF(MONTH(PA_8[[#This Row],[Date]])&gt;=4,1,0)</f>
        <v>2026</v>
      </c>
      <c r="D85" s="34">
        <f>YEAR(PA_8[[#This Row],[Date]])</f>
        <v>2025</v>
      </c>
      <c r="E85" s="155" t="s">
        <v>339</v>
      </c>
      <c r="F85" s="155" t="s">
        <v>339</v>
      </c>
      <c r="G85" s="175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55" t="s">
        <v>424</v>
      </c>
      <c r="M85" s="35" t="s">
        <v>377</v>
      </c>
      <c r="N85" s="35" t="s">
        <v>378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298">
        <f>IFERROR(_xlfn.XLOOKUP(PA_8[[#This Row],[Affected Equipment ]],'Basic Data'!$P:$P,'Basic Data'!$T:$T),"")</f>
        <v>1.6851141100243491E-2</v>
      </c>
      <c r="W85" s="320" t="s">
        <v>344</v>
      </c>
      <c r="X85" s="156" t="s">
        <v>1107</v>
      </c>
      <c r="Y85" s="156" t="s">
        <v>1173</v>
      </c>
      <c r="Z85" s="271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1174</v>
      </c>
      <c r="AI85" s="155" t="s">
        <v>383</v>
      </c>
      <c r="AJ85" s="37">
        <f>IFERROR(PA_8[[#This Row],[Breakdown Time]]*PA_8[[#This Row],[Plant Equivalent Weightage]],"")</f>
        <v>1.5166026990219133E-2</v>
      </c>
      <c r="AK85" s="273">
        <v>0.22</v>
      </c>
      <c r="AL85" s="157">
        <f>U85*PA_8[[#This Row],[Lost PoA(Wh/m2)]]*84.2%</f>
        <v>378.18598400000008</v>
      </c>
      <c r="AM85" s="157"/>
    </row>
    <row r="86" spans="1:39">
      <c r="A86" s="153">
        <v>77</v>
      </c>
      <c r="B86" s="154">
        <v>45839</v>
      </c>
      <c r="C86" s="187">
        <f>YEAR(PA_8[[#This Row],[Date]])+IF(MONTH(PA_8[[#This Row],[Date]])&gt;=4,1,0)</f>
        <v>2026</v>
      </c>
      <c r="D86" s="34">
        <f>YEAR(PA_8[[#This Row],[Date]])</f>
        <v>2025</v>
      </c>
      <c r="E86" s="155" t="s">
        <v>339</v>
      </c>
      <c r="F86" s="155" t="s">
        <v>339</v>
      </c>
      <c r="G86" s="175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55" t="s">
        <v>424</v>
      </c>
      <c r="M86" s="35" t="s">
        <v>377</v>
      </c>
      <c r="N86" s="35" t="s">
        <v>378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298">
        <f>IFERROR(_xlfn.XLOOKUP(PA_8[[#This Row],[Affected Equipment ]],'Basic Data'!$P:$P,'Basic Data'!$T:$T),"")</f>
        <v>1.6851141100243491E-2</v>
      </c>
      <c r="W86" s="320" t="s">
        <v>344</v>
      </c>
      <c r="X86" s="156" t="s">
        <v>1107</v>
      </c>
      <c r="Y86" s="156" t="s">
        <v>1175</v>
      </c>
      <c r="Z86" s="271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1176</v>
      </c>
      <c r="AI86" s="155" t="s">
        <v>383</v>
      </c>
      <c r="AJ86" s="37">
        <f>IFERROR(PA_8[[#This Row],[Breakdown Time]]*PA_8[[#This Row],[Plant Equivalent Weightage]],"")</f>
        <v>1.5446879341889857E-2</v>
      </c>
      <c r="AK86" s="273">
        <v>0.18</v>
      </c>
      <c r="AL86" s="157">
        <f>U86*PA_8[[#This Row],[Lost PoA(Wh/m2)]]*84.2%</f>
        <v>309.42489600000005</v>
      </c>
      <c r="AM86" s="157"/>
    </row>
    <row r="87" spans="1:39">
      <c r="A87" s="153">
        <v>78</v>
      </c>
      <c r="B87" s="154">
        <v>45840</v>
      </c>
      <c r="C87" s="187">
        <f>YEAR(PA_8[[#This Row],[Date]])+IF(MONTH(PA_8[[#This Row],[Date]])&gt;=4,1,0)</f>
        <v>2026</v>
      </c>
      <c r="D87" s="34">
        <f>YEAR(PA_8[[#This Row],[Date]])</f>
        <v>2025</v>
      </c>
      <c r="E87" s="155" t="s">
        <v>339</v>
      </c>
      <c r="F87" s="155" t="s">
        <v>339</v>
      </c>
      <c r="G87" s="175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55" t="s">
        <v>402</v>
      </c>
      <c r="M87" s="35" t="s">
        <v>365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3716.35</v>
      </c>
      <c r="V87" s="298">
        <f>IFERROR(_xlfn.XLOOKUP(PA_8[[#This Row],[Affected Equipment ]],'Basic Data'!$P:$P,'Basic Data'!$T:$T),"")</f>
        <v>3.0674342784036978E-2</v>
      </c>
      <c r="W87" s="320" t="s">
        <v>344</v>
      </c>
      <c r="X87" s="156" t="s">
        <v>1177</v>
      </c>
      <c r="Y87" s="156" t="s">
        <v>1177</v>
      </c>
      <c r="Z87" s="271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1178</v>
      </c>
      <c r="AI87" s="155" t="s">
        <v>383</v>
      </c>
      <c r="AJ87" s="37">
        <f>IFERROR(PA_8[[#This Row],[Breakdown Time]]*PA_8[[#This Row],[Plant Equivalent Weightage]],"")</f>
        <v>1.9427083763223392E-2</v>
      </c>
      <c r="AK87" s="273">
        <v>0.42</v>
      </c>
      <c r="AL87" s="157">
        <f>U87*PA_8[[#This Row],[Lost PoA(Wh/m2)]]*84.2%</f>
        <v>1314.2500140000002</v>
      </c>
      <c r="AM87" s="157"/>
    </row>
    <row r="88" spans="1:39">
      <c r="A88" s="153">
        <v>79</v>
      </c>
      <c r="B88" s="154">
        <v>45840</v>
      </c>
      <c r="C88" s="187">
        <f>YEAR(PA_8[[#This Row],[Date]])+IF(MONTH(PA_8[[#This Row],[Date]])&gt;=4,1,0)</f>
        <v>2026</v>
      </c>
      <c r="D88" s="34">
        <f>YEAR(PA_8[[#This Row],[Date]])</f>
        <v>2025</v>
      </c>
      <c r="E88" s="155" t="s">
        <v>339</v>
      </c>
      <c r="F88" s="155" t="s">
        <v>339</v>
      </c>
      <c r="G88" s="175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55" t="s">
        <v>402</v>
      </c>
      <c r="M88" s="35" t="s">
        <v>377</v>
      </c>
      <c r="N88" s="35" t="s">
        <v>378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299">
        <f>IFERROR(_xlfn.XLOOKUP(PA_8[[#This Row],[Affected Equipment ]],'Basic Data'!$P:$P,'Basic Data'!$T:$T),"")</f>
        <v>1.5271346622095663E-2</v>
      </c>
      <c r="W88" s="320" t="s">
        <v>344</v>
      </c>
      <c r="X88" s="156" t="s">
        <v>1177</v>
      </c>
      <c r="Y88" s="156" t="s">
        <v>1177</v>
      </c>
      <c r="Z88" s="271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1178</v>
      </c>
      <c r="AI88" s="155" t="s">
        <v>383</v>
      </c>
      <c r="AJ88" s="37">
        <f>IFERROR(PA_8[[#This Row],[Breakdown Time]]*PA_8[[#This Row],[Plant Equivalent Weightage]],"")</f>
        <v>2.2143452602038694E-2</v>
      </c>
      <c r="AK88" s="273">
        <v>0.95</v>
      </c>
      <c r="AL88" s="157">
        <f>U88*PA_8[[#This Row],[Lost PoA(Wh/m2)]]*84.2%</f>
        <v>1479.9749800000002</v>
      </c>
      <c r="AM88" s="157"/>
    </row>
    <row r="89" spans="1:39">
      <c r="A89" s="153">
        <v>80</v>
      </c>
      <c r="B89" s="154">
        <v>45840</v>
      </c>
      <c r="C89" s="187">
        <f>YEAR(PA_8[[#This Row],[Date]])+IF(MONTH(PA_8[[#This Row],[Date]])&gt;=4,1,0)</f>
        <v>2026</v>
      </c>
      <c r="D89" s="34">
        <f>YEAR(PA_8[[#This Row],[Date]])</f>
        <v>2025</v>
      </c>
      <c r="E89" s="155" t="s">
        <v>339</v>
      </c>
      <c r="F89" s="155" t="s">
        <v>339</v>
      </c>
      <c r="G89" s="175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55" t="s">
        <v>402</v>
      </c>
      <c r="M89" s="35" t="s">
        <v>377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298">
        <f>IFERROR(_xlfn.XLOOKUP(PA_8[[#This Row],[Affected Equipment ]],'Basic Data'!$P:$P,'Basic Data'!$T:$T),"")</f>
        <v>3.0805992323882633E-2</v>
      </c>
      <c r="W89" s="320" t="s">
        <v>344</v>
      </c>
      <c r="X89" s="156" t="s">
        <v>1177</v>
      </c>
      <c r="Y89" s="156" t="s">
        <v>1177</v>
      </c>
      <c r="Z89" s="271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1178</v>
      </c>
      <c r="AI89" s="155" t="s">
        <v>383</v>
      </c>
      <c r="AJ89" s="37">
        <f>IFERROR(PA_8[[#This Row],[Breakdown Time]]*PA_8[[#This Row],[Plant Equivalent Weightage]],"")</f>
        <v>1.951046180512564E-2</v>
      </c>
      <c r="AK89" s="273">
        <v>0.42</v>
      </c>
      <c r="AL89" s="157">
        <f>U89*PA_8[[#This Row],[Lost PoA(Wh/m2)]]*84.2%</f>
        <v>1319.8905720000002</v>
      </c>
      <c r="AM89" s="157"/>
    </row>
    <row r="90" spans="1:39">
      <c r="A90" s="153">
        <v>81</v>
      </c>
      <c r="B90" s="154">
        <v>45840</v>
      </c>
      <c r="C90" s="187">
        <f>YEAR(PA_8[[#This Row],[Date]])+IF(MONTH(PA_8[[#This Row],[Date]])&gt;=4,1,0)</f>
        <v>2026</v>
      </c>
      <c r="D90" s="34">
        <f>YEAR(PA_8[[#This Row],[Date]])</f>
        <v>2025</v>
      </c>
      <c r="E90" s="155" t="s">
        <v>339</v>
      </c>
      <c r="F90" s="155" t="s">
        <v>339</v>
      </c>
      <c r="G90" s="175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55" t="s">
        <v>413</v>
      </c>
      <c r="M90" s="35" t="s">
        <v>365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298">
        <f>IFERROR(_xlfn.XLOOKUP(PA_8[[#This Row],[Affected Equipment ]],'Basic Data'!$P:$P,'Basic Data'!$T:$T),"")</f>
        <v>4.9460732120011563E-2</v>
      </c>
      <c r="W90" s="320" t="s">
        <v>344</v>
      </c>
      <c r="X90" s="156" t="s">
        <v>1177</v>
      </c>
      <c r="Y90" s="156" t="s">
        <v>1177</v>
      </c>
      <c r="Z90" s="271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1178</v>
      </c>
      <c r="AI90" s="155" t="s">
        <v>383</v>
      </c>
      <c r="AJ90" s="37">
        <f>IFERROR(PA_8[[#This Row],[Breakdown Time]]*PA_8[[#This Row],[Plant Equivalent Weightage]],"")</f>
        <v>7.5015443715350863E-2</v>
      </c>
      <c r="AK90" s="273">
        <v>0.99</v>
      </c>
      <c r="AL90" s="157">
        <f>U90*PA_8[[#This Row],[Lost PoA(Wh/m2)]]*84.2%</f>
        <v>4995.1572957000017</v>
      </c>
      <c r="AM90" s="157"/>
    </row>
    <row r="91" spans="1:39">
      <c r="A91" s="153">
        <v>82</v>
      </c>
      <c r="B91" s="154">
        <v>45842</v>
      </c>
      <c r="C91" s="187">
        <f>YEAR(PA_8[[#This Row],[Date]])+IF(MONTH(PA_8[[#This Row],[Date]])&gt;=4,1,0)</f>
        <v>2026</v>
      </c>
      <c r="D91" s="34">
        <f>YEAR(PA_8[[#This Row],[Date]])</f>
        <v>2025</v>
      </c>
      <c r="E91" s="155" t="s">
        <v>339</v>
      </c>
      <c r="F91" s="155" t="s">
        <v>339</v>
      </c>
      <c r="G91" s="175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55" t="s">
        <v>424</v>
      </c>
      <c r="M91" s="35" t="s">
        <v>377</v>
      </c>
      <c r="N91" s="35" t="s">
        <v>378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299">
        <f>IFERROR(_xlfn.XLOOKUP(PA_8[[#This Row],[Affected Equipment ]],'Basic Data'!$P:$P,'Basic Data'!$T:$T),"")</f>
        <v>1.6851141100243491E-2</v>
      </c>
      <c r="W91" s="320" t="s">
        <v>1179</v>
      </c>
      <c r="X91" s="156" t="s">
        <v>1180</v>
      </c>
      <c r="Y91" s="156" t="s">
        <v>1180</v>
      </c>
      <c r="Z91" s="271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1181</v>
      </c>
      <c r="AI91" s="155" t="s">
        <v>383</v>
      </c>
      <c r="AJ91" s="37">
        <f>IFERROR(PA_8[[#This Row],[Breakdown Time]]*PA_8[[#This Row],[Plant Equivalent Weightage]],"")</f>
        <v>3.0893758683779735E-2</v>
      </c>
      <c r="AK91" s="273">
        <v>0.92</v>
      </c>
      <c r="AL91" s="157">
        <f>U91*PA_8[[#This Row],[Lost PoA(Wh/m2)]]*84.2%</f>
        <v>1581.5050240000003</v>
      </c>
      <c r="AM91" s="157"/>
    </row>
    <row r="92" spans="1:39">
      <c r="A92" s="153">
        <v>83</v>
      </c>
      <c r="B92" s="154">
        <v>45843</v>
      </c>
      <c r="C92" s="187">
        <f>YEAR(PA_8[[#This Row],[Date]])+IF(MONTH(PA_8[[#This Row],[Date]])&gt;=4,1,0)</f>
        <v>2026</v>
      </c>
      <c r="D92" s="34">
        <f>YEAR(PA_8[[#This Row],[Date]])</f>
        <v>2025</v>
      </c>
      <c r="E92" s="155" t="s">
        <v>339</v>
      </c>
      <c r="F92" s="155" t="s">
        <v>339</v>
      </c>
      <c r="G92" s="175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55" t="s">
        <v>384</v>
      </c>
      <c r="M92" s="35"/>
      <c r="N92" s="35"/>
      <c r="O92" s="38"/>
      <c r="P92" s="35"/>
      <c r="Q92" s="35" t="s">
        <v>369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8911.4500000000007</v>
      </c>
      <c r="V92" s="299">
        <f>IFERROR(_xlfn.XLOOKUP(PA_8[[#This Row],[Affected Equipment ]],'Basic Data'!$P:$P,'Basic Data'!$T:$T),"")</f>
        <v>7.3554124881350338E-2</v>
      </c>
      <c r="W92" s="320" t="s">
        <v>344</v>
      </c>
      <c r="X92" s="156" t="s">
        <v>1182</v>
      </c>
      <c r="Y92" s="156" t="s">
        <v>1183</v>
      </c>
      <c r="Z92" s="271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1184</v>
      </c>
      <c r="AI92" s="155" t="s">
        <v>383</v>
      </c>
      <c r="AJ92" s="37">
        <f>IFERROR(PA_8[[#This Row],[Breakdown Time]]*PA_8[[#This Row],[Plant Equivalent Weightage]],"")</f>
        <v>2.4518041627116693E-2</v>
      </c>
      <c r="AK92" s="273">
        <v>0.25</v>
      </c>
      <c r="AL92" s="157">
        <f>U92*PA_8[[#This Row],[Lost PoA(Wh/m2)]]*84.2%</f>
        <v>1875.8602250000004</v>
      </c>
      <c r="AM92" s="157"/>
    </row>
    <row r="93" spans="1:39">
      <c r="A93" s="153">
        <v>84</v>
      </c>
      <c r="B93" s="154">
        <v>45843</v>
      </c>
      <c r="C93" s="187">
        <f>YEAR(PA_8[[#This Row],[Date]])+IF(MONTH(PA_8[[#This Row],[Date]])&gt;=4,1,0)</f>
        <v>2026</v>
      </c>
      <c r="D93" s="34">
        <f>YEAR(PA_8[[#This Row],[Date]])</f>
        <v>2025</v>
      </c>
      <c r="E93" s="155" t="s">
        <v>339</v>
      </c>
      <c r="F93" s="155" t="s">
        <v>339</v>
      </c>
      <c r="G93" s="175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55" t="s">
        <v>439</v>
      </c>
      <c r="M93" s="35"/>
      <c r="N93" s="35"/>
      <c r="O93" s="38"/>
      <c r="P93" s="35"/>
      <c r="Q93" s="35" t="s">
        <v>369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8906.48</v>
      </c>
      <c r="V93" s="299">
        <f>IFERROR(_xlfn.XLOOKUP(PA_8[[#This Row],[Affected Equipment ]],'Basic Data'!$P:$P,'Basic Data'!$T:$T),"")</f>
        <v>7.351310304981222E-2</v>
      </c>
      <c r="W93" s="320" t="s">
        <v>344</v>
      </c>
      <c r="X93" s="156" t="s">
        <v>1185</v>
      </c>
      <c r="Y93" s="156" t="s">
        <v>1185</v>
      </c>
      <c r="Z93" s="271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1184</v>
      </c>
      <c r="AI93" s="155" t="s">
        <v>383</v>
      </c>
      <c r="AJ93" s="37">
        <f>IFERROR(PA_8[[#This Row],[Breakdown Time]]*PA_8[[#This Row],[Plant Equivalent Weightage]],"")</f>
        <v>4.7783516982377969E-2</v>
      </c>
      <c r="AK93" s="273">
        <v>0.04</v>
      </c>
      <c r="AL93" s="157">
        <f>U93*PA_8[[#This Row],[Lost PoA(Wh/m2)]]*84.2%</f>
        <v>299.97024640000001</v>
      </c>
      <c r="AM93" s="157"/>
    </row>
    <row r="94" spans="1:39">
      <c r="A94" s="153">
        <v>85</v>
      </c>
      <c r="B94" s="154">
        <v>45843</v>
      </c>
      <c r="C94" s="187">
        <f>YEAR(PA_8[[#This Row],[Date]])+IF(MONTH(PA_8[[#This Row],[Date]])&gt;=4,1,0)</f>
        <v>2026</v>
      </c>
      <c r="D94" s="34">
        <f>YEAR(PA_8[[#This Row],[Date]])</f>
        <v>2025</v>
      </c>
      <c r="E94" s="155" t="s">
        <v>339</v>
      </c>
      <c r="F94" s="155" t="s">
        <v>339</v>
      </c>
      <c r="G94" s="175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55" t="s">
        <v>391</v>
      </c>
      <c r="M94" s="35" t="s">
        <v>365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3865.9049999999997</v>
      </c>
      <c r="V94" s="299">
        <f>IFERROR(_xlfn.XLOOKUP(PA_8[[#This Row],[Affected Equipment ]],'Basic Data'!$P:$P,'Basic Data'!$T:$T),"")</f>
        <v>3.1908753249969043E-2</v>
      </c>
      <c r="W94" s="320" t="s">
        <v>344</v>
      </c>
      <c r="X94" s="156" t="s">
        <v>1186</v>
      </c>
      <c r="Y94" s="156" t="s">
        <v>1186</v>
      </c>
      <c r="Z94" s="271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1187</v>
      </c>
      <c r="AI94" s="155" t="s">
        <v>383</v>
      </c>
      <c r="AJ94" s="37">
        <f>IFERROR(PA_8[[#This Row],[Breakdown Time]]*PA_8[[#This Row],[Plant Equivalent Weightage]],"")</f>
        <v>4.7863129874953399E-3</v>
      </c>
      <c r="AK94" s="273">
        <v>0.09</v>
      </c>
      <c r="AL94" s="157">
        <f>U94*PA_8[[#This Row],[Lost PoA(Wh/m2)]]*84.2%</f>
        <v>292.95828090000003</v>
      </c>
      <c r="AM94" s="157"/>
    </row>
    <row r="95" spans="1:39">
      <c r="A95" s="153">
        <v>86</v>
      </c>
      <c r="B95" s="154">
        <v>45843</v>
      </c>
      <c r="C95" s="187">
        <f>YEAR(PA_8[[#This Row],[Date]])+IF(MONTH(PA_8[[#This Row],[Date]])&gt;=4,1,0)</f>
        <v>2026</v>
      </c>
      <c r="D95" s="34">
        <f>YEAR(PA_8[[#This Row],[Date]])</f>
        <v>2025</v>
      </c>
      <c r="E95" s="155" t="s">
        <v>339</v>
      </c>
      <c r="F95" s="155" t="s">
        <v>339</v>
      </c>
      <c r="G95" s="175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55" t="s">
        <v>391</v>
      </c>
      <c r="M95" s="35" t="s">
        <v>377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4409.0500000000011</v>
      </c>
      <c r="V95" s="299">
        <f>IFERROR(_xlfn.XLOOKUP(PA_8[[#This Row],[Affected Equipment ]],'Basic Data'!$P:$P,'Basic Data'!$T:$T),"")</f>
        <v>3.6391812141471677E-2</v>
      </c>
      <c r="W95" s="320" t="s">
        <v>344</v>
      </c>
      <c r="X95" s="156" t="s">
        <v>1186</v>
      </c>
      <c r="Y95" s="156" t="s">
        <v>1186</v>
      </c>
      <c r="Z95" s="271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1187</v>
      </c>
      <c r="AI95" s="155" t="s">
        <v>383</v>
      </c>
      <c r="AJ95" s="37">
        <f>IFERROR(PA_8[[#This Row],[Breakdown Time]]*PA_8[[#This Row],[Plant Equivalent Weightage]],"")</f>
        <v>5.4587718212207323E-3</v>
      </c>
      <c r="AK95" s="273">
        <v>0.09</v>
      </c>
      <c r="AL95" s="157">
        <f>U95*PA_8[[#This Row],[Lost PoA(Wh/m2)]]*84.2%</f>
        <v>334.11780900000008</v>
      </c>
      <c r="AM95" s="157"/>
    </row>
    <row r="96" spans="1:39" ht="15.75" customHeight="1">
      <c r="A96" s="153">
        <v>87</v>
      </c>
      <c r="B96" s="154">
        <v>45843</v>
      </c>
      <c r="C96" s="187">
        <f>YEAR(PA_8[[#This Row],[Date]])+IF(MONTH(PA_8[[#This Row],[Date]])&gt;=4,1,0)</f>
        <v>2026</v>
      </c>
      <c r="D96" s="34">
        <f>YEAR(PA_8[[#This Row],[Date]])</f>
        <v>2025</v>
      </c>
      <c r="E96" s="155" t="s">
        <v>339</v>
      </c>
      <c r="F96" s="155" t="s">
        <v>339</v>
      </c>
      <c r="G96" s="175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55" t="s">
        <v>424</v>
      </c>
      <c r="M96" s="35" t="s">
        <v>377</v>
      </c>
      <c r="N96" s="35" t="s">
        <v>378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299">
        <f>IFERROR(_xlfn.XLOOKUP(PA_8[[#This Row],[Affected Equipment ]],'Basic Data'!$P:$P,'Basic Data'!$T:$T),"")</f>
        <v>1.6851141100243491E-2</v>
      </c>
      <c r="W96" s="320" t="s">
        <v>1179</v>
      </c>
      <c r="X96" s="156" t="s">
        <v>1188</v>
      </c>
      <c r="Y96" s="156" t="s">
        <v>1188</v>
      </c>
      <c r="Z96" s="271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1189</v>
      </c>
      <c r="AI96" s="155" t="s">
        <v>375</v>
      </c>
      <c r="AJ96" s="37">
        <f>IFERROR(PA_8[[#This Row],[Breakdown Time]]*PA_8[[#This Row],[Plant Equivalent Weightage]],"")</f>
        <v>0.20502221671962911</v>
      </c>
      <c r="AK96" s="273">
        <v>3.24</v>
      </c>
      <c r="AL96" s="157">
        <f>U96*PA_8[[#This Row],[Lost PoA(Wh/m2)]]*84.2%</f>
        <v>5569.6481280000007</v>
      </c>
      <c r="AM96" s="157"/>
    </row>
    <row r="97" spans="1:39">
      <c r="A97" s="153">
        <v>88</v>
      </c>
      <c r="B97" s="154">
        <v>45844</v>
      </c>
      <c r="C97" s="187">
        <f>YEAR(PA_8[[#This Row],[Date]])+IF(MONTH(PA_8[[#This Row],[Date]])&gt;=4,1,0)</f>
        <v>2026</v>
      </c>
      <c r="D97" s="34">
        <f>YEAR(PA_8[[#This Row],[Date]])</f>
        <v>2025</v>
      </c>
      <c r="E97" s="155" t="s">
        <v>339</v>
      </c>
      <c r="F97" s="155" t="s">
        <v>339</v>
      </c>
      <c r="G97" s="175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55" t="s">
        <v>424</v>
      </c>
      <c r="M97" s="35" t="s">
        <v>377</v>
      </c>
      <c r="N97" s="35" t="s">
        <v>366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478.5</v>
      </c>
      <c r="V97" s="299">
        <f>IFERROR(_xlfn.XLOOKUP(PA_8[[#This Row],[Affected Equipment ]],'Basic Data'!$P:$P,'Basic Data'!$T:$T),"")</f>
        <v>3.9494861953695681E-3</v>
      </c>
      <c r="W97" s="320" t="s">
        <v>1179</v>
      </c>
      <c r="X97" s="156" t="s">
        <v>1188</v>
      </c>
      <c r="Y97" s="156" t="s">
        <v>1188</v>
      </c>
      <c r="Z97" s="271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1189</v>
      </c>
      <c r="AI97" s="155" t="s">
        <v>375</v>
      </c>
      <c r="AJ97" s="37">
        <f>IFERROR(PA_8[[#This Row],[Breakdown Time]]*PA_8[[#This Row],[Plant Equivalent Weightage]],"")</f>
        <v>4.8052082043663076E-2</v>
      </c>
      <c r="AK97" s="273">
        <v>3.04</v>
      </c>
      <c r="AL97" s="157">
        <f>U97*PA_8[[#This Row],[Lost PoA(Wh/m2)]]*84.2%</f>
        <v>1224.8068800000001</v>
      </c>
      <c r="AM97" s="157"/>
    </row>
    <row r="98" spans="1:39">
      <c r="A98" s="153">
        <v>89</v>
      </c>
      <c r="B98" s="154">
        <v>45844</v>
      </c>
      <c r="C98" s="187">
        <f>YEAR(PA_8[[#This Row],[Date]])+IF(MONTH(PA_8[[#This Row],[Date]])&gt;=4,1,0)</f>
        <v>2026</v>
      </c>
      <c r="D98" s="34">
        <f>YEAR(PA_8[[#This Row],[Date]])</f>
        <v>2025</v>
      </c>
      <c r="E98" s="155" t="s">
        <v>339</v>
      </c>
      <c r="F98" s="155" t="s">
        <v>339</v>
      </c>
      <c r="G98" s="175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55" t="s">
        <v>424</v>
      </c>
      <c r="M98" s="35" t="s">
        <v>377</v>
      </c>
      <c r="N98" s="35" t="s">
        <v>378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299">
        <f>IFERROR(_xlfn.XLOOKUP(PA_8[[#This Row],[Affected Equipment ]],'Basic Data'!$P:$P,'Basic Data'!$T:$T),"")</f>
        <v>1.6851141100243491E-2</v>
      </c>
      <c r="W98" s="320" t="s">
        <v>1179</v>
      </c>
      <c r="X98" s="156" t="s">
        <v>1188</v>
      </c>
      <c r="Y98" s="156" t="s">
        <v>1188</v>
      </c>
      <c r="Z98" s="271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1189</v>
      </c>
      <c r="AI98" s="155" t="s">
        <v>375</v>
      </c>
      <c r="AJ98" s="37">
        <f>IFERROR(PA_8[[#This Row],[Breakdown Time]]*PA_8[[#This Row],[Plant Equivalent Weightage]],"")</f>
        <v>0.20502221671962911</v>
      </c>
      <c r="AK98" s="273">
        <v>3.04</v>
      </c>
      <c r="AL98" s="157">
        <f>U98*PA_8[[#This Row],[Lost PoA(Wh/m2)]]*84.2%</f>
        <v>5225.8426880000015</v>
      </c>
      <c r="AM98" s="157"/>
    </row>
    <row r="99" spans="1:39">
      <c r="A99" s="153">
        <v>90</v>
      </c>
      <c r="B99" s="154">
        <v>45844</v>
      </c>
      <c r="C99" s="187">
        <f>YEAR(PA_8[[#This Row],[Date]])+IF(MONTH(PA_8[[#This Row],[Date]])&gt;=4,1,0)</f>
        <v>2026</v>
      </c>
      <c r="D99" s="34">
        <f>YEAR(PA_8[[#This Row],[Date]])</f>
        <v>2025</v>
      </c>
      <c r="E99" s="155" t="s">
        <v>339</v>
      </c>
      <c r="F99" s="155" t="s">
        <v>339</v>
      </c>
      <c r="G99" s="175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55" t="s">
        <v>424</v>
      </c>
      <c r="M99" s="35" t="s">
        <v>365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2583.9</v>
      </c>
      <c r="V99" s="299">
        <f>IFERROR(_xlfn.XLOOKUP(PA_8[[#This Row],[Affected Equipment ]],'Basic Data'!$P:$P,'Basic Data'!$T:$T),"")</f>
        <v>2.1327225454995668E-2</v>
      </c>
      <c r="W99" s="320" t="s">
        <v>344</v>
      </c>
      <c r="X99" s="156" t="s">
        <v>1188</v>
      </c>
      <c r="Y99" s="156" t="s">
        <v>1188</v>
      </c>
      <c r="Z99" s="271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1189</v>
      </c>
      <c r="AI99" s="155" t="s">
        <v>375</v>
      </c>
      <c r="AJ99" s="37">
        <f>IFERROR(PA_8[[#This Row],[Breakdown Time]]*PA_8[[#This Row],[Plant Equivalent Weightage]],"")</f>
        <v>0.25948124303578063</v>
      </c>
      <c r="AK99" s="273">
        <v>3.04</v>
      </c>
      <c r="AL99" s="157">
        <f>U99*PA_8[[#This Row],[Lost PoA(Wh/m2)]]*84.2%</f>
        <v>6613.9571520000009</v>
      </c>
      <c r="AM99" s="157"/>
    </row>
    <row r="100" spans="1:39">
      <c r="A100" s="153">
        <v>91</v>
      </c>
      <c r="B100" s="154">
        <v>45844</v>
      </c>
      <c r="C100" s="187">
        <f>YEAR(PA_8[[#This Row],[Date]])+IF(MONTH(PA_8[[#This Row],[Date]])&gt;=4,1,0)</f>
        <v>2026</v>
      </c>
      <c r="D100" s="34">
        <f>YEAR(PA_8[[#This Row],[Date]])</f>
        <v>2025</v>
      </c>
      <c r="E100" s="155" t="s">
        <v>339</v>
      </c>
      <c r="F100" s="155" t="s">
        <v>339</v>
      </c>
      <c r="G100" s="175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55" t="s">
        <v>424</v>
      </c>
      <c r="M100" s="35" t="s">
        <v>365</v>
      </c>
      <c r="N100" s="35" t="s">
        <v>366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1914</v>
      </c>
      <c r="V100" s="299">
        <f>IFERROR(_xlfn.XLOOKUP(PA_8[[#This Row],[Affected Equipment ]],'Basic Data'!$P:$P,'Basic Data'!$T:$T),"")</f>
        <v>1.5797944781478272E-2</v>
      </c>
      <c r="W100" s="320" t="s">
        <v>344</v>
      </c>
      <c r="X100" s="156" t="s">
        <v>1190</v>
      </c>
      <c r="Y100" s="156" t="s">
        <v>1191</v>
      </c>
      <c r="Z100" s="271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1192</v>
      </c>
      <c r="AI100" s="155" t="s">
        <v>383</v>
      </c>
      <c r="AJ100" s="37">
        <f>IFERROR(PA_8[[#This Row],[Breakdown Time]]*PA_8[[#This Row],[Plant Equivalent Weightage]],"")</f>
        <v>2.8962898766043479E-2</v>
      </c>
      <c r="AK100" s="273">
        <v>0.34</v>
      </c>
      <c r="AL100" s="157">
        <f>U100*PA_8[[#This Row],[Lost PoA(Wh/m2)]]*84.2%</f>
        <v>547.93992000000003</v>
      </c>
      <c r="AM100" s="157"/>
    </row>
    <row r="101" spans="1:39">
      <c r="A101" s="153">
        <v>92</v>
      </c>
      <c r="B101" s="154">
        <v>45844</v>
      </c>
      <c r="C101" s="187">
        <f>YEAR(PA_8[[#This Row],[Date]])+IF(MONTH(PA_8[[#This Row],[Date]])&gt;=4,1,0)</f>
        <v>2026</v>
      </c>
      <c r="D101" s="34">
        <f>YEAR(PA_8[[#This Row],[Date]])</f>
        <v>2025</v>
      </c>
      <c r="E101" s="155" t="s">
        <v>339</v>
      </c>
      <c r="F101" s="155" t="s">
        <v>339</v>
      </c>
      <c r="G101" s="175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55" t="s">
        <v>424</v>
      </c>
      <c r="M101" s="35" t="s">
        <v>365</v>
      </c>
      <c r="N101" s="35" t="s">
        <v>378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669.90000000000009</v>
      </c>
      <c r="V101" s="299">
        <f>IFERROR(_xlfn.XLOOKUP(PA_8[[#This Row],[Affected Equipment ]],'Basic Data'!$P:$P,'Basic Data'!$T:$T),"")</f>
        <v>5.5292806735173956E-3</v>
      </c>
      <c r="W101" s="320" t="s">
        <v>344</v>
      </c>
      <c r="X101" s="156" t="s">
        <v>1190</v>
      </c>
      <c r="Y101" s="156" t="s">
        <v>1191</v>
      </c>
      <c r="Z101" s="271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1192</v>
      </c>
      <c r="AI101" s="155" t="s">
        <v>383</v>
      </c>
      <c r="AJ101" s="37">
        <f>IFERROR(PA_8[[#This Row],[Breakdown Time]]*PA_8[[#This Row],[Plant Equivalent Weightage]],"")</f>
        <v>1.013701456811522E-2</v>
      </c>
      <c r="AK101" s="273">
        <v>0.34</v>
      </c>
      <c r="AL101" s="157">
        <f>U101*PA_8[[#This Row],[Lost PoA(Wh/m2)]]*84.2%</f>
        <v>191.77897200000007</v>
      </c>
      <c r="AM101" s="157"/>
    </row>
    <row r="102" spans="1:39">
      <c r="A102" s="153">
        <v>93</v>
      </c>
      <c r="B102" s="154">
        <v>45845</v>
      </c>
      <c r="C102" s="187">
        <f>YEAR(PA_8[[#This Row],[Date]])+IF(MONTH(PA_8[[#This Row],[Date]])&gt;=4,1,0)</f>
        <v>2026</v>
      </c>
      <c r="D102" s="34">
        <f>YEAR(PA_8[[#This Row],[Date]])</f>
        <v>2025</v>
      </c>
      <c r="E102" s="155" t="s">
        <v>339</v>
      </c>
      <c r="F102" s="155" t="s">
        <v>339</v>
      </c>
      <c r="G102" s="175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55" t="s">
        <v>402</v>
      </c>
      <c r="M102" s="35" t="s">
        <v>377</v>
      </c>
      <c r="N102" s="35" t="s">
        <v>366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299">
        <f>IFERROR(_xlfn.XLOOKUP(PA_8[[#This Row],[Affected Equipment ]],'Basic Data'!$P:$P,'Basic Data'!$T:$T),"")</f>
        <v>1.5534645701786967E-2</v>
      </c>
      <c r="W102" s="320" t="s">
        <v>1179</v>
      </c>
      <c r="X102" s="156" t="s">
        <v>1193</v>
      </c>
      <c r="Y102" s="156" t="s">
        <v>1193</v>
      </c>
      <c r="Z102" s="271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1194</v>
      </c>
      <c r="AI102" s="155" t="s">
        <v>383</v>
      </c>
      <c r="AJ102" s="37">
        <f>IFERROR(PA_8[[#This Row],[Breakdown Time]]*PA_8[[#This Row],[Plant Equivalent Weightage]],"")</f>
        <v>5.696036757321909E-3</v>
      </c>
      <c r="AK102" s="273">
        <v>0.02</v>
      </c>
      <c r="AL102" s="157">
        <f>U102*PA_8[[#This Row],[Lost PoA(Wh/m2)]]*84.2%</f>
        <v>31.694564</v>
      </c>
      <c r="AM102" s="157"/>
    </row>
    <row r="103" spans="1:39">
      <c r="A103" s="153">
        <v>94</v>
      </c>
      <c r="B103" s="154">
        <v>45845</v>
      </c>
      <c r="C103" s="187">
        <f>YEAR(PA_8[[#This Row],[Date]])+IF(MONTH(PA_8[[#This Row],[Date]])&gt;=4,1,0)</f>
        <v>2026</v>
      </c>
      <c r="D103" s="34">
        <f>YEAR(PA_8[[#This Row],[Date]])</f>
        <v>2025</v>
      </c>
      <c r="E103" s="155" t="s">
        <v>339</v>
      </c>
      <c r="F103" s="155" t="s">
        <v>339</v>
      </c>
      <c r="G103" s="175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55" t="s">
        <v>402</v>
      </c>
      <c r="M103" s="35" t="s">
        <v>377</v>
      </c>
      <c r="N103" s="35" t="s">
        <v>378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299">
        <f>IFERROR(_xlfn.XLOOKUP(PA_8[[#This Row],[Affected Equipment ]],'Basic Data'!$P:$P,'Basic Data'!$T:$T),"")</f>
        <v>1.5271346622095663E-2</v>
      </c>
      <c r="W103" s="320" t="s">
        <v>1179</v>
      </c>
      <c r="X103" s="156" t="s">
        <v>1193</v>
      </c>
      <c r="Y103" s="156" t="s">
        <v>1193</v>
      </c>
      <c r="Z103" s="271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1194</v>
      </c>
      <c r="AI103" s="155" t="s">
        <v>383</v>
      </c>
      <c r="AJ103" s="37">
        <f>IFERROR(PA_8[[#This Row],[Breakdown Time]]*PA_8[[#This Row],[Plant Equivalent Weightage]],"")</f>
        <v>1.3489689516184495E-2</v>
      </c>
      <c r="AK103" s="273">
        <v>0.14000000000000001</v>
      </c>
      <c r="AL103" s="157">
        <f>U103*PA_8[[#This Row],[Lost PoA(Wh/m2)]]*84.2%</f>
        <v>218.10157600000005</v>
      </c>
      <c r="AM103" s="157"/>
    </row>
    <row r="104" spans="1:39">
      <c r="A104" s="153">
        <v>95</v>
      </c>
      <c r="B104" s="154">
        <v>45846</v>
      </c>
      <c r="C104" s="187">
        <f>YEAR(PA_8[[#This Row],[Date]])+IF(MONTH(PA_8[[#This Row],[Date]])&gt;=4,1,0)</f>
        <v>2026</v>
      </c>
      <c r="D104" s="34">
        <f>YEAR(PA_8[[#This Row],[Date]])</f>
        <v>2025</v>
      </c>
      <c r="E104" s="155" t="s">
        <v>339</v>
      </c>
      <c r="F104" s="155" t="s">
        <v>339</v>
      </c>
      <c r="G104" s="175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55" t="s">
        <v>424</v>
      </c>
      <c r="M104" s="35" t="s">
        <v>377</v>
      </c>
      <c r="N104" s="35" t="s">
        <v>366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478.5</v>
      </c>
      <c r="V104" s="299">
        <f>IFERROR(_xlfn.XLOOKUP(PA_8[[#This Row],[Affected Equipment ]],'Basic Data'!$P:$P,'Basic Data'!$T:$T),"")</f>
        <v>3.9494861953695681E-3</v>
      </c>
      <c r="W104" s="320" t="s">
        <v>1179</v>
      </c>
      <c r="X104" s="156" t="s">
        <v>1193</v>
      </c>
      <c r="Y104" s="156" t="s">
        <v>1193</v>
      </c>
      <c r="Z104" s="271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1195</v>
      </c>
      <c r="AI104" s="155" t="s">
        <v>383</v>
      </c>
      <c r="AJ104" s="37">
        <f>IFERROR(PA_8[[#This Row],[Breakdown Time]]*PA_8[[#This Row],[Plant Equivalent Weightage]],"")</f>
        <v>8.7546943997358767E-3</v>
      </c>
      <c r="AK104" s="273">
        <v>0.53</v>
      </c>
      <c r="AL104" s="157">
        <f>U104*PA_8[[#This Row],[Lost PoA(Wh/m2)]]*84.2%</f>
        <v>213.53541000000004</v>
      </c>
      <c r="AM104" s="157"/>
    </row>
    <row r="105" spans="1:39">
      <c r="A105" s="153">
        <v>96</v>
      </c>
      <c r="B105" s="154">
        <v>45846</v>
      </c>
      <c r="C105" s="187">
        <f>YEAR(PA_8[[#This Row],[Date]])+IF(MONTH(PA_8[[#This Row],[Date]])&gt;=4,1,0)</f>
        <v>2026</v>
      </c>
      <c r="D105" s="34">
        <f>YEAR(PA_8[[#This Row],[Date]])</f>
        <v>2025</v>
      </c>
      <c r="E105" s="155" t="s">
        <v>339</v>
      </c>
      <c r="F105" s="155" t="s">
        <v>339</v>
      </c>
      <c r="G105" s="175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55" t="s">
        <v>424</v>
      </c>
      <c r="M105" s="35" t="s">
        <v>377</v>
      </c>
      <c r="N105" s="35" t="s">
        <v>378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299">
        <f>IFERROR(_xlfn.XLOOKUP(PA_8[[#This Row],[Affected Equipment ]],'Basic Data'!$P:$P,'Basic Data'!$T:$T),"")</f>
        <v>1.6851141100243491E-2</v>
      </c>
      <c r="W105" s="320" t="s">
        <v>1179</v>
      </c>
      <c r="X105" s="156" t="s">
        <v>1196</v>
      </c>
      <c r="Y105" s="156" t="s">
        <v>1196</v>
      </c>
      <c r="Z105" s="271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1197</v>
      </c>
      <c r="AI105" s="155" t="s">
        <v>383</v>
      </c>
      <c r="AJ105" s="37">
        <f>IFERROR(PA_8[[#This Row],[Breakdown Time]]*PA_8[[#This Row],[Plant Equivalent Weightage]],"")</f>
        <v>1.0672389363487552E-2</v>
      </c>
      <c r="AK105" s="273">
        <v>0.14000000000000001</v>
      </c>
      <c r="AL105" s="157">
        <f>U105*PA_8[[#This Row],[Lost PoA(Wh/m2)]]*84.2%</f>
        <v>240.66380800000007</v>
      </c>
      <c r="AM105" s="157"/>
    </row>
    <row r="106" spans="1:39" ht="14.25" customHeight="1">
      <c r="A106" s="153">
        <v>97</v>
      </c>
      <c r="B106" s="154">
        <v>45846</v>
      </c>
      <c r="C106" s="187">
        <f>YEAR(PA_8[[#This Row],[Date]])+IF(MONTH(PA_8[[#This Row],[Date]])&gt;=4,1,0)</f>
        <v>2026</v>
      </c>
      <c r="D106" s="34">
        <f>YEAR(PA_8[[#This Row],[Date]])</f>
        <v>2025</v>
      </c>
      <c r="E106" s="155" t="s">
        <v>339</v>
      </c>
      <c r="F106" s="155" t="s">
        <v>339</v>
      </c>
      <c r="G106" s="175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55" t="s">
        <v>402</v>
      </c>
      <c r="M106" s="35" t="s">
        <v>377</v>
      </c>
      <c r="N106" s="35" t="s">
        <v>378</v>
      </c>
      <c r="O106" s="38" t="s">
        <v>404</v>
      </c>
      <c r="P106" s="35" t="s">
        <v>380</v>
      </c>
      <c r="Q106" s="35" t="s">
        <v>406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299">
        <f>IFERROR(_xlfn.XLOOKUP(PA_8[[#This Row],[Affected Equipment ]],'Basic Data'!$P:$P,'Basic Data'!$T:$T),"")</f>
        <v>1.3045272584705542E-4</v>
      </c>
      <c r="W106" s="320" t="s">
        <v>1126</v>
      </c>
      <c r="X106" s="156" t="s">
        <v>1198</v>
      </c>
      <c r="Y106" s="156" t="s">
        <v>1198</v>
      </c>
      <c r="Z106" s="271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1199</v>
      </c>
      <c r="AI106" s="155" t="s">
        <v>383</v>
      </c>
      <c r="AJ106" s="37">
        <f>IFERROR(PA_8[[#This Row],[Breakdown Time]]*PA_8[[#This Row],[Plant Equivalent Weightage]],"")</f>
        <v>1.4132378633431003E-3</v>
      </c>
      <c r="AK106" s="273">
        <v>2</v>
      </c>
      <c r="AL106" s="157">
        <f>U106*PA_8[[#This Row],[Lost PoA(Wh/m2)]]*84.2%</f>
        <v>26.615620000000003</v>
      </c>
      <c r="AM106" s="157"/>
    </row>
    <row r="107" spans="1:39">
      <c r="A107" s="153">
        <v>98</v>
      </c>
      <c r="B107" s="154">
        <v>45849</v>
      </c>
      <c r="C107" s="187">
        <f>YEAR(PA_8[[#This Row],[Date]])+IF(MONTH(PA_8[[#This Row],[Date]])&gt;=4,1,0)</f>
        <v>2026</v>
      </c>
      <c r="D107" s="34">
        <f>YEAR(PA_8[[#This Row],[Date]])</f>
        <v>2025</v>
      </c>
      <c r="E107" s="155" t="s">
        <v>339</v>
      </c>
      <c r="F107" s="155" t="s">
        <v>339</v>
      </c>
      <c r="G107" s="175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55" t="s">
        <v>364</v>
      </c>
      <c r="M107" s="35" t="s">
        <v>377</v>
      </c>
      <c r="N107" s="35" t="s">
        <v>366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299">
        <f>IFERROR(_xlfn.XLOOKUP(PA_8[[#This Row],[Affected Equipment ]],'Basic Data'!$P:$P,'Basic Data'!$T:$T),"")</f>
        <v>1.2880112252899178E-2</v>
      </c>
      <c r="W107" s="320" t="s">
        <v>1179</v>
      </c>
      <c r="X107" s="156" t="s">
        <v>1193</v>
      </c>
      <c r="Y107" s="156" t="s">
        <v>1193</v>
      </c>
      <c r="Z107" s="271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1200</v>
      </c>
      <c r="AI107" s="155" t="s">
        <v>383</v>
      </c>
      <c r="AJ107" s="37">
        <f>IFERROR(PA_8[[#This Row],[Breakdown Time]]*PA_8[[#This Row],[Plant Equivalent Weightage]],"")</f>
        <v>2.3613539130315077E-3</v>
      </c>
      <c r="AK107" s="273">
        <v>0.23</v>
      </c>
      <c r="AL107" s="157">
        <f>U107*PA_8[[#This Row],[Lost PoA(Wh/m2)]]*84.2%</f>
        <v>302.20449340000005</v>
      </c>
      <c r="AM107" s="157"/>
    </row>
    <row r="108" spans="1:39">
      <c r="A108" s="153">
        <v>99</v>
      </c>
      <c r="B108" s="154">
        <v>45849</v>
      </c>
      <c r="C108" s="187">
        <f>YEAR(PA_8[[#This Row],[Date]])+IF(MONTH(PA_8[[#This Row],[Date]])&gt;=4,1,0)</f>
        <v>2026</v>
      </c>
      <c r="D108" s="34">
        <f>YEAR(PA_8[[#This Row],[Date]])</f>
        <v>2025</v>
      </c>
      <c r="E108" s="155" t="s">
        <v>339</v>
      </c>
      <c r="F108" s="155" t="s">
        <v>339</v>
      </c>
      <c r="G108" s="175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55" t="s">
        <v>364</v>
      </c>
      <c r="M108" s="35" t="s">
        <v>377</v>
      </c>
      <c r="N108" s="35" t="s">
        <v>378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1582.53</v>
      </c>
      <c r="V108" s="299">
        <f>IFERROR(_xlfn.XLOOKUP(PA_8[[#This Row],[Affected Equipment ]],'Basic Data'!$P:$P,'Basic Data'!$T:$T),"")</f>
        <v>1.3062027980685897E-2</v>
      </c>
      <c r="W108" s="320" t="s">
        <v>1179</v>
      </c>
      <c r="X108" s="156" t="s">
        <v>1193</v>
      </c>
      <c r="Y108" s="156" t="s">
        <v>1193</v>
      </c>
      <c r="Z108" s="271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1201</v>
      </c>
      <c r="AI108" s="155" t="s">
        <v>383</v>
      </c>
      <c r="AJ108" s="37">
        <f>IFERROR(PA_8[[#This Row],[Breakdown Time]]*PA_8[[#This Row],[Plant Equivalent Weightage]],"")</f>
        <v>3.700907927860991E-3</v>
      </c>
      <c r="AK108" s="273">
        <v>0.32</v>
      </c>
      <c r="AL108" s="157">
        <f>U108*PA_8[[#This Row],[Lost PoA(Wh/m2)]]*84.2%</f>
        <v>426.39688320000005</v>
      </c>
      <c r="AM108" s="157"/>
    </row>
    <row r="109" spans="1:39">
      <c r="A109" s="153">
        <v>100</v>
      </c>
      <c r="B109" s="154">
        <v>45849</v>
      </c>
      <c r="C109" s="187">
        <f>YEAR(PA_8[[#This Row],[Date]])+IF(MONTH(PA_8[[#This Row],[Date]])&gt;=4,1,0)</f>
        <v>2026</v>
      </c>
      <c r="D109" s="34">
        <f>YEAR(PA_8[[#This Row],[Date]])</f>
        <v>2025</v>
      </c>
      <c r="E109" s="155" t="s">
        <v>339</v>
      </c>
      <c r="F109" s="155" t="s">
        <v>339</v>
      </c>
      <c r="G109" s="175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55" t="s">
        <v>364</v>
      </c>
      <c r="M109" s="35" t="s">
        <v>377</v>
      </c>
      <c r="N109" s="35" t="s">
        <v>386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1473.4900000000002</v>
      </c>
      <c r="V109" s="299">
        <f>IFERROR(_xlfn.XLOOKUP(PA_8[[#This Row],[Affected Equipment ]],'Basic Data'!$P:$P,'Basic Data'!$T:$T),"")</f>
        <v>1.2162023853741077E-2</v>
      </c>
      <c r="W109" s="320" t="s">
        <v>1179</v>
      </c>
      <c r="X109" s="156" t="s">
        <v>1193</v>
      </c>
      <c r="Y109" s="156" t="s">
        <v>1193</v>
      </c>
      <c r="Z109" s="271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1200</v>
      </c>
      <c r="AI109" s="155" t="s">
        <v>383</v>
      </c>
      <c r="AJ109" s="37">
        <f>IFERROR(PA_8[[#This Row],[Breakdown Time]]*PA_8[[#This Row],[Plant Equivalent Weightage]],"")</f>
        <v>2.2297043731858562E-3</v>
      </c>
      <c r="AK109" s="273">
        <v>0.23</v>
      </c>
      <c r="AL109" s="157">
        <f>U109*PA_8[[#This Row],[Lost PoA(Wh/m2)]]*84.2%</f>
        <v>285.35607340000013</v>
      </c>
      <c r="AM109" s="157"/>
    </row>
    <row r="110" spans="1:39">
      <c r="A110" s="153">
        <v>101</v>
      </c>
      <c r="B110" s="154">
        <v>45849</v>
      </c>
      <c r="C110" s="187">
        <f>YEAR(PA_8[[#This Row],[Date]])+IF(MONTH(PA_8[[#This Row],[Date]])&gt;=4,1,0)</f>
        <v>2026</v>
      </c>
      <c r="D110" s="34">
        <f>YEAR(PA_8[[#This Row],[Date]])</f>
        <v>2025</v>
      </c>
      <c r="E110" s="155" t="s">
        <v>339</v>
      </c>
      <c r="F110" s="155" t="s">
        <v>339</v>
      </c>
      <c r="G110" s="175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55" t="s">
        <v>364</v>
      </c>
      <c r="M110" s="35" t="s">
        <v>377</v>
      </c>
      <c r="N110" s="35" t="s">
        <v>393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1675.33</v>
      </c>
      <c r="V110" s="299">
        <f>IFERROR(_xlfn.XLOOKUP(PA_8[[#This Row],[Affected Equipment ]],'Basic Data'!$P:$P,'Basic Data'!$T:$T),"")</f>
        <v>1.3827988939787874E-2</v>
      </c>
      <c r="W110" s="320" t="s">
        <v>1179</v>
      </c>
      <c r="X110" s="156" t="s">
        <v>1193</v>
      </c>
      <c r="Y110" s="156" t="s">
        <v>1193</v>
      </c>
      <c r="Z110" s="271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1200</v>
      </c>
      <c r="AI110" s="155" t="s">
        <v>383</v>
      </c>
      <c r="AJ110" s="37">
        <f>IFERROR(PA_8[[#This Row],[Breakdown Time]]*PA_8[[#This Row],[Plant Equivalent Weightage]],"")</f>
        <v>2.5351313056277678E-3</v>
      </c>
      <c r="AK110" s="273">
        <v>0.23</v>
      </c>
      <c r="AL110" s="157">
        <f>U110*PA_8[[#This Row],[Lost PoA(Wh/m2)]]*84.2%</f>
        <v>324.44440780000002</v>
      </c>
      <c r="AM110" s="157"/>
    </row>
    <row r="111" spans="1:39">
      <c r="A111" s="153">
        <v>102</v>
      </c>
      <c r="B111" s="154">
        <v>45849</v>
      </c>
      <c r="C111" s="187">
        <f>YEAR(PA_8[[#This Row],[Date]])+IF(MONTH(PA_8[[#This Row],[Date]])&gt;=4,1,0)</f>
        <v>2026</v>
      </c>
      <c r="D111" s="34">
        <f>YEAR(PA_8[[#This Row],[Date]])</f>
        <v>2025</v>
      </c>
      <c r="E111" s="155" t="s">
        <v>339</v>
      </c>
      <c r="F111" s="155" t="s">
        <v>339</v>
      </c>
      <c r="G111" s="175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55" t="s">
        <v>364</v>
      </c>
      <c r="M111" s="35" t="s">
        <v>377</v>
      </c>
      <c r="N111" s="35" t="s">
        <v>378</v>
      </c>
      <c r="O111" s="38" t="s">
        <v>379</v>
      </c>
      <c r="P111" s="35" t="s">
        <v>400</v>
      </c>
      <c r="Q111" s="35" t="s">
        <v>401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299">
        <f>IFERROR(_xlfn.XLOOKUP(PA_8[[#This Row],[Affected Equipment ]],'Basic Data'!$P:$P,'Basic Data'!$T:$T),"")</f>
        <v>2.6090545169411085E-4</v>
      </c>
      <c r="W111" s="320" t="s">
        <v>1126</v>
      </c>
      <c r="X111" s="156" t="s">
        <v>1202</v>
      </c>
      <c r="Y111" s="156" t="s">
        <v>1203</v>
      </c>
      <c r="Z111" s="271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1204</v>
      </c>
      <c r="AI111" s="155" t="s">
        <v>383</v>
      </c>
      <c r="AJ111" s="37">
        <f>IFERROR(PA_8[[#This Row],[Breakdown Time]]*PA_8[[#This Row],[Plant Equivalent Weightage]],"")</f>
        <v>1.565432710164663E-4</v>
      </c>
      <c r="AK111" s="273">
        <v>0.63</v>
      </c>
      <c r="AL111" s="157">
        <f>U111*PA_8[[#This Row],[Lost PoA(Wh/m2)]]*84.2%</f>
        <v>16.767840600000003</v>
      </c>
      <c r="AM111" s="157"/>
    </row>
    <row r="112" spans="1:39">
      <c r="A112" s="153">
        <v>103</v>
      </c>
      <c r="B112" s="154"/>
      <c r="C112" s="187">
        <f>YEAR(PA_8[[#This Row],[Date]])+IF(MONTH(PA_8[[#This Row],[Date]])&gt;=4,1,0)</f>
        <v>1900</v>
      </c>
      <c r="D112" s="34">
        <f>YEAR(PA_8[[#This Row],[Date]])</f>
        <v>1900</v>
      </c>
      <c r="E112" s="155"/>
      <c r="F112" s="155"/>
      <c r="G112" s="175">
        <f>PA_8[[#This Row],[Date]]-DAY(PA_8[[#This Row],[Date]])+1</f>
        <v>1</v>
      </c>
      <c r="H112" s="34">
        <f>DAY(EOMONTH(PA_8[[#This Row],[Month Year]],0))</f>
        <v>31</v>
      </c>
      <c r="I112" s="36">
        <f>IFERROR(_xlfn.XLOOKUP(PA_8[[#This Row],[Date]],Input_Raw!$A:$A,Input_Raw!F:F),"")</f>
        <v>0</v>
      </c>
      <c r="J112" s="36">
        <f>IFERROR(_xlfn.XLOOKUP(PA_8[[#This Row],[Date]],Input_Raw!$A:$A,Input_Raw!G:G),"")</f>
        <v>0</v>
      </c>
      <c r="K112" s="37">
        <f>IFERROR((PA_8[[#This Row],[Sunset Time (POA&lt;20 W/m2)]]-PA_8[[#This Row],[Sunrise Time (POA&gt;20 W/m2)]])*24,"")</f>
        <v>0</v>
      </c>
      <c r="L112" s="155"/>
      <c r="M112" s="35"/>
      <c r="N112" s="35"/>
      <c r="O112" s="38"/>
      <c r="P112" s="35"/>
      <c r="Q112" s="35"/>
      <c r="R112" s="34">
        <f>IF((PA_8[[#This Row],[String Type(If String BD)]]&amp;PA_8[[#This Row],[Equipment (If any BD other than PV  array and inv)]])="",1,0)</f>
        <v>1</v>
      </c>
      <c r="S112" s="34">
        <f>IF(PA_8[[#This Row],[String Type(If String BD)]]="",1,0)</f>
        <v>1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2" s="37" t="str">
        <f>IFERROR(_xlfn.XLOOKUP(PA_8[[#This Row],[Affected Equipment ]],'Basic Data'!$P:$P,'Basic Data'!$S:$S),"")</f>
        <v/>
      </c>
      <c r="V112" s="299" t="str">
        <f>IFERROR(_xlfn.XLOOKUP(PA_8[[#This Row],[Affected Equipment ]],'Basic Data'!$P:$P,'Basic Data'!$T:$T),"")</f>
        <v/>
      </c>
      <c r="W112" s="320"/>
      <c r="X112" s="156"/>
      <c r="Y112" s="156"/>
      <c r="Z112" s="271"/>
      <c r="AA112" s="39"/>
      <c r="AB112" s="40"/>
      <c r="AC112" s="39"/>
      <c r="AD112" s="41">
        <f>IF(PA_8[[#This Row],[Acknowledgement Time ]]="NA","",(PA_8[[#This Row],[Acknowledgement Time ]]-PA_8[[#This Row],[Fault Time]])*24)</f>
        <v>0</v>
      </c>
      <c r="AE112" s="41">
        <f>IF(PA_8[[#This Row],[Work Start time on Fault]]="NA","",(PA_8[[#This Row],[Work Start time on Fault]]-PA_8[[#This Row],[Fault Time]])*24)</f>
        <v>0</v>
      </c>
      <c r="AF112" s="42">
        <f>IF(PA_8[[#This Row],[Status]]="Open","",(PA_8[[#This Row],[Work Completion time on fault]]-PA_8[[#This Row],[Fault Time]])*24)</f>
        <v>0</v>
      </c>
      <c r="AG112" s="41">
        <f>IFERROR((PA_8[[#This Row],[Work Completion time on fault]]-PA_8[[#This Row],[Fault Time]])*24,"")</f>
        <v>0</v>
      </c>
      <c r="AH112" s="38"/>
      <c r="AI112" s="155"/>
      <c r="AJ112" s="37" t="str">
        <f>IFERROR(PA_8[[#This Row],[Breakdown Time]]*PA_8[[#This Row],[Plant Equivalent Weightage]],"")</f>
        <v/>
      </c>
      <c r="AK112" s="273"/>
      <c r="AL112" s="157" t="e">
        <f>U112*PA_8[[#This Row],[Lost PoA(Wh/m2)]]*84.2%</f>
        <v>#VALUE!</v>
      </c>
      <c r="AM112" s="157"/>
    </row>
    <row r="113" spans="1:39">
      <c r="A113" s="153">
        <v>104</v>
      </c>
      <c r="B113" s="154"/>
      <c r="C113" s="187">
        <f>YEAR(PA_8[[#This Row],[Date]])+IF(MONTH(PA_8[[#This Row],[Date]])&gt;=4,1,0)</f>
        <v>1900</v>
      </c>
      <c r="D113" s="34">
        <f>YEAR(PA_8[[#This Row],[Date]])</f>
        <v>1900</v>
      </c>
      <c r="E113" s="155"/>
      <c r="F113" s="155"/>
      <c r="G113" s="175">
        <f>PA_8[[#This Row],[Date]]-DAY(PA_8[[#This Row],[Date]])+1</f>
        <v>1</v>
      </c>
      <c r="H113" s="34">
        <f>DAY(EOMONTH(PA_8[[#This Row],[Month Year]],0))</f>
        <v>31</v>
      </c>
      <c r="I113" s="36">
        <f>IFERROR(_xlfn.XLOOKUP(PA_8[[#This Row],[Date]],Input_Raw!$A:$A,Input_Raw!F:F),"")</f>
        <v>0</v>
      </c>
      <c r="J113" s="36">
        <f>IFERROR(_xlfn.XLOOKUP(PA_8[[#This Row],[Date]],Input_Raw!$A:$A,Input_Raw!G:G),"")</f>
        <v>0</v>
      </c>
      <c r="K113" s="37">
        <f>IFERROR((PA_8[[#This Row],[Sunset Time (POA&lt;20 W/m2)]]-PA_8[[#This Row],[Sunrise Time (POA&gt;20 W/m2)]])*24,"")</f>
        <v>0</v>
      </c>
      <c r="L113" s="155"/>
      <c r="M113" s="35"/>
      <c r="N113" s="35"/>
      <c r="O113" s="38"/>
      <c r="P113" s="35"/>
      <c r="Q113" s="35"/>
      <c r="R113" s="34">
        <f>IF((PA_8[[#This Row],[String Type(If String BD)]]&amp;PA_8[[#This Row],[Equipment (If any BD other than PV  array and inv)]])="",1,0)</f>
        <v>1</v>
      </c>
      <c r="S113" s="34">
        <f>IF(PA_8[[#This Row],[String Type(If String BD)]]="",1,0)</f>
        <v>1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3" s="37" t="str">
        <f>IFERROR(_xlfn.XLOOKUP(PA_8[[#This Row],[Affected Equipment ]],'Basic Data'!$P:$P,'Basic Data'!$S:$S),"")</f>
        <v/>
      </c>
      <c r="V113" s="299" t="str">
        <f>IFERROR(_xlfn.XLOOKUP(PA_8[[#This Row],[Affected Equipment ]],'Basic Data'!$P:$P,'Basic Data'!$T:$T),"")</f>
        <v/>
      </c>
      <c r="W113" s="320"/>
      <c r="X113" s="156"/>
      <c r="Y113" s="156"/>
      <c r="Z113" s="271"/>
      <c r="AA113" s="39"/>
      <c r="AB113" s="40"/>
      <c r="AC113" s="39"/>
      <c r="AD113" s="41">
        <f>IF(PA_8[[#This Row],[Acknowledgement Time ]]="NA","",(PA_8[[#This Row],[Acknowledgement Time ]]-PA_8[[#This Row],[Fault Time]])*24)</f>
        <v>0</v>
      </c>
      <c r="AE113" s="41">
        <f>IF(PA_8[[#This Row],[Work Start time on Fault]]="NA","",(PA_8[[#This Row],[Work Start time on Fault]]-PA_8[[#This Row],[Fault Time]])*24)</f>
        <v>0</v>
      </c>
      <c r="AF113" s="42">
        <f>IF(PA_8[[#This Row],[Status]]="Open","",(PA_8[[#This Row],[Work Completion time on fault]]-PA_8[[#This Row],[Fault Time]])*24)</f>
        <v>0</v>
      </c>
      <c r="AG113" s="41">
        <f>IFERROR((PA_8[[#This Row],[Work Completion time on fault]]-PA_8[[#This Row],[Fault Time]])*24,"")</f>
        <v>0</v>
      </c>
      <c r="AH113" s="38"/>
      <c r="AI113" s="155"/>
      <c r="AJ113" s="37" t="str">
        <f>IFERROR(PA_8[[#This Row],[Breakdown Time]]*PA_8[[#This Row],[Plant Equivalent Weightage]],"")</f>
        <v/>
      </c>
      <c r="AK113" s="273"/>
      <c r="AL113" s="157" t="e">
        <f>U113*PA_8[[#This Row],[Lost PoA(Wh/m2)]]*84.2%</f>
        <v>#VALUE!</v>
      </c>
      <c r="AM113" s="157"/>
    </row>
    <row r="114" spans="1:39">
      <c r="A114" s="153">
        <v>105</v>
      </c>
      <c r="B114" s="154"/>
      <c r="C114" s="187">
        <f>YEAR(PA_8[[#This Row],[Date]])+IF(MONTH(PA_8[[#This Row],[Date]])&gt;=4,1,0)</f>
        <v>1900</v>
      </c>
      <c r="D114" s="34">
        <f>YEAR(PA_8[[#This Row],[Date]])</f>
        <v>1900</v>
      </c>
      <c r="E114" s="155"/>
      <c r="F114" s="155"/>
      <c r="G114" s="175">
        <f>PA_8[[#This Row],[Date]]-DAY(PA_8[[#This Row],[Date]])+1</f>
        <v>1</v>
      </c>
      <c r="H114" s="34">
        <f>DAY(EOMONTH(PA_8[[#This Row],[Month Year]],0))</f>
        <v>31</v>
      </c>
      <c r="I114" s="36">
        <f>IFERROR(_xlfn.XLOOKUP(PA_8[[#This Row],[Date]],Input_Raw!$A:$A,Input_Raw!F:F),"")</f>
        <v>0</v>
      </c>
      <c r="J114" s="36">
        <f>IFERROR(_xlfn.XLOOKUP(PA_8[[#This Row],[Date]],Input_Raw!$A:$A,Input_Raw!G:G),"")</f>
        <v>0</v>
      </c>
      <c r="K114" s="37">
        <f>IFERROR((PA_8[[#This Row],[Sunset Time (POA&lt;20 W/m2)]]-PA_8[[#This Row],[Sunrise Time (POA&gt;20 W/m2)]])*24,"")</f>
        <v>0</v>
      </c>
      <c r="L114" s="155"/>
      <c r="M114" s="35"/>
      <c r="N114" s="35"/>
      <c r="O114" s="38"/>
      <c r="P114" s="35"/>
      <c r="Q114" s="35"/>
      <c r="R114" s="34">
        <f>IF((PA_8[[#This Row],[String Type(If String BD)]]&amp;PA_8[[#This Row],[Equipment (If any BD other than PV  array and inv)]])="",1,0)</f>
        <v>1</v>
      </c>
      <c r="S114" s="34">
        <f>IF(PA_8[[#This Row],[String Type(If String BD)]]="",1,0)</f>
        <v>1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4" s="37" t="str">
        <f>IFERROR(_xlfn.XLOOKUP(PA_8[[#This Row],[Affected Equipment ]],'Basic Data'!$P:$P,'Basic Data'!$S:$S),"")</f>
        <v/>
      </c>
      <c r="V114" s="299" t="str">
        <f>IFERROR(_xlfn.XLOOKUP(PA_8[[#This Row],[Affected Equipment ]],'Basic Data'!$P:$P,'Basic Data'!$T:$T),"")</f>
        <v/>
      </c>
      <c r="W114" s="320"/>
      <c r="X114" s="156"/>
      <c r="Y114" s="156"/>
      <c r="Z114" s="271"/>
      <c r="AA114" s="39"/>
      <c r="AB114" s="40"/>
      <c r="AC114" s="39"/>
      <c r="AD114" s="41">
        <f>IF(PA_8[[#This Row],[Acknowledgement Time ]]="NA","",(PA_8[[#This Row],[Acknowledgement Time ]]-PA_8[[#This Row],[Fault Time]])*24)</f>
        <v>0</v>
      </c>
      <c r="AE114" s="41">
        <f>IF(PA_8[[#This Row],[Work Start time on Fault]]="NA","",(PA_8[[#This Row],[Work Start time on Fault]]-PA_8[[#This Row],[Fault Time]])*24)</f>
        <v>0</v>
      </c>
      <c r="AF114" s="42">
        <f>IF(PA_8[[#This Row],[Status]]="Open","",(PA_8[[#This Row],[Work Completion time on fault]]-PA_8[[#This Row],[Fault Time]])*24)</f>
        <v>0</v>
      </c>
      <c r="AG114" s="41">
        <f>IFERROR((PA_8[[#This Row],[Work Completion time on fault]]-PA_8[[#This Row],[Fault Time]])*24,"")</f>
        <v>0</v>
      </c>
      <c r="AH114" s="38"/>
      <c r="AI114" s="155"/>
      <c r="AJ114" s="37" t="str">
        <f>IFERROR(PA_8[[#This Row],[Breakdown Time]]*PA_8[[#This Row],[Plant Equivalent Weightage]],"")</f>
        <v/>
      </c>
      <c r="AK114" s="273"/>
      <c r="AL114" s="157" t="e">
        <f>U114*PA_8[[#This Row],[Lost PoA(Wh/m2)]]*84.2%</f>
        <v>#VALUE!</v>
      </c>
      <c r="AM114" s="157"/>
    </row>
    <row r="115" spans="1:39">
      <c r="A115" s="153">
        <v>106</v>
      </c>
      <c r="B115" s="154"/>
      <c r="C115" s="187">
        <f>YEAR(PA_8[[#This Row],[Date]])+IF(MONTH(PA_8[[#This Row],[Date]])&gt;=4,1,0)</f>
        <v>1900</v>
      </c>
      <c r="D115" s="34">
        <f>YEAR(PA_8[[#This Row],[Date]])</f>
        <v>1900</v>
      </c>
      <c r="E115" s="155"/>
      <c r="F115" s="155"/>
      <c r="G115" s="175">
        <f>PA_8[[#This Row],[Date]]-DAY(PA_8[[#This Row],[Date]])+1</f>
        <v>1</v>
      </c>
      <c r="H115" s="34">
        <f>DAY(EOMONTH(PA_8[[#This Row],[Month Year]],0))</f>
        <v>31</v>
      </c>
      <c r="I115" s="36">
        <f>IFERROR(_xlfn.XLOOKUP(PA_8[[#This Row],[Date]],Input_Raw!$A:$A,Input_Raw!F:F),"")</f>
        <v>0</v>
      </c>
      <c r="J115" s="36">
        <f>IFERROR(_xlfn.XLOOKUP(PA_8[[#This Row],[Date]],Input_Raw!$A:$A,Input_Raw!G:G),"")</f>
        <v>0</v>
      </c>
      <c r="K115" s="37">
        <f>IFERROR((PA_8[[#This Row],[Sunset Time (POA&lt;20 W/m2)]]-PA_8[[#This Row],[Sunrise Time (POA&gt;20 W/m2)]])*24,"")</f>
        <v>0</v>
      </c>
      <c r="L115" s="155"/>
      <c r="M115" s="35"/>
      <c r="N115" s="35"/>
      <c r="O115" s="38"/>
      <c r="P115" s="35"/>
      <c r="Q115" s="35"/>
      <c r="R115" s="34">
        <f>IF((PA_8[[#This Row],[String Type(If String BD)]]&amp;PA_8[[#This Row],[Equipment (If any BD other than PV  array and inv)]])="",1,0)</f>
        <v>1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5" s="37" t="str">
        <f>IFERROR(_xlfn.XLOOKUP(PA_8[[#This Row],[Affected Equipment ]],'Basic Data'!$P:$P,'Basic Data'!$S:$S),"")</f>
        <v/>
      </c>
      <c r="V115" s="299" t="str">
        <f>IFERROR(_xlfn.XLOOKUP(PA_8[[#This Row],[Affected Equipment ]],'Basic Data'!$P:$P,'Basic Data'!$T:$T),"")</f>
        <v/>
      </c>
      <c r="W115" s="320"/>
      <c r="X115" s="156"/>
      <c r="Y115" s="156"/>
      <c r="Z115" s="271"/>
      <c r="AA115" s="39"/>
      <c r="AB115" s="40"/>
      <c r="AC115" s="39"/>
      <c r="AD115" s="41">
        <f>IF(PA_8[[#This Row],[Acknowledgement Time ]]="NA","",(PA_8[[#This Row],[Acknowledgement Time ]]-PA_8[[#This Row],[Fault Time]])*24)</f>
        <v>0</v>
      </c>
      <c r="AE115" s="41">
        <f>IF(PA_8[[#This Row],[Work Start time on Fault]]="NA","",(PA_8[[#This Row],[Work Start time on Fault]]-PA_8[[#This Row],[Fault Time]])*24)</f>
        <v>0</v>
      </c>
      <c r="AF115" s="42">
        <f>IF(PA_8[[#This Row],[Status]]="Open","",(PA_8[[#This Row],[Work Completion time on fault]]-PA_8[[#This Row],[Fault Time]])*24)</f>
        <v>0</v>
      </c>
      <c r="AG115" s="41">
        <f>IFERROR((PA_8[[#This Row],[Work Completion time on fault]]-PA_8[[#This Row],[Fault Time]])*24,"")</f>
        <v>0</v>
      </c>
      <c r="AH115" s="38"/>
      <c r="AI115" s="155"/>
      <c r="AJ115" s="37" t="str">
        <f>IFERROR(PA_8[[#This Row],[Breakdown Time]]*PA_8[[#This Row],[Plant Equivalent Weightage]],"")</f>
        <v/>
      </c>
      <c r="AK115" s="273"/>
      <c r="AL115" s="157" t="e">
        <f>U115*PA_8[[#This Row],[Lost PoA(Wh/m2)]]*84.2%</f>
        <v>#VALUE!</v>
      </c>
      <c r="AM115" s="157"/>
    </row>
    <row r="116" spans="1:39">
      <c r="A116" s="153">
        <v>107</v>
      </c>
      <c r="B116" s="154"/>
      <c r="C116" s="187">
        <f>YEAR(PA_8[[#This Row],[Date]])+IF(MONTH(PA_8[[#This Row],[Date]])&gt;=4,1,0)</f>
        <v>1900</v>
      </c>
      <c r="D116" s="34">
        <f>YEAR(PA_8[[#This Row],[Date]])</f>
        <v>1900</v>
      </c>
      <c r="E116" s="155"/>
      <c r="F116" s="155"/>
      <c r="G116" s="175">
        <f>PA_8[[#This Row],[Date]]-DAY(PA_8[[#This Row],[Date]])+1</f>
        <v>1</v>
      </c>
      <c r="H116" s="34">
        <f>DAY(EOMONTH(PA_8[[#This Row],[Month Year]],0))</f>
        <v>31</v>
      </c>
      <c r="I116" s="36">
        <f>IFERROR(_xlfn.XLOOKUP(PA_8[[#This Row],[Date]],Input_Raw!$A:$A,Input_Raw!F:F),"")</f>
        <v>0</v>
      </c>
      <c r="J116" s="36">
        <f>IFERROR(_xlfn.XLOOKUP(PA_8[[#This Row],[Date]],Input_Raw!$A:$A,Input_Raw!G:G),"")</f>
        <v>0</v>
      </c>
      <c r="K116" s="37">
        <f>IFERROR((PA_8[[#This Row],[Sunset Time (POA&lt;20 W/m2)]]-PA_8[[#This Row],[Sunrise Time (POA&gt;20 W/m2)]])*24,"")</f>
        <v>0</v>
      </c>
      <c r="L116" s="155"/>
      <c r="M116" s="35"/>
      <c r="N116" s="35"/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6" s="37" t="str">
        <f>IFERROR(_xlfn.XLOOKUP(PA_8[[#This Row],[Affected Equipment ]],'Basic Data'!$P:$P,'Basic Data'!$S:$S),"")</f>
        <v/>
      </c>
      <c r="V116" s="299" t="str">
        <f>IFERROR(_xlfn.XLOOKUP(PA_8[[#This Row],[Affected Equipment ]],'Basic Data'!$P:$P,'Basic Data'!$T:$T),"")</f>
        <v/>
      </c>
      <c r="W116" s="320"/>
      <c r="X116" s="156"/>
      <c r="Y116" s="156"/>
      <c r="Z116" s="271"/>
      <c r="AA116" s="39"/>
      <c r="AB116" s="40"/>
      <c r="AC116" s="39"/>
      <c r="AD116" s="41">
        <f>IF(PA_8[[#This Row],[Acknowledgement Time ]]="NA","",(PA_8[[#This Row],[Acknowledgement Time ]]-PA_8[[#This Row],[Fault Time]])*24)</f>
        <v>0</v>
      </c>
      <c r="AE116" s="41">
        <f>IF(PA_8[[#This Row],[Work Start time on Fault]]="NA","",(PA_8[[#This Row],[Work Start time on Fault]]-PA_8[[#This Row],[Fault Time]])*24)</f>
        <v>0</v>
      </c>
      <c r="AF116" s="42">
        <f>IF(PA_8[[#This Row],[Status]]="Open","",(PA_8[[#This Row],[Work Completion time on fault]]-PA_8[[#This Row],[Fault Time]])*24)</f>
        <v>0</v>
      </c>
      <c r="AG116" s="41">
        <f>IFERROR((PA_8[[#This Row],[Work Completion time on fault]]-PA_8[[#This Row],[Fault Time]])*24,"")</f>
        <v>0</v>
      </c>
      <c r="AH116" s="38"/>
      <c r="AI116" s="155"/>
      <c r="AJ116" s="37" t="str">
        <f>IFERROR(PA_8[[#This Row],[Breakdown Time]]*PA_8[[#This Row],[Plant Equivalent Weightage]],"")</f>
        <v/>
      </c>
      <c r="AK116" s="273"/>
      <c r="AL116" s="157" t="e">
        <f>U116*PA_8[[#This Row],[Lost PoA(Wh/m2)]]*84.2%</f>
        <v>#VALUE!</v>
      </c>
      <c r="AM116" s="157"/>
    </row>
    <row r="117" spans="1:39">
      <c r="A117" s="153">
        <v>108</v>
      </c>
      <c r="B117" s="154"/>
      <c r="C117" s="187">
        <f>YEAR(PA_8[[#This Row],[Date]])+IF(MONTH(PA_8[[#This Row],[Date]])&gt;=4,1,0)</f>
        <v>1900</v>
      </c>
      <c r="D117" s="34">
        <f>YEAR(PA_8[[#This Row],[Date]])</f>
        <v>1900</v>
      </c>
      <c r="E117" s="155"/>
      <c r="F117" s="155"/>
      <c r="G117" s="175">
        <f>PA_8[[#This Row],[Date]]-DAY(PA_8[[#This Row],[Date]])+1</f>
        <v>1</v>
      </c>
      <c r="H117" s="34">
        <f>DAY(EOMONTH(PA_8[[#This Row],[Month Year]],0))</f>
        <v>31</v>
      </c>
      <c r="I117" s="36">
        <f>IFERROR(_xlfn.XLOOKUP(PA_8[[#This Row],[Date]],Input_Raw!$A:$A,Input_Raw!F:F),"")</f>
        <v>0</v>
      </c>
      <c r="J117" s="36">
        <f>IFERROR(_xlfn.XLOOKUP(PA_8[[#This Row],[Date]],Input_Raw!$A:$A,Input_Raw!G:G),"")</f>
        <v>0</v>
      </c>
      <c r="K117" s="37">
        <f>IFERROR((PA_8[[#This Row],[Sunset Time (POA&lt;20 W/m2)]]-PA_8[[#This Row],[Sunrise Time (POA&gt;20 W/m2)]])*24,"")</f>
        <v>0</v>
      </c>
      <c r="L117" s="155"/>
      <c r="M117" s="35"/>
      <c r="N117" s="35"/>
      <c r="O117" s="38"/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7" s="37" t="str">
        <f>IFERROR(_xlfn.XLOOKUP(PA_8[[#This Row],[Affected Equipment ]],'Basic Data'!$P:$P,'Basic Data'!$S:$S),"")</f>
        <v/>
      </c>
      <c r="V117" s="299" t="str">
        <f>IFERROR(_xlfn.XLOOKUP(PA_8[[#This Row],[Affected Equipment ]],'Basic Data'!$P:$P,'Basic Data'!$T:$T),"")</f>
        <v/>
      </c>
      <c r="W117" s="320"/>
      <c r="X117" s="156"/>
      <c r="Y117" s="156"/>
      <c r="Z117" s="271"/>
      <c r="AA117" s="39"/>
      <c r="AB117" s="40"/>
      <c r="AC117" s="39"/>
      <c r="AD117" s="41">
        <f>IF(PA_8[[#This Row],[Acknowledgement Time ]]="NA","",(PA_8[[#This Row],[Acknowledgement Time ]]-PA_8[[#This Row],[Fault Time]])*24)</f>
        <v>0</v>
      </c>
      <c r="AE117" s="41">
        <f>IF(PA_8[[#This Row],[Work Start time on Fault]]="NA","",(PA_8[[#This Row],[Work Start time on Fault]]-PA_8[[#This Row],[Fault Time]])*24)</f>
        <v>0</v>
      </c>
      <c r="AF117" s="42">
        <f>IF(PA_8[[#This Row],[Status]]="Open","",(PA_8[[#This Row],[Work Completion time on fault]]-PA_8[[#This Row],[Fault Time]])*24)</f>
        <v>0</v>
      </c>
      <c r="AG117" s="41">
        <f>IFERROR((PA_8[[#This Row],[Work Completion time on fault]]-PA_8[[#This Row],[Fault Time]])*24,"")</f>
        <v>0</v>
      </c>
      <c r="AH117" s="38"/>
      <c r="AI117" s="155"/>
      <c r="AJ117" s="37" t="str">
        <f>IFERROR(PA_8[[#This Row],[Breakdown Time]]*PA_8[[#This Row],[Plant Equivalent Weightage]],"")</f>
        <v/>
      </c>
      <c r="AK117" s="273"/>
      <c r="AL117" s="157" t="e">
        <f>U117*PA_8[[#This Row],[Lost PoA(Wh/m2)]]*84.2%</f>
        <v>#VALUE!</v>
      </c>
      <c r="AM117" s="157"/>
    </row>
    <row r="118" spans="1:39">
      <c r="A118" s="153">
        <v>109</v>
      </c>
      <c r="B118" s="154"/>
      <c r="C118" s="187">
        <f>YEAR(PA_8[[#This Row],[Date]])+IF(MONTH(PA_8[[#This Row],[Date]])&gt;=4,1,0)</f>
        <v>1900</v>
      </c>
      <c r="D118" s="34">
        <f>YEAR(PA_8[[#This Row],[Date]])</f>
        <v>1900</v>
      </c>
      <c r="E118" s="155"/>
      <c r="F118" s="155"/>
      <c r="G118" s="175">
        <f>PA_8[[#This Row],[Date]]-DAY(PA_8[[#This Row],[Date]])+1</f>
        <v>1</v>
      </c>
      <c r="H118" s="34">
        <f>DAY(EOMONTH(PA_8[[#This Row],[Month Year]],0))</f>
        <v>31</v>
      </c>
      <c r="I118" s="36">
        <f>IFERROR(_xlfn.XLOOKUP(PA_8[[#This Row],[Date]],Input_Raw!$A:$A,Input_Raw!F:F),"")</f>
        <v>0</v>
      </c>
      <c r="J118" s="36">
        <f>IFERROR(_xlfn.XLOOKUP(PA_8[[#This Row],[Date]],Input_Raw!$A:$A,Input_Raw!G:G),"")</f>
        <v>0</v>
      </c>
      <c r="K118" s="37">
        <f>IFERROR((PA_8[[#This Row],[Sunset Time (POA&lt;20 W/m2)]]-PA_8[[#This Row],[Sunrise Time (POA&gt;20 W/m2)]])*24,"")</f>
        <v>0</v>
      </c>
      <c r="L118" s="155"/>
      <c r="M118" s="35"/>
      <c r="N118" s="35"/>
      <c r="O118" s="38"/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8" s="37" t="str">
        <f>IFERROR(_xlfn.XLOOKUP(PA_8[[#This Row],[Affected Equipment ]],'Basic Data'!$P:$P,'Basic Data'!$S:$S),"")</f>
        <v/>
      </c>
      <c r="V118" s="299" t="str">
        <f>IFERROR(_xlfn.XLOOKUP(PA_8[[#This Row],[Affected Equipment ]],'Basic Data'!$P:$P,'Basic Data'!$T:$T),"")</f>
        <v/>
      </c>
      <c r="W118" s="320"/>
      <c r="X118" s="156"/>
      <c r="Y118" s="156"/>
      <c r="Z118" s="271"/>
      <c r="AA118" s="39"/>
      <c r="AB118" s="40"/>
      <c r="AC118" s="39"/>
      <c r="AD118" s="41">
        <f>IF(PA_8[[#This Row],[Acknowledgement Time ]]="NA","",(PA_8[[#This Row],[Acknowledgement Time ]]-PA_8[[#This Row],[Fault Time]])*24)</f>
        <v>0</v>
      </c>
      <c r="AE118" s="41">
        <f>IF(PA_8[[#This Row],[Work Start time on Fault]]="NA","",(PA_8[[#This Row],[Work Start time on Fault]]-PA_8[[#This Row],[Fault Time]])*24)</f>
        <v>0</v>
      </c>
      <c r="AF118" s="42">
        <f>IF(PA_8[[#This Row],[Status]]="Open","",(PA_8[[#This Row],[Work Completion time on fault]]-PA_8[[#This Row],[Fault Time]])*24)</f>
        <v>0</v>
      </c>
      <c r="AG118" s="41">
        <f>IFERROR((PA_8[[#This Row],[Work Completion time on fault]]-PA_8[[#This Row],[Fault Time]])*24,"")</f>
        <v>0</v>
      </c>
      <c r="AH118" s="38"/>
      <c r="AI118" s="155"/>
      <c r="AJ118" s="37" t="str">
        <f>IFERROR(PA_8[[#This Row],[Breakdown Time]]*PA_8[[#This Row],[Plant Equivalent Weightage]],"")</f>
        <v/>
      </c>
      <c r="AK118" s="273"/>
      <c r="AL118" s="157" t="e">
        <f>U118*PA_8[[#This Row],[Lost PoA(Wh/m2)]]*84.2%</f>
        <v>#VALUE!</v>
      </c>
      <c r="AM118" s="157"/>
    </row>
    <row r="119" spans="1:39">
      <c r="A119" s="153">
        <v>110</v>
      </c>
      <c r="B119" s="154"/>
      <c r="C119" s="187">
        <f>YEAR(PA_8[[#This Row],[Date]])+IF(MONTH(PA_8[[#This Row],[Date]])&gt;=4,1,0)</f>
        <v>1900</v>
      </c>
      <c r="D119" s="34">
        <f>YEAR(PA_8[[#This Row],[Date]])</f>
        <v>1900</v>
      </c>
      <c r="E119" s="155"/>
      <c r="F119" s="155"/>
      <c r="G119" s="175">
        <f>PA_8[[#This Row],[Date]]-DAY(PA_8[[#This Row],[Date]])+1</f>
        <v>1</v>
      </c>
      <c r="H119" s="34">
        <f>DAY(EOMONTH(PA_8[[#This Row],[Month Year]],0))</f>
        <v>31</v>
      </c>
      <c r="I119" s="36">
        <f>IFERROR(_xlfn.XLOOKUP(PA_8[[#This Row],[Date]],Input_Raw!$A:$A,Input_Raw!F:F),"")</f>
        <v>0</v>
      </c>
      <c r="J119" s="36">
        <f>IFERROR(_xlfn.XLOOKUP(PA_8[[#This Row],[Date]],Input_Raw!$A:$A,Input_Raw!G:G),"")</f>
        <v>0</v>
      </c>
      <c r="K119" s="37">
        <f>IFERROR((PA_8[[#This Row],[Sunset Time (POA&lt;20 W/m2)]]-PA_8[[#This Row],[Sunrise Time (POA&gt;20 W/m2)]])*24,"")</f>
        <v>0</v>
      </c>
      <c r="L119" s="155"/>
      <c r="M119" s="35"/>
      <c r="N119" s="35"/>
      <c r="O119" s="38"/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9" s="37" t="str">
        <f>IFERROR(_xlfn.XLOOKUP(PA_8[[#This Row],[Affected Equipment ]],'Basic Data'!$P:$P,'Basic Data'!$S:$S),"")</f>
        <v/>
      </c>
      <c r="V119" s="299" t="str">
        <f>IFERROR(_xlfn.XLOOKUP(PA_8[[#This Row],[Affected Equipment ]],'Basic Data'!$P:$P,'Basic Data'!$T:$T),"")</f>
        <v/>
      </c>
      <c r="W119" s="320"/>
      <c r="X119" s="156"/>
      <c r="Y119" s="156"/>
      <c r="Z119" s="271"/>
      <c r="AA119" s="39"/>
      <c r="AB119" s="40"/>
      <c r="AC119" s="39"/>
      <c r="AD119" s="41">
        <f>IF(PA_8[[#This Row],[Acknowledgement Time ]]="NA","",(PA_8[[#This Row],[Acknowledgement Time ]]-PA_8[[#This Row],[Fault Time]])*24)</f>
        <v>0</v>
      </c>
      <c r="AE119" s="41">
        <f>IF(PA_8[[#This Row],[Work Start time on Fault]]="NA","",(PA_8[[#This Row],[Work Start time on Fault]]-PA_8[[#This Row],[Fault Time]])*24)</f>
        <v>0</v>
      </c>
      <c r="AF119" s="42">
        <f>IF(PA_8[[#This Row],[Status]]="Open","",(PA_8[[#This Row],[Work Completion time on fault]]-PA_8[[#This Row],[Fault Time]])*24)</f>
        <v>0</v>
      </c>
      <c r="AG119" s="41">
        <f>IFERROR((PA_8[[#This Row],[Work Completion time on fault]]-PA_8[[#This Row],[Fault Time]])*24,"")</f>
        <v>0</v>
      </c>
      <c r="AH119" s="38"/>
      <c r="AI119" s="155"/>
      <c r="AJ119" s="37" t="str">
        <f>IFERROR(PA_8[[#This Row],[Breakdown Time]]*PA_8[[#This Row],[Plant Equivalent Weightage]],"")</f>
        <v/>
      </c>
      <c r="AK119" s="273"/>
      <c r="AL119" s="157" t="e">
        <f>U119*PA_8[[#This Row],[Lost PoA(Wh/m2)]]*84.2%</f>
        <v>#VALUE!</v>
      </c>
      <c r="AM119" s="157"/>
    </row>
    <row r="120" spans="1:39">
      <c r="A120" s="153">
        <v>111</v>
      </c>
      <c r="B120" s="154"/>
      <c r="C120" s="187">
        <f>YEAR(PA_8[[#This Row],[Date]])+IF(MONTH(PA_8[[#This Row],[Date]])&gt;=4,1,0)</f>
        <v>1900</v>
      </c>
      <c r="D120" s="34">
        <f>YEAR(PA_8[[#This Row],[Date]])</f>
        <v>1900</v>
      </c>
      <c r="E120" s="155"/>
      <c r="F120" s="155"/>
      <c r="G120" s="175">
        <f>PA_8[[#This Row],[Date]]-DAY(PA_8[[#This Row],[Date]])+1</f>
        <v>1</v>
      </c>
      <c r="H120" s="34">
        <f>DAY(EOMONTH(PA_8[[#This Row],[Month Year]],0))</f>
        <v>31</v>
      </c>
      <c r="I120" s="36">
        <f>IFERROR(_xlfn.XLOOKUP(PA_8[[#This Row],[Date]],Input_Raw!$A:$A,Input_Raw!F:F),"")</f>
        <v>0</v>
      </c>
      <c r="J120" s="36">
        <f>IFERROR(_xlfn.XLOOKUP(PA_8[[#This Row],[Date]],Input_Raw!$A:$A,Input_Raw!G:G),"")</f>
        <v>0</v>
      </c>
      <c r="K120" s="37">
        <f>IFERROR((PA_8[[#This Row],[Sunset Time (POA&lt;20 W/m2)]]-PA_8[[#This Row],[Sunrise Time (POA&gt;20 W/m2)]])*24,"")</f>
        <v>0</v>
      </c>
      <c r="L120" s="155"/>
      <c r="M120" s="35"/>
      <c r="N120" s="35"/>
      <c r="O120" s="38"/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0" s="37" t="str">
        <f>IFERROR(_xlfn.XLOOKUP(PA_8[[#This Row],[Affected Equipment ]],'Basic Data'!$P:$P,'Basic Data'!$S:$S),"")</f>
        <v/>
      </c>
      <c r="V120" s="299" t="str">
        <f>IFERROR(_xlfn.XLOOKUP(PA_8[[#This Row],[Affected Equipment ]],'Basic Data'!$P:$P,'Basic Data'!$T:$T),"")</f>
        <v/>
      </c>
      <c r="W120" s="320"/>
      <c r="X120" s="156"/>
      <c r="Y120" s="156"/>
      <c r="Z120" s="271"/>
      <c r="AA120" s="39"/>
      <c r="AB120" s="40"/>
      <c r="AC120" s="39"/>
      <c r="AD120" s="41">
        <f>IF(PA_8[[#This Row],[Acknowledgement Time ]]="NA","",(PA_8[[#This Row],[Acknowledgement Time ]]-PA_8[[#This Row],[Fault Time]])*24)</f>
        <v>0</v>
      </c>
      <c r="AE120" s="41">
        <f>IF(PA_8[[#This Row],[Work Start time on Fault]]="NA","",(PA_8[[#This Row],[Work Start time on Fault]]-PA_8[[#This Row],[Fault Time]])*24)</f>
        <v>0</v>
      </c>
      <c r="AF120" s="42">
        <f>IF(PA_8[[#This Row],[Status]]="Open","",(PA_8[[#This Row],[Work Completion time on fault]]-PA_8[[#This Row],[Fault Time]])*24)</f>
        <v>0</v>
      </c>
      <c r="AG120" s="41">
        <f>IFERROR((PA_8[[#This Row],[Work Completion time on fault]]-PA_8[[#This Row],[Fault Time]])*24,"")</f>
        <v>0</v>
      </c>
      <c r="AH120" s="38"/>
      <c r="AI120" s="155"/>
      <c r="AJ120" s="37" t="str">
        <f>IFERROR(PA_8[[#This Row],[Breakdown Time]]*PA_8[[#This Row],[Plant Equivalent Weightage]],"")</f>
        <v/>
      </c>
      <c r="AK120" s="273"/>
      <c r="AL120" s="157" t="e">
        <f>U120*PA_8[[#This Row],[Lost PoA(Wh/m2)]]*84.2%</f>
        <v>#VALUE!</v>
      </c>
      <c r="AM120" s="157"/>
    </row>
  </sheetData>
  <phoneticPr fontId="59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08"/>
  <sheetViews>
    <sheetView zoomScale="90" zoomScaleNormal="90" workbookViewId="0">
      <pane xSplit="2" ySplit="1" topLeftCell="E2" activePane="bottomRight" state="frozen"/>
      <selection pane="bottomRight" activeCell="J3" sqref="J3"/>
      <selection pane="bottomLeft" activeCell="A2" sqref="A2"/>
      <selection pane="topRight" activeCell="C1" sqref="C1"/>
    </sheetView>
  </sheetViews>
  <sheetFormatPr defaultColWidth="8.875" defaultRowHeight="15"/>
  <cols>
    <col min="1" max="1" width="10.125" customWidth="1"/>
    <col min="2" max="2" width="9.875" customWidth="1"/>
    <col min="3" max="3" width="12.125" customWidth="1"/>
    <col min="4" max="4" width="12.875" customWidth="1"/>
    <col min="5" max="5" width="13.875" customWidth="1"/>
    <col min="6" max="6" width="8.875" style="5"/>
    <col min="7" max="8" width="10.125" style="5" customWidth="1"/>
    <col min="9" max="9" width="10.125" customWidth="1"/>
    <col min="10" max="10" width="32.875" customWidth="1"/>
    <col min="11" max="11" width="10.125" customWidth="1"/>
    <col min="12" max="12" width="12.125" customWidth="1"/>
    <col min="13" max="13" width="13" bestFit="1" customWidth="1"/>
    <col min="14" max="14" width="13.875" bestFit="1" customWidth="1"/>
    <col min="15" max="15" width="16.125" bestFit="1" customWidth="1"/>
    <col min="16" max="17" width="12.125" bestFit="1" customWidth="1"/>
    <col min="18" max="18" width="25.125" customWidth="1"/>
    <col min="19" max="19" width="10.125" bestFit="1" customWidth="1"/>
    <col min="20" max="21" width="13.875" customWidth="1"/>
    <col min="22" max="22" width="11.125" style="15" customWidth="1"/>
    <col min="23" max="23" width="13.125" bestFit="1" customWidth="1"/>
    <col min="24" max="25" width="13.875" bestFit="1" customWidth="1"/>
    <col min="31" max="31" width="22.1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323</v>
      </c>
      <c r="F1" s="16" t="s">
        <v>324</v>
      </c>
      <c r="G1" s="16" t="s">
        <v>1205</v>
      </c>
      <c r="H1" s="16" t="s">
        <v>1206</v>
      </c>
      <c r="I1" s="16" t="s">
        <v>326</v>
      </c>
      <c r="J1" s="126" t="s">
        <v>327</v>
      </c>
      <c r="K1" s="16" t="s">
        <v>1207</v>
      </c>
      <c r="L1" s="16" t="s">
        <v>328</v>
      </c>
      <c r="M1" s="16" t="s">
        <v>329</v>
      </c>
      <c r="N1" s="16" t="s">
        <v>330</v>
      </c>
      <c r="O1" s="16" t="s">
        <v>331</v>
      </c>
      <c r="P1" s="16" t="s">
        <v>332</v>
      </c>
      <c r="Q1" s="16" t="s">
        <v>333</v>
      </c>
      <c r="R1" s="16" t="s">
        <v>334</v>
      </c>
      <c r="S1" s="16" t="s">
        <v>335</v>
      </c>
      <c r="T1" s="23" t="s">
        <v>336</v>
      </c>
      <c r="U1" s="23" t="s">
        <v>1208</v>
      </c>
      <c r="V1" s="24" t="s">
        <v>338</v>
      </c>
      <c r="W1" s="24" t="s">
        <v>1209</v>
      </c>
      <c r="X1" s="24" t="s">
        <v>1210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339</v>
      </c>
      <c r="F2" s="9" t="s">
        <v>373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87">
        <v>1</v>
      </c>
      <c r="J2" s="270" t="s">
        <v>295</v>
      </c>
      <c r="L2" s="288">
        <v>0.43958333333333333</v>
      </c>
      <c r="M2" s="288">
        <v>0.43958333333333333</v>
      </c>
      <c r="N2" s="288">
        <v>0.62222222222222223</v>
      </c>
      <c r="O2" s="289">
        <f>(Grid_BD[[#This Row],[Work Start TimeStamp]]-Grid_BD[[#This Row],[Fault Start TimeStamp]])*24</f>
        <v>0</v>
      </c>
      <c r="P2" s="289">
        <f>(Grid_BD[[#This Row],[Fault Clearance time]]-Grid_BD[[#This Row],[Work Start TimeStamp]])*24</f>
        <v>4.3833333333333337</v>
      </c>
      <c r="Q2" s="289">
        <f>(Grid_BD[[#This Row],[Fault Clearance time]]-Grid_BD[[#This Row],[Fault Start TimeStamp]])*24</f>
        <v>4.3833333333333337</v>
      </c>
      <c r="R2" s="290" t="s">
        <v>1211</v>
      </c>
      <c r="S2" s="5"/>
      <c r="T2" s="291">
        <f>IFERROR(Grid_BD[[#This Row],[Breakdown Time]]*Grid_BD[[#This Row],[Plant Equivalent Weightage]],"")</f>
        <v>4.3833333333333337</v>
      </c>
      <c r="U2" s="291">
        <v>3.82</v>
      </c>
      <c r="V2" s="292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93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5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339</v>
      </c>
      <c r="F3" s="9" t="s">
        <v>373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87">
        <v>1</v>
      </c>
      <c r="J3" s="270" t="s">
        <v>1212</v>
      </c>
      <c r="L3" s="288">
        <v>0.46944444444444444</v>
      </c>
      <c r="M3" s="288">
        <v>0.46944444444444444</v>
      </c>
      <c r="N3" s="288">
        <v>0.82708333333333328</v>
      </c>
      <c r="O3" s="289">
        <f>(Grid_BD[[#This Row],[Work Start TimeStamp]]-Grid_BD[[#This Row],[Fault Start TimeStamp]])*24</f>
        <v>0</v>
      </c>
      <c r="P3" s="289">
        <f>(Grid_BD[[#This Row],[Fault Clearance time]]-Grid_BD[[#This Row],[Work Start TimeStamp]])*24</f>
        <v>8.5833333333333321</v>
      </c>
      <c r="Q3" s="289">
        <f>(Grid_BD[[#This Row],[Fault Clearance time]]-Grid_BD[[#This Row],[Fault Start TimeStamp]])*24</f>
        <v>8.5833333333333321</v>
      </c>
      <c r="R3" s="270" t="s">
        <v>1213</v>
      </c>
      <c r="S3" s="5"/>
      <c r="T3" s="291">
        <f>IFERROR(Grid_BD[[#This Row],[Breakdown Time]]*Grid_BD[[#This Row],[Plant Equivalent Weightage]],"")</f>
        <v>8.5833333333333321</v>
      </c>
      <c r="U3" s="291">
        <v>1.02</v>
      </c>
      <c r="V3" s="292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93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339</v>
      </c>
      <c r="F4" s="9" t="s">
        <v>373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339</v>
      </c>
      <c r="F5" s="9" t="s">
        <v>373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339</v>
      </c>
      <c r="F6" s="9" t="s">
        <v>373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339</v>
      </c>
      <c r="F7" s="9" t="s">
        <v>373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339</v>
      </c>
      <c r="F8" s="9" t="s">
        <v>373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339</v>
      </c>
      <c r="F9" s="9" t="s">
        <v>373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339</v>
      </c>
      <c r="F10" s="9" t="s">
        <v>373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339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  <row r="12" spans="1:24">
      <c r="A12" s="9">
        <f t="shared" si="0"/>
        <v>11</v>
      </c>
      <c r="B12" s="18"/>
      <c r="C12" s="29">
        <f>YEAR(Grid_BD[[#This Row],[Date]])+IF(MONTH(Grid_BD[[#This Row],[Date]])&gt;=4,1,0)</f>
        <v>1900</v>
      </c>
      <c r="D12" s="9">
        <f>YEAR(Grid_BD[[#This Row],[Date]])</f>
        <v>1900</v>
      </c>
      <c r="E12" s="9" t="s">
        <v>339</v>
      </c>
      <c r="G12" s="5" t="str">
        <f>IFERROR(_xlfn.XLOOKUP(Grid_BD[[#This Row],[Date]],RD[Date],RD[Solar Operating Hours]),"")</f>
        <v/>
      </c>
      <c r="H12" s="5" t="str">
        <f>IFERROR(VLOOKUP(Grid_BD[[#This Row],[Affected Feeder ]],'Basic Data'!#REF!,3,0),"")</f>
        <v/>
      </c>
      <c r="I12" s="8" t="str">
        <f>IFERROR(VLOOKUP(Grid_BD[[#This Row],[Affected Feeder ]],'Basic Data'!#REF!,5,0),"")</f>
        <v/>
      </c>
      <c r="L12" s="20"/>
      <c r="M12" s="20"/>
      <c r="N12" s="20"/>
      <c r="O12" s="21">
        <f>(Grid_BD[[#This Row],[Work Start TimeStamp]]-Grid_BD[[#This Row],[Fault Start TimeStamp]])*24</f>
        <v>0</v>
      </c>
      <c r="P12" s="21">
        <f>(Grid_BD[[#This Row],[Fault Clearance time]]-Grid_BD[[#This Row],[Work Start TimeStamp]])*24</f>
        <v>0</v>
      </c>
      <c r="Q12" s="21">
        <f>(Grid_BD[[#This Row],[Fault Clearance time]]-Grid_BD[[#This Row],[Fault Start TimeStamp]])*24</f>
        <v>0</v>
      </c>
      <c r="R12" s="25"/>
      <c r="S12" s="5"/>
      <c r="T12" s="26" t="str">
        <f>IFERROR(Grid_BD[[#This Row],[Breakdown Time]]*Grid_BD[[#This Row],[Plant Equivalent Weightage]],"")</f>
        <v/>
      </c>
      <c r="U12" s="26"/>
      <c r="V12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4">
        <f>IF(K12="Curtailment Order",(((100%*(Grid_BD[[#This Row],[Op. Hours]]-T12))+(((W12)/'Basic Data'!$B$2)*T12))/Grid_BD[[#This Row],[Op. Hours]]),1)</f>
        <v>1</v>
      </c>
    </row>
    <row r="13" spans="1:24">
      <c r="A13" s="9">
        <f t="shared" si="0"/>
        <v>12</v>
      </c>
      <c r="B13" s="18"/>
      <c r="C13" s="29">
        <f>YEAR(Grid_BD[[#This Row],[Date]])+IF(MONTH(Grid_BD[[#This Row],[Date]])&gt;=4,1,0)</f>
        <v>1900</v>
      </c>
      <c r="D13" s="9">
        <f>YEAR(Grid_BD[[#This Row],[Date]])</f>
        <v>1900</v>
      </c>
      <c r="E13" s="9" t="s">
        <v>339</v>
      </c>
      <c r="G13" s="5" t="str">
        <f>IFERROR(_xlfn.XLOOKUP(Grid_BD[[#This Row],[Date]],RD[Date],RD[Solar Operating Hours]),"")</f>
        <v/>
      </c>
      <c r="H13" s="5" t="str">
        <f>IFERROR(VLOOKUP(Grid_BD[[#This Row],[Affected Feeder ]],'Basic Data'!#REF!,3,0),"")</f>
        <v/>
      </c>
      <c r="I13" s="8" t="str">
        <f>IFERROR(VLOOKUP(Grid_BD[[#This Row],[Affected Feeder ]],'Basic Data'!#REF!,5,0),"")</f>
        <v/>
      </c>
      <c r="L13" s="20"/>
      <c r="M13" s="20"/>
      <c r="N13" s="20"/>
      <c r="O13" s="21">
        <f>(Grid_BD[[#This Row],[Work Start TimeStamp]]-Grid_BD[[#This Row],[Fault Start TimeStamp]])*24</f>
        <v>0</v>
      </c>
      <c r="P13" s="21">
        <f>(Grid_BD[[#This Row],[Fault Clearance time]]-Grid_BD[[#This Row],[Work Start TimeStamp]])*24</f>
        <v>0</v>
      </c>
      <c r="Q13" s="21">
        <f>(Grid_BD[[#This Row],[Fault Clearance time]]-Grid_BD[[#This Row],[Fault Start TimeStamp]])*24</f>
        <v>0</v>
      </c>
      <c r="R13" s="25"/>
      <c r="S13" s="5"/>
      <c r="T13" s="26" t="str">
        <f>IFERROR(Grid_BD[[#This Row],[Breakdown Time]]*Grid_BD[[#This Row],[Plant Equivalent Weightage]],"")</f>
        <v/>
      </c>
      <c r="U13" s="26"/>
      <c r="V13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4">
        <f>IF(K13="Curtailment Order",(((100%*(Grid_BD[[#This Row],[Op. Hours]]-T13))+(((W13)/'Basic Data'!$B$2)*T13))/Grid_BD[[#This Row],[Op. Hours]]),1)</f>
        <v>1</v>
      </c>
    </row>
    <row r="14" spans="1:24">
      <c r="A14" s="9">
        <f t="shared" si="0"/>
        <v>13</v>
      </c>
      <c r="B14" s="18"/>
      <c r="C14" s="29">
        <f>YEAR(Grid_BD[[#This Row],[Date]])+IF(MONTH(Grid_BD[[#This Row],[Date]])&gt;=4,1,0)</f>
        <v>1900</v>
      </c>
      <c r="D14" s="9">
        <f>YEAR(Grid_BD[[#This Row],[Date]])</f>
        <v>1900</v>
      </c>
      <c r="E14" s="9" t="s">
        <v>339</v>
      </c>
      <c r="G14" s="5" t="str">
        <f>IFERROR(_xlfn.XLOOKUP(Grid_BD[[#This Row],[Date]],RD[Date],RD[Solar Operating Hours]),"")</f>
        <v/>
      </c>
      <c r="H14" s="5" t="str">
        <f>IFERROR(VLOOKUP(Grid_BD[[#This Row],[Affected Feeder ]],'Basic Data'!#REF!,3,0),"")</f>
        <v/>
      </c>
      <c r="I14" s="8" t="str">
        <f>IFERROR(VLOOKUP(Grid_BD[[#This Row],[Affected Feeder ]],'Basic Data'!#REF!,5,0),"")</f>
        <v/>
      </c>
      <c r="L14" s="20"/>
      <c r="M14" s="20"/>
      <c r="N14" s="20"/>
      <c r="O14" s="21">
        <f>(Grid_BD[[#This Row],[Work Start TimeStamp]]-Grid_BD[[#This Row],[Fault Start TimeStamp]])*24</f>
        <v>0</v>
      </c>
      <c r="P14" s="21">
        <f>(Grid_BD[[#This Row],[Fault Clearance time]]-Grid_BD[[#This Row],[Work Start TimeStamp]])*24</f>
        <v>0</v>
      </c>
      <c r="Q14" s="21">
        <f>(Grid_BD[[#This Row],[Fault Clearance time]]-Grid_BD[[#This Row],[Fault Start TimeStamp]])*24</f>
        <v>0</v>
      </c>
      <c r="R14" s="25"/>
      <c r="S14" s="5"/>
      <c r="T14" s="26" t="str">
        <f>IFERROR(Grid_BD[[#This Row],[Breakdown Time]]*Grid_BD[[#This Row],[Plant Equivalent Weightage]],"")</f>
        <v/>
      </c>
      <c r="U14" s="26"/>
      <c r="V1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4">
        <f>IF(K14="Curtailment Order",(((100%*(Grid_BD[[#This Row],[Op. Hours]]-T14))+(((W14)/'Basic Data'!$B$2)*T14))/Grid_BD[[#This Row],[Op. Hours]]),1)</f>
        <v>1</v>
      </c>
    </row>
    <row r="15" spans="1:24">
      <c r="A15" s="9">
        <f t="shared" si="0"/>
        <v>14</v>
      </c>
      <c r="B15" s="18"/>
      <c r="C15" s="29">
        <f>YEAR(Grid_BD[[#This Row],[Date]])+IF(MONTH(Grid_BD[[#This Row],[Date]])&gt;=4,1,0)</f>
        <v>1900</v>
      </c>
      <c r="D15" s="9">
        <f>YEAR(Grid_BD[[#This Row],[Date]])</f>
        <v>1900</v>
      </c>
      <c r="E15" s="9" t="s">
        <v>339</v>
      </c>
      <c r="G15" s="5" t="str">
        <f>IFERROR(_xlfn.XLOOKUP(Grid_BD[[#This Row],[Date]],RD[Date],RD[Solar Operating Hours]),"")</f>
        <v/>
      </c>
      <c r="H15" s="5" t="str">
        <f>IFERROR(VLOOKUP(Grid_BD[[#This Row],[Affected Feeder ]],'Basic Data'!#REF!,3,0),"")</f>
        <v/>
      </c>
      <c r="I15" s="8" t="str">
        <f>IFERROR(VLOOKUP(Grid_BD[[#This Row],[Affected Feeder ]],'Basic Data'!#REF!,5,0),"")</f>
        <v/>
      </c>
      <c r="L15" s="20"/>
      <c r="M15" s="20"/>
      <c r="N15" s="20"/>
      <c r="O15" s="21">
        <f>(Grid_BD[[#This Row],[Work Start TimeStamp]]-Grid_BD[[#This Row],[Fault Start TimeStamp]])*24</f>
        <v>0</v>
      </c>
      <c r="P15" s="21">
        <f>(Grid_BD[[#This Row],[Fault Clearance time]]-Grid_BD[[#This Row],[Work Start TimeStamp]])*24</f>
        <v>0</v>
      </c>
      <c r="Q15" s="21">
        <f>(Grid_BD[[#This Row],[Fault Clearance time]]-Grid_BD[[#This Row],[Fault Start TimeStamp]])*24</f>
        <v>0</v>
      </c>
      <c r="R15" s="25"/>
      <c r="S15" s="5"/>
      <c r="T15" s="26" t="str">
        <f>IFERROR(Grid_BD[[#This Row],[Breakdown Time]]*Grid_BD[[#This Row],[Plant Equivalent Weightage]],"")</f>
        <v/>
      </c>
      <c r="U15" s="26"/>
      <c r="V1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4">
        <f>IF(K15="Curtailment Order",(((100%*(Grid_BD[[#This Row],[Op. Hours]]-T15))+(((W15)/'Basic Data'!$B$2)*T15))/Grid_BD[[#This Row],[Op. Hours]]),1)</f>
        <v>1</v>
      </c>
    </row>
    <row r="548" spans="7:7">
      <c r="G548" s="5" t="s">
        <v>27</v>
      </c>
    </row>
    <row r="608" spans="7:7">
      <c r="G608" s="5" t="s">
        <v>1214</v>
      </c>
    </row>
  </sheetData>
  <phoneticPr fontId="90" type="noConversion"/>
  <dataValidations count="1">
    <dataValidation type="decimal" allowBlank="1" showInputMessage="1" showErrorMessage="1" sqref="W2:W15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S2:S15 L16:L1048576 K2:K15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185"/>
  <sheetViews>
    <sheetView topLeftCell="A2" zoomScale="112" zoomScaleNormal="112" workbookViewId="0">
      <pane xSplit="2" ySplit="1" topLeftCell="C180" activePane="bottomRight" state="frozen"/>
      <selection pane="bottomRight" activeCell="M148" sqref="M148"/>
      <selection pane="bottomLeft" activeCell="A3" sqref="A3"/>
      <selection pane="topRight" activeCell="C2" sqref="C2"/>
    </sheetView>
  </sheetViews>
  <sheetFormatPr defaultColWidth="8.875" defaultRowHeight="15"/>
  <cols>
    <col min="1" max="1" width="13.125" customWidth="1"/>
    <col min="2" max="2" width="11.125" customWidth="1"/>
    <col min="3" max="6" width="13.125" customWidth="1"/>
    <col min="7" max="7" width="10.875" style="5" customWidth="1"/>
    <col min="8" max="8" width="9.125" style="5"/>
    <col min="10" max="36" width="13.125" customWidth="1"/>
    <col min="37" max="38" width="11.875" bestFit="1" customWidth="1"/>
    <col min="39" max="39" width="13.125" customWidth="1"/>
    <col min="40" max="40" width="11.125" style="5" customWidth="1"/>
    <col min="41" max="46" width="13.125" customWidth="1"/>
    <col min="47" max="47" width="48.1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1215</v>
      </c>
      <c r="F2" s="110" t="s">
        <v>323</v>
      </c>
      <c r="G2" s="110" t="s">
        <v>71</v>
      </c>
      <c r="H2" s="110" t="s">
        <v>47</v>
      </c>
      <c r="I2" s="110" t="s">
        <v>1216</v>
      </c>
      <c r="J2" s="110" t="s">
        <v>1217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1218</v>
      </c>
      <c r="T2" s="141" t="s">
        <v>1219</v>
      </c>
      <c r="U2" s="141" t="s">
        <v>1220</v>
      </c>
      <c r="V2" s="141" t="s">
        <v>1221</v>
      </c>
      <c r="W2" s="141" t="s">
        <v>1222</v>
      </c>
      <c r="X2" s="141" t="s">
        <v>1223</v>
      </c>
      <c r="Y2" s="141" t="s">
        <v>1224</v>
      </c>
      <c r="Z2" s="141" t="s">
        <v>1225</v>
      </c>
      <c r="AA2" s="49" t="s">
        <v>1226</v>
      </c>
      <c r="AB2" s="49" t="s">
        <v>1227</v>
      </c>
      <c r="AC2" s="49" t="s">
        <v>1228</v>
      </c>
      <c r="AD2" s="49" t="s">
        <v>1229</v>
      </c>
      <c r="AE2" s="49" t="s">
        <v>1230</v>
      </c>
      <c r="AF2" s="49" t="s">
        <v>1231</v>
      </c>
      <c r="AG2" s="49" t="s">
        <v>1232</v>
      </c>
      <c r="AH2" s="49" t="s">
        <v>1233</v>
      </c>
      <c r="AI2" s="49" t="s">
        <v>1234</v>
      </c>
      <c r="AJ2" s="49" t="s">
        <v>1235</v>
      </c>
      <c r="AK2" s="49" t="s">
        <v>1236</v>
      </c>
      <c r="AL2" s="49" t="s">
        <v>1237</v>
      </c>
      <c r="AM2" s="110" t="s">
        <v>1238</v>
      </c>
      <c r="AN2" s="110" t="s">
        <v>1239</v>
      </c>
      <c r="AO2" s="110" t="s">
        <v>1240</v>
      </c>
      <c r="AP2" s="110" t="s">
        <v>1241</v>
      </c>
      <c r="AQ2" s="110" t="s">
        <v>1242</v>
      </c>
      <c r="AR2" s="110" t="s">
        <v>1243</v>
      </c>
      <c r="AS2" s="110" t="s">
        <v>1244</v>
      </c>
      <c r="AT2" s="110" t="s">
        <v>1245</v>
      </c>
    </row>
    <row r="3" spans="1:46">
      <c r="A3" s="112">
        <v>1</v>
      </c>
      <c r="B3" s="113">
        <v>45323</v>
      </c>
      <c r="C3" s="114">
        <f>YEAR(MC[[#This Row],[Date]])+IF(MONTH(MC[[#This Row],[Date]])&gt;=4,1,0)</f>
        <v>2024</v>
      </c>
      <c r="D3" s="115">
        <f>YEAR(MC[[#This Row],[Date]])</f>
        <v>2024</v>
      </c>
      <c r="E3" s="112" t="s">
        <v>340</v>
      </c>
      <c r="F3" s="112" t="s">
        <v>340</v>
      </c>
      <c r="G3" s="116" t="str">
        <f>TEXT(MC[[#This Row],[Date]],"mmm-yy")</f>
        <v>Feb-24</v>
      </c>
      <c r="H3" s="116">
        <f>DAY(EOMONTH(MC[[#This Row],[Month Year]],0))</f>
        <v>29</v>
      </c>
      <c r="I3" s="112">
        <v>1</v>
      </c>
      <c r="J3" s="112">
        <v>2</v>
      </c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45324</v>
      </c>
      <c r="C4" s="114">
        <f>YEAR(MC[[#This Row],[Date]])+IF(MONTH(MC[[#This Row],[Date]])&gt;=4,1,0)</f>
        <v>2024</v>
      </c>
      <c r="D4" s="115">
        <f>YEAR(MC[[#This Row],[Date]])</f>
        <v>2024</v>
      </c>
      <c r="E4" s="112" t="s">
        <v>340</v>
      </c>
      <c r="F4" s="112" t="s">
        <v>340</v>
      </c>
      <c r="G4" s="116" t="str">
        <f>TEXT(MC[[#This Row],[Date]],"mmm-yy")</f>
        <v>Feb-24</v>
      </c>
      <c r="H4" s="116">
        <f>DAY(EOMONTH(MC[[#This Row],[Month Year]],0))</f>
        <v>29</v>
      </c>
      <c r="I4" s="119">
        <v>1</v>
      </c>
      <c r="J4" s="119">
        <v>2</v>
      </c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68" si="0">B4+1</f>
        <v>45325</v>
      </c>
      <c r="C5" s="114">
        <f>YEAR(MC[[#This Row],[Date]])+IF(MONTH(MC[[#This Row],[Date]])&gt;=4,1,0)</f>
        <v>2024</v>
      </c>
      <c r="D5" s="115">
        <f>YEAR(MC[[#This Row],[Date]])</f>
        <v>2024</v>
      </c>
      <c r="E5" s="112" t="s">
        <v>340</v>
      </c>
      <c r="F5" s="112" t="s">
        <v>340</v>
      </c>
      <c r="G5" s="116" t="str">
        <f>TEXT(MC[[#This Row],[Date]],"mmm-yy")</f>
        <v>Feb-24</v>
      </c>
      <c r="H5" s="116">
        <f>DAY(EOMONTH(MC[[#This Row],[Month Year]],0))</f>
        <v>29</v>
      </c>
      <c r="I5" s="119">
        <v>1</v>
      </c>
      <c r="J5" s="119">
        <v>2</v>
      </c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45326</v>
      </c>
      <c r="C6" s="114">
        <f>YEAR(MC[[#This Row],[Date]])+IF(MONTH(MC[[#This Row],[Date]])&gt;=4,1,0)</f>
        <v>2024</v>
      </c>
      <c r="D6" s="115">
        <f>YEAR(MC[[#This Row],[Date]])</f>
        <v>2024</v>
      </c>
      <c r="E6" s="112" t="s">
        <v>340</v>
      </c>
      <c r="F6" s="112" t="s">
        <v>340</v>
      </c>
      <c r="G6" s="116" t="str">
        <f>TEXT(MC[[#This Row],[Date]],"mmm-yy")</f>
        <v>Feb-24</v>
      </c>
      <c r="H6" s="116">
        <f>DAY(EOMONTH(MC[[#This Row],[Month Year]],0))</f>
        <v>29</v>
      </c>
      <c r="I6" s="119">
        <v>1</v>
      </c>
      <c r="J6" s="119">
        <v>0</v>
      </c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45327</v>
      </c>
      <c r="C7" s="114">
        <f>YEAR(MC[[#This Row],[Date]])+IF(MONTH(MC[[#This Row],[Date]])&gt;=4,1,0)</f>
        <v>2024</v>
      </c>
      <c r="D7" s="115">
        <f>YEAR(MC[[#This Row],[Date]])</f>
        <v>2024</v>
      </c>
      <c r="E7" s="112" t="s">
        <v>340</v>
      </c>
      <c r="F7" s="112" t="s">
        <v>340</v>
      </c>
      <c r="G7" s="116" t="str">
        <f>TEXT(MC[[#This Row],[Date]],"mmm-yy")</f>
        <v>Feb-24</v>
      </c>
      <c r="H7" s="116">
        <f>DAY(EOMONTH(MC[[#This Row],[Month Year]],0))</f>
        <v>29</v>
      </c>
      <c r="I7" s="119">
        <v>1</v>
      </c>
      <c r="J7" s="119">
        <v>2</v>
      </c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45328</v>
      </c>
      <c r="C8" s="114">
        <f>YEAR(MC[[#This Row],[Date]])+IF(MONTH(MC[[#This Row],[Date]])&gt;=4,1,0)</f>
        <v>2024</v>
      </c>
      <c r="D8" s="115">
        <f>YEAR(MC[[#This Row],[Date]])</f>
        <v>2024</v>
      </c>
      <c r="E8" s="112" t="s">
        <v>340</v>
      </c>
      <c r="F8" s="112" t="s">
        <v>340</v>
      </c>
      <c r="G8" s="116" t="str">
        <f>TEXT(MC[[#This Row],[Date]],"mmm-yy")</f>
        <v>Feb-24</v>
      </c>
      <c r="H8" s="116">
        <f>DAY(EOMONTH(MC[[#This Row],[Month Year]],0))</f>
        <v>29</v>
      </c>
      <c r="I8" s="119">
        <v>1</v>
      </c>
      <c r="J8" s="119">
        <v>2</v>
      </c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45329</v>
      </c>
      <c r="C9" s="114">
        <f>YEAR(MC[[#This Row],[Date]])+IF(MONTH(MC[[#This Row],[Date]])&gt;=4,1,0)</f>
        <v>2024</v>
      </c>
      <c r="D9" s="115">
        <f>YEAR(MC[[#This Row],[Date]])</f>
        <v>2024</v>
      </c>
      <c r="E9" s="112" t="s">
        <v>340</v>
      </c>
      <c r="F9" s="112" t="s">
        <v>340</v>
      </c>
      <c r="G9" s="116" t="str">
        <f>TEXT(MC[[#This Row],[Date]],"mmm-yy")</f>
        <v>Feb-24</v>
      </c>
      <c r="H9" s="116">
        <f>DAY(EOMONTH(MC[[#This Row],[Month Year]],0))</f>
        <v>29</v>
      </c>
      <c r="I9" s="119">
        <v>1</v>
      </c>
      <c r="J9" s="119">
        <v>2</v>
      </c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45330</v>
      </c>
      <c r="C10" s="114">
        <f>YEAR(MC[[#This Row],[Date]])+IF(MONTH(MC[[#This Row],[Date]])&gt;=4,1,0)</f>
        <v>2024</v>
      </c>
      <c r="D10" s="115">
        <f>YEAR(MC[[#This Row],[Date]])</f>
        <v>2024</v>
      </c>
      <c r="E10" s="112" t="s">
        <v>340</v>
      </c>
      <c r="F10" s="112" t="s">
        <v>340</v>
      </c>
      <c r="G10" s="116" t="str">
        <f>TEXT(MC[[#This Row],[Date]],"mmm-yy")</f>
        <v>Feb-24</v>
      </c>
      <c r="H10" s="116">
        <f>DAY(EOMONTH(MC[[#This Row],[Month Year]],0))</f>
        <v>29</v>
      </c>
      <c r="I10" s="119">
        <v>1</v>
      </c>
      <c r="J10" s="119">
        <v>2</v>
      </c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45331</v>
      </c>
      <c r="C11" s="114">
        <f>YEAR(MC[[#This Row],[Date]])+IF(MONTH(MC[[#This Row],[Date]])&gt;=4,1,0)</f>
        <v>2024</v>
      </c>
      <c r="D11" s="115">
        <f>YEAR(MC[[#This Row],[Date]])</f>
        <v>2024</v>
      </c>
      <c r="E11" s="112" t="s">
        <v>340</v>
      </c>
      <c r="F11" s="112" t="s">
        <v>340</v>
      </c>
      <c r="G11" s="116" t="str">
        <f>TEXT(MC[[#This Row],[Date]],"mmm-yy")</f>
        <v>Feb-24</v>
      </c>
      <c r="H11" s="116">
        <f>DAY(EOMONTH(MC[[#This Row],[Month Year]],0))</f>
        <v>29</v>
      </c>
      <c r="I11" s="119">
        <v>1</v>
      </c>
      <c r="J11" s="119">
        <v>2</v>
      </c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45332</v>
      </c>
      <c r="C12" s="114">
        <f>YEAR(MC[[#This Row],[Date]])+IF(MONTH(MC[[#This Row],[Date]])&gt;=4,1,0)</f>
        <v>2024</v>
      </c>
      <c r="D12" s="115">
        <f>YEAR(MC[[#This Row],[Date]])</f>
        <v>2024</v>
      </c>
      <c r="E12" s="112" t="s">
        <v>340</v>
      </c>
      <c r="F12" s="112" t="s">
        <v>340</v>
      </c>
      <c r="G12" s="116" t="str">
        <f>TEXT(MC[[#This Row],[Date]],"mmm-yy")</f>
        <v>Feb-24</v>
      </c>
      <c r="H12" s="116">
        <f>DAY(EOMONTH(MC[[#This Row],[Month Year]],0))</f>
        <v>29</v>
      </c>
      <c r="I12" s="119">
        <v>1</v>
      </c>
      <c r="J12" s="119">
        <v>0</v>
      </c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45333</v>
      </c>
      <c r="C13" s="114">
        <f>YEAR(MC[[#This Row],[Date]])+IF(MONTH(MC[[#This Row],[Date]])&gt;=4,1,0)</f>
        <v>2024</v>
      </c>
      <c r="D13" s="115">
        <f>YEAR(MC[[#This Row],[Date]])</f>
        <v>2024</v>
      </c>
      <c r="E13" s="112" t="s">
        <v>340</v>
      </c>
      <c r="F13" s="112" t="s">
        <v>340</v>
      </c>
      <c r="G13" s="116" t="str">
        <f>TEXT(MC[[#This Row],[Date]],"mmm-yy")</f>
        <v>Feb-24</v>
      </c>
      <c r="H13" s="116">
        <f>DAY(EOMONTH(MC[[#This Row],[Month Year]],0))</f>
        <v>29</v>
      </c>
      <c r="I13" s="119">
        <v>1</v>
      </c>
      <c r="J13" s="119">
        <v>2</v>
      </c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45334</v>
      </c>
      <c r="C14" s="114">
        <f>YEAR(MC[[#This Row],[Date]])+IF(MONTH(MC[[#This Row],[Date]])&gt;=4,1,0)</f>
        <v>2024</v>
      </c>
      <c r="D14" s="115">
        <f>YEAR(MC[[#This Row],[Date]])</f>
        <v>2024</v>
      </c>
      <c r="E14" s="112" t="s">
        <v>340</v>
      </c>
      <c r="F14" s="112" t="s">
        <v>340</v>
      </c>
      <c r="G14" s="116" t="str">
        <f>TEXT(MC[[#This Row],[Date]],"mmm-yy")</f>
        <v>Feb-24</v>
      </c>
      <c r="H14" s="116">
        <f>DAY(EOMONTH(MC[[#This Row],[Month Year]],0))</f>
        <v>29</v>
      </c>
      <c r="I14" s="119">
        <v>1</v>
      </c>
      <c r="J14" s="119">
        <v>2</v>
      </c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45335</v>
      </c>
      <c r="C15" s="114">
        <f>YEAR(MC[[#This Row],[Date]])+IF(MONTH(MC[[#This Row],[Date]])&gt;=4,1,0)</f>
        <v>2024</v>
      </c>
      <c r="D15" s="115">
        <f>YEAR(MC[[#This Row],[Date]])</f>
        <v>2024</v>
      </c>
      <c r="E15" s="112" t="s">
        <v>340</v>
      </c>
      <c r="F15" s="112" t="s">
        <v>340</v>
      </c>
      <c r="G15" s="116" t="str">
        <f>TEXT(MC[[#This Row],[Date]],"mmm-yy")</f>
        <v>Feb-24</v>
      </c>
      <c r="H15" s="116">
        <f>DAY(EOMONTH(MC[[#This Row],[Month Year]],0))</f>
        <v>29</v>
      </c>
      <c r="I15" s="119">
        <v>1</v>
      </c>
      <c r="J15" s="119">
        <v>2</v>
      </c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45336</v>
      </c>
      <c r="C16" s="114">
        <f>YEAR(MC[[#This Row],[Date]])+IF(MONTH(MC[[#This Row],[Date]])&gt;=4,1,0)</f>
        <v>2024</v>
      </c>
      <c r="D16" s="115">
        <f>YEAR(MC[[#This Row],[Date]])</f>
        <v>2024</v>
      </c>
      <c r="E16" s="112" t="s">
        <v>340</v>
      </c>
      <c r="F16" s="112" t="s">
        <v>340</v>
      </c>
      <c r="G16" s="116" t="str">
        <f>TEXT(MC[[#This Row],[Date]],"mmm-yy")</f>
        <v>Feb-24</v>
      </c>
      <c r="H16" s="116">
        <f>DAY(EOMONTH(MC[[#This Row],[Month Year]],0))</f>
        <v>29</v>
      </c>
      <c r="I16" s="119">
        <v>1</v>
      </c>
      <c r="J16" s="119">
        <v>2</v>
      </c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45337</v>
      </c>
      <c r="C17" s="114">
        <f>YEAR(MC[[#This Row],[Date]])+IF(MONTH(MC[[#This Row],[Date]])&gt;=4,1,0)</f>
        <v>2024</v>
      </c>
      <c r="D17" s="115">
        <f>YEAR(MC[[#This Row],[Date]])</f>
        <v>2024</v>
      </c>
      <c r="E17" s="112" t="s">
        <v>340</v>
      </c>
      <c r="F17" s="112" t="s">
        <v>340</v>
      </c>
      <c r="G17" s="116" t="str">
        <f>TEXT(MC[[#This Row],[Date]],"mmm-yy")</f>
        <v>Feb-24</v>
      </c>
      <c r="H17" s="116">
        <f>DAY(EOMONTH(MC[[#This Row],[Month Year]],0))</f>
        <v>29</v>
      </c>
      <c r="I17" s="119">
        <v>1</v>
      </c>
      <c r="J17" s="119">
        <v>2</v>
      </c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45338</v>
      </c>
      <c r="C18" s="114">
        <f>YEAR(MC[[#This Row],[Date]])+IF(MONTH(MC[[#This Row],[Date]])&gt;=4,1,0)</f>
        <v>2024</v>
      </c>
      <c r="D18" s="115">
        <f>YEAR(MC[[#This Row],[Date]])</f>
        <v>2024</v>
      </c>
      <c r="E18" s="112" t="s">
        <v>340</v>
      </c>
      <c r="F18" s="112" t="s">
        <v>340</v>
      </c>
      <c r="G18" s="116" t="str">
        <f>TEXT(MC[[#This Row],[Date]],"mmm-yy")</f>
        <v>Feb-24</v>
      </c>
      <c r="H18" s="116">
        <f>DAY(EOMONTH(MC[[#This Row],[Month Year]],0))</f>
        <v>29</v>
      </c>
      <c r="I18" s="119">
        <v>1</v>
      </c>
      <c r="J18" s="119">
        <v>2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45339</v>
      </c>
      <c r="C19" s="114">
        <f>YEAR(MC[[#This Row],[Date]])+IF(MONTH(MC[[#This Row],[Date]])&gt;=4,1,0)</f>
        <v>2024</v>
      </c>
      <c r="D19" s="115">
        <f>YEAR(MC[[#This Row],[Date]])</f>
        <v>2024</v>
      </c>
      <c r="E19" s="112" t="s">
        <v>340</v>
      </c>
      <c r="F19" s="112" t="s">
        <v>340</v>
      </c>
      <c r="G19" s="116" t="str">
        <f>TEXT(MC[[#This Row],[Date]],"mmm-yy")</f>
        <v>Feb-24</v>
      </c>
      <c r="H19" s="116">
        <f>DAY(EOMONTH(MC[[#This Row],[Month Year]],0))</f>
        <v>29</v>
      </c>
      <c r="I19" s="119">
        <v>1</v>
      </c>
      <c r="J19" s="119">
        <v>2</v>
      </c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45340</v>
      </c>
      <c r="C20" s="114">
        <f>YEAR(MC[[#This Row],[Date]])+IF(MONTH(MC[[#This Row],[Date]])&gt;=4,1,0)</f>
        <v>2024</v>
      </c>
      <c r="D20" s="115">
        <f>YEAR(MC[[#This Row],[Date]])</f>
        <v>2024</v>
      </c>
      <c r="E20" s="112" t="s">
        <v>340</v>
      </c>
      <c r="F20" s="112" t="s">
        <v>340</v>
      </c>
      <c r="G20" s="116" t="str">
        <f>TEXT(MC[[#This Row],[Date]],"mmm-yy")</f>
        <v>Feb-24</v>
      </c>
      <c r="H20" s="116">
        <f>DAY(EOMONTH(MC[[#This Row],[Month Year]],0))</f>
        <v>29</v>
      </c>
      <c r="I20" s="119">
        <v>1</v>
      </c>
      <c r="J20" s="119">
        <v>0</v>
      </c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45341</v>
      </c>
      <c r="C21" s="114">
        <f>YEAR(MC[[#This Row],[Date]])+IF(MONTH(MC[[#This Row],[Date]])&gt;=4,1,0)</f>
        <v>2024</v>
      </c>
      <c r="D21" s="115">
        <f>YEAR(MC[[#This Row],[Date]])</f>
        <v>2024</v>
      </c>
      <c r="E21" s="112" t="s">
        <v>340</v>
      </c>
      <c r="F21" s="112" t="s">
        <v>340</v>
      </c>
      <c r="G21" s="116" t="str">
        <f>TEXT(MC[[#This Row],[Date]],"mmm-yy")</f>
        <v>Feb-24</v>
      </c>
      <c r="H21" s="116">
        <f>DAY(EOMONTH(MC[[#This Row],[Month Year]],0))</f>
        <v>29</v>
      </c>
      <c r="I21" s="119">
        <v>1</v>
      </c>
      <c r="J21" s="119">
        <v>2</v>
      </c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45342</v>
      </c>
      <c r="C22" s="114">
        <f>YEAR(MC[[#This Row],[Date]])+IF(MONTH(MC[[#This Row],[Date]])&gt;=4,1,0)</f>
        <v>2024</v>
      </c>
      <c r="D22" s="115">
        <f>YEAR(MC[[#This Row],[Date]])</f>
        <v>2024</v>
      </c>
      <c r="E22" s="112" t="s">
        <v>340</v>
      </c>
      <c r="F22" s="112" t="s">
        <v>340</v>
      </c>
      <c r="G22" s="116" t="str">
        <f>TEXT(MC[[#This Row],[Date]],"mmm-yy")</f>
        <v>Feb-24</v>
      </c>
      <c r="H22" s="116">
        <f>DAY(EOMONTH(MC[[#This Row],[Month Year]],0))</f>
        <v>29</v>
      </c>
      <c r="I22" s="119">
        <v>1</v>
      </c>
      <c r="J22" s="119">
        <v>2</v>
      </c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45343</v>
      </c>
      <c r="C23" s="114">
        <f>YEAR(MC[[#This Row],[Date]])+IF(MONTH(MC[[#This Row],[Date]])&gt;=4,1,0)</f>
        <v>2024</v>
      </c>
      <c r="D23" s="115">
        <f>YEAR(MC[[#This Row],[Date]])</f>
        <v>2024</v>
      </c>
      <c r="E23" s="112" t="s">
        <v>340</v>
      </c>
      <c r="F23" s="112" t="s">
        <v>340</v>
      </c>
      <c r="G23" s="116" t="str">
        <f>TEXT(MC[[#This Row],[Date]],"mmm-yy")</f>
        <v>Feb-24</v>
      </c>
      <c r="H23" s="116">
        <f>DAY(EOMONTH(MC[[#This Row],[Month Year]],0))</f>
        <v>29</v>
      </c>
      <c r="I23" s="119">
        <v>1</v>
      </c>
      <c r="J23" s="119">
        <v>2</v>
      </c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45344</v>
      </c>
      <c r="C24" s="114">
        <f>YEAR(MC[[#This Row],[Date]])+IF(MONTH(MC[[#This Row],[Date]])&gt;=4,1,0)</f>
        <v>2024</v>
      </c>
      <c r="D24" s="115">
        <f>YEAR(MC[[#This Row],[Date]])</f>
        <v>2024</v>
      </c>
      <c r="E24" s="112" t="s">
        <v>340</v>
      </c>
      <c r="F24" s="112" t="s">
        <v>340</v>
      </c>
      <c r="G24" s="116" t="str">
        <f>TEXT(MC[[#This Row],[Date]],"mmm-yy")</f>
        <v>Feb-24</v>
      </c>
      <c r="H24" s="116">
        <f>DAY(EOMONTH(MC[[#This Row],[Month Year]],0))</f>
        <v>29</v>
      </c>
      <c r="I24" s="119">
        <v>1</v>
      </c>
      <c r="J24" s="119">
        <v>2</v>
      </c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45345</v>
      </c>
      <c r="C25" s="114">
        <f>YEAR(MC[[#This Row],[Date]])+IF(MONTH(MC[[#This Row],[Date]])&gt;=4,1,0)</f>
        <v>2024</v>
      </c>
      <c r="D25" s="115">
        <f>YEAR(MC[[#This Row],[Date]])</f>
        <v>2024</v>
      </c>
      <c r="E25" s="112" t="s">
        <v>340</v>
      </c>
      <c r="F25" s="112" t="s">
        <v>340</v>
      </c>
      <c r="G25" s="116" t="str">
        <f>TEXT(MC[[#This Row],[Date]],"mmm-yy")</f>
        <v>Feb-24</v>
      </c>
      <c r="H25" s="116">
        <f>DAY(EOMONTH(MC[[#This Row],[Month Year]],0))</f>
        <v>29</v>
      </c>
      <c r="I25" s="119">
        <v>1</v>
      </c>
      <c r="J25" s="119">
        <v>2</v>
      </c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45346</v>
      </c>
      <c r="C26" s="114">
        <f>YEAR(MC[[#This Row],[Date]])+IF(MONTH(MC[[#This Row],[Date]])&gt;=4,1,0)</f>
        <v>2024</v>
      </c>
      <c r="D26" s="115">
        <f>YEAR(MC[[#This Row],[Date]])</f>
        <v>2024</v>
      </c>
      <c r="E26" s="112" t="s">
        <v>340</v>
      </c>
      <c r="F26" s="112" t="s">
        <v>340</v>
      </c>
      <c r="G26" s="116" t="str">
        <f>TEXT(MC[[#This Row],[Date]],"mmm-yy")</f>
        <v>Feb-24</v>
      </c>
      <c r="H26" s="116">
        <f>DAY(EOMONTH(MC[[#This Row],[Month Year]],0))</f>
        <v>29</v>
      </c>
      <c r="I26" s="119">
        <v>1</v>
      </c>
      <c r="J26" s="119">
        <v>2</v>
      </c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45347</v>
      </c>
      <c r="C27" s="114">
        <f>YEAR(MC[[#This Row],[Date]])+IF(MONTH(MC[[#This Row],[Date]])&gt;=4,1,0)</f>
        <v>2024</v>
      </c>
      <c r="D27" s="115">
        <f>YEAR(MC[[#This Row],[Date]])</f>
        <v>2024</v>
      </c>
      <c r="E27" s="112" t="s">
        <v>340</v>
      </c>
      <c r="F27" s="112" t="s">
        <v>340</v>
      </c>
      <c r="G27" s="116" t="str">
        <f>TEXT(MC[[#This Row],[Date]],"mmm-yy")</f>
        <v>Feb-24</v>
      </c>
      <c r="H27" s="116">
        <f>DAY(EOMONTH(MC[[#This Row],[Month Year]],0))</f>
        <v>29</v>
      </c>
      <c r="I27" s="119">
        <v>1</v>
      </c>
      <c r="J27" s="119">
        <v>0</v>
      </c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45348</v>
      </c>
      <c r="C28" s="114">
        <f>YEAR(MC[[#This Row],[Date]])+IF(MONTH(MC[[#This Row],[Date]])&gt;=4,1,0)</f>
        <v>2024</v>
      </c>
      <c r="D28" s="115">
        <f>YEAR(MC[[#This Row],[Date]])</f>
        <v>2024</v>
      </c>
      <c r="E28" s="112" t="s">
        <v>340</v>
      </c>
      <c r="F28" s="112" t="s">
        <v>340</v>
      </c>
      <c r="G28" s="116" t="str">
        <f>TEXT(MC[[#This Row],[Date]],"mmm-yy")</f>
        <v>Feb-24</v>
      </c>
      <c r="H28" s="116">
        <f>DAY(EOMONTH(MC[[#This Row],[Month Year]],0))</f>
        <v>29</v>
      </c>
      <c r="I28" s="119">
        <v>1</v>
      </c>
      <c r="J28" s="119">
        <v>2</v>
      </c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45349</v>
      </c>
      <c r="C29" s="114">
        <f>YEAR(MC[[#This Row],[Date]])+IF(MONTH(MC[[#This Row],[Date]])&gt;=4,1,0)</f>
        <v>2024</v>
      </c>
      <c r="D29" s="115">
        <f>YEAR(MC[[#This Row],[Date]])</f>
        <v>2024</v>
      </c>
      <c r="E29" s="112" t="s">
        <v>340</v>
      </c>
      <c r="F29" s="112" t="s">
        <v>340</v>
      </c>
      <c r="G29" s="116" t="str">
        <f>TEXT(MC[[#This Row],[Date]],"mmm-yy")</f>
        <v>Feb-24</v>
      </c>
      <c r="H29" s="116">
        <f>DAY(EOMONTH(MC[[#This Row],[Month Year]],0))</f>
        <v>29</v>
      </c>
      <c r="I29" s="119">
        <v>1</v>
      </c>
      <c r="J29" s="119">
        <v>2</v>
      </c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45350</v>
      </c>
      <c r="C30" s="114">
        <f>YEAR(MC[[#This Row],[Date]])+IF(MONTH(MC[[#This Row],[Date]])&gt;=4,1,0)</f>
        <v>2024</v>
      </c>
      <c r="D30" s="115">
        <f>YEAR(MC[[#This Row],[Date]])</f>
        <v>2024</v>
      </c>
      <c r="E30" s="112" t="s">
        <v>340</v>
      </c>
      <c r="F30" s="112" t="s">
        <v>340</v>
      </c>
      <c r="G30" s="116" t="str">
        <f>TEXT(MC[[#This Row],[Date]],"mmm-yy")</f>
        <v>Feb-24</v>
      </c>
      <c r="H30" s="116">
        <f>DAY(EOMONTH(MC[[#This Row],[Month Year]],0))</f>
        <v>29</v>
      </c>
      <c r="I30" s="119">
        <v>1</v>
      </c>
      <c r="J30" s="119">
        <v>2</v>
      </c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45351</v>
      </c>
      <c r="C31" s="114">
        <f>YEAR(MC[[#This Row],[Date]])+IF(MONTH(MC[[#This Row],[Date]])&gt;=4,1,0)</f>
        <v>2024</v>
      </c>
      <c r="D31" s="115">
        <f>YEAR(MC[[#This Row],[Date]])</f>
        <v>2024</v>
      </c>
      <c r="E31" s="112" t="s">
        <v>340</v>
      </c>
      <c r="F31" s="112" t="s">
        <v>340</v>
      </c>
      <c r="G31" s="116" t="str">
        <f>TEXT(MC[[#This Row],[Date]],"mmm-yy")</f>
        <v>Feb-24</v>
      </c>
      <c r="H31" s="116">
        <f>DAY(EOMONTH(MC[[#This Row],[Month Year]],0))</f>
        <v>29</v>
      </c>
      <c r="I31" s="119">
        <v>1</v>
      </c>
      <c r="J31" s="119">
        <v>2</v>
      </c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45352</v>
      </c>
      <c r="C32" s="114">
        <f>YEAR(MC[[#This Row],[Date]])+IF(MONTH(MC[[#This Row],[Date]])&gt;=4,1,0)</f>
        <v>2024</v>
      </c>
      <c r="D32" s="115">
        <f>YEAR(MC[[#This Row],[Date]])</f>
        <v>2024</v>
      </c>
      <c r="E32" s="112" t="s">
        <v>340</v>
      </c>
      <c r="F32" s="112" t="s">
        <v>340</v>
      </c>
      <c r="G32" s="116" t="str">
        <f>TEXT(MC[[#This Row],[Date]],"mmm-yy")</f>
        <v>Mar-24</v>
      </c>
      <c r="H32" s="116">
        <f>DAY(EOMONTH(MC[[#This Row],[Month Year]],0))</f>
        <v>31</v>
      </c>
      <c r="I32" s="119">
        <v>2</v>
      </c>
      <c r="J32" s="119">
        <v>2</v>
      </c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45353</v>
      </c>
      <c r="C33" s="114">
        <f>YEAR(MC[[#This Row],[Date]])+IF(MONTH(MC[[#This Row],[Date]])&gt;=4,1,0)</f>
        <v>2024</v>
      </c>
      <c r="D33" s="115">
        <f>YEAR(MC[[#This Row],[Date]])</f>
        <v>2024</v>
      </c>
      <c r="E33" s="112" t="s">
        <v>340</v>
      </c>
      <c r="F33" s="112" t="s">
        <v>340</v>
      </c>
      <c r="G33" s="116" t="str">
        <f>TEXT(MC[[#This Row],[Date]],"mmm-yy")</f>
        <v>Mar-24</v>
      </c>
      <c r="H33" s="116">
        <f>DAY(EOMONTH(MC[[#This Row],[Month Year]],0))</f>
        <v>31</v>
      </c>
      <c r="I33" s="119">
        <v>2</v>
      </c>
      <c r="J33" s="119">
        <v>2</v>
      </c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  <row r="34" spans="1:46">
      <c r="A34" s="119">
        <v>32</v>
      </c>
      <c r="B34" s="113">
        <f t="shared" si="0"/>
        <v>45354</v>
      </c>
      <c r="C34" s="114">
        <f>YEAR(MC[[#This Row],[Date]])+IF(MONTH(MC[[#This Row],[Date]])&gt;=4,1,0)</f>
        <v>2024</v>
      </c>
      <c r="D34" s="115">
        <f>YEAR(MC[[#This Row],[Date]])</f>
        <v>2024</v>
      </c>
      <c r="E34" s="112" t="s">
        <v>340</v>
      </c>
      <c r="F34" s="112" t="s">
        <v>340</v>
      </c>
      <c r="G34" s="116" t="str">
        <f>TEXT(MC[[#This Row],[Date]],"mmm-yy")</f>
        <v>Mar-24</v>
      </c>
      <c r="H34" s="116">
        <f>DAY(EOMONTH(MC[[#This Row],[Month Year]],0))</f>
        <v>31</v>
      </c>
      <c r="I34" s="119">
        <v>2</v>
      </c>
      <c r="J34" s="119">
        <v>2</v>
      </c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SUM(MC[[#This Row],[IS1Inv1M1]:[IS4Inv10M2]])</f>
        <v>0</v>
      </c>
      <c r="AN34" s="119"/>
      <c r="AO34" s="119"/>
      <c r="AP34" s="119"/>
      <c r="AQ34" s="119"/>
      <c r="AR34" s="119"/>
      <c r="AS34" s="119"/>
      <c r="AT34" s="119"/>
    </row>
    <row r="35" spans="1:46">
      <c r="A35" s="119">
        <v>33</v>
      </c>
      <c r="B35" s="113">
        <f t="shared" si="0"/>
        <v>45355</v>
      </c>
      <c r="C35" s="114">
        <f>YEAR(MC[[#This Row],[Date]])+IF(MONTH(MC[[#This Row],[Date]])&gt;=4,1,0)</f>
        <v>2024</v>
      </c>
      <c r="D35" s="115">
        <f>YEAR(MC[[#This Row],[Date]])</f>
        <v>2024</v>
      </c>
      <c r="E35" s="112" t="s">
        <v>340</v>
      </c>
      <c r="F35" s="112" t="s">
        <v>340</v>
      </c>
      <c r="G35" s="116" t="str">
        <f>TEXT(MC[[#This Row],[Date]],"mmm-yy")</f>
        <v>Mar-24</v>
      </c>
      <c r="H35" s="116">
        <f>DAY(EOMONTH(MC[[#This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SUM(MC[[#This Row],[IS1Inv1M1]:[IS4Inv10M2]])</f>
        <v>0</v>
      </c>
      <c r="AN35" s="119"/>
      <c r="AO35" s="119"/>
      <c r="AP35" s="119"/>
      <c r="AQ35" s="119"/>
      <c r="AR35" s="119"/>
      <c r="AS35" s="119"/>
      <c r="AT35" s="119"/>
    </row>
    <row r="36" spans="1:46">
      <c r="A36" s="119">
        <v>34</v>
      </c>
      <c r="B36" s="113">
        <f t="shared" si="0"/>
        <v>45356</v>
      </c>
      <c r="C36" s="114">
        <f>YEAR(MC[[#This Row],[Date]])+IF(MONTH(MC[[#This Row],[Date]])&gt;=4,1,0)</f>
        <v>2024</v>
      </c>
      <c r="D36" s="115">
        <f>YEAR(MC[[#This Row],[Date]])</f>
        <v>2024</v>
      </c>
      <c r="E36" s="112" t="s">
        <v>340</v>
      </c>
      <c r="F36" s="112" t="s">
        <v>340</v>
      </c>
      <c r="G36" s="116" t="str">
        <f>TEXT(MC[[#This Row],[Date]],"mmm-yy")</f>
        <v>Mar-24</v>
      </c>
      <c r="H36" s="116">
        <f>DAY(EOMONTH(MC[[#This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SUM(MC[[#This Row],[IS1Inv1M1]:[IS4Inv10M2]])</f>
        <v>0</v>
      </c>
      <c r="AN36" s="119"/>
      <c r="AO36" s="119"/>
      <c r="AP36" s="119"/>
      <c r="AQ36" s="119"/>
      <c r="AR36" s="119"/>
      <c r="AS36" s="119"/>
      <c r="AT36" s="119"/>
    </row>
    <row r="37" spans="1:46">
      <c r="A37" s="119">
        <v>35</v>
      </c>
      <c r="B37" s="113">
        <f t="shared" si="0"/>
        <v>45357</v>
      </c>
      <c r="C37" s="114">
        <f>YEAR(MC[[#This Row],[Date]])+IF(MONTH(MC[[#This Row],[Date]])&gt;=4,1,0)</f>
        <v>2024</v>
      </c>
      <c r="D37" s="115">
        <f>YEAR(MC[[#This Row],[Date]])</f>
        <v>2024</v>
      </c>
      <c r="E37" s="112" t="s">
        <v>340</v>
      </c>
      <c r="F37" s="112" t="s">
        <v>340</v>
      </c>
      <c r="G37" s="116" t="str">
        <f>TEXT(MC[[#This Row],[Date]],"mmm-yy")</f>
        <v>Mar-24</v>
      </c>
      <c r="H37" s="116">
        <f>DAY(EOMONTH(MC[[#This Row],[Month Year]],0))</f>
        <v>31</v>
      </c>
      <c r="I37" s="119">
        <v>2</v>
      </c>
      <c r="J37" s="119">
        <v>2</v>
      </c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SUM(MC[[#This Row],[IS1Inv1M1]:[IS4Inv10M2]])</f>
        <v>0</v>
      </c>
      <c r="AN37" s="119"/>
      <c r="AO37" s="119"/>
      <c r="AP37" s="119"/>
      <c r="AQ37" s="119"/>
      <c r="AR37" s="119"/>
      <c r="AS37" s="119"/>
      <c r="AT37" s="119"/>
    </row>
    <row r="38" spans="1:46">
      <c r="A38" s="119">
        <v>36</v>
      </c>
      <c r="B38" s="113">
        <f t="shared" si="0"/>
        <v>45358</v>
      </c>
      <c r="C38" s="114">
        <f>YEAR(MC[[#This Row],[Date]])+IF(MONTH(MC[[#This Row],[Date]])&gt;=4,1,0)</f>
        <v>2024</v>
      </c>
      <c r="D38" s="115">
        <f>YEAR(MC[[#This Row],[Date]])</f>
        <v>2024</v>
      </c>
      <c r="E38" s="112" t="s">
        <v>340</v>
      </c>
      <c r="F38" s="112" t="s">
        <v>340</v>
      </c>
      <c r="G38" s="116" t="str">
        <f>TEXT(MC[[#This Row],[Date]],"mmm-yy")</f>
        <v>Mar-24</v>
      </c>
      <c r="H38" s="116">
        <f>DAY(EOMONTH(MC[[#This Row],[Month Year]],0))</f>
        <v>31</v>
      </c>
      <c r="I38" s="119">
        <v>2</v>
      </c>
      <c r="J38" s="119">
        <v>2</v>
      </c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SUM(MC[[#This Row],[IS1Inv1M1]:[IS4Inv10M2]])</f>
        <v>0</v>
      </c>
      <c r="AN38" s="120"/>
      <c r="AO38" s="120"/>
      <c r="AP38" s="119"/>
      <c r="AQ38" s="120"/>
      <c r="AR38" s="119"/>
      <c r="AS38" s="119"/>
      <c r="AT38" s="119"/>
    </row>
    <row r="39" spans="1:46">
      <c r="A39" s="119">
        <v>37</v>
      </c>
      <c r="B39" s="113">
        <f t="shared" si="0"/>
        <v>45359</v>
      </c>
      <c r="C39" s="114">
        <f>YEAR(MC[[#This Row],[Date]])+IF(MONTH(MC[[#This Row],[Date]])&gt;=4,1,0)</f>
        <v>2024</v>
      </c>
      <c r="D39" s="115">
        <f>YEAR(MC[[#This Row],[Date]])</f>
        <v>2024</v>
      </c>
      <c r="E39" s="112" t="s">
        <v>340</v>
      </c>
      <c r="F39" s="112" t="s">
        <v>340</v>
      </c>
      <c r="G39" s="116" t="str">
        <f>TEXT(MC[[#This Row],[Date]],"mmm-yy")</f>
        <v>Mar-24</v>
      </c>
      <c r="H39" s="116">
        <f>DAY(EOMONTH(MC[[#This Row],[Month Year]],0))</f>
        <v>31</v>
      </c>
      <c r="I39" s="119">
        <v>2</v>
      </c>
      <c r="J39" s="119">
        <v>2</v>
      </c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SUM(MC[[#This Row],[IS1Inv1M1]:[IS4Inv10M2]])</f>
        <v>0</v>
      </c>
      <c r="AN39" s="120"/>
      <c r="AO39" s="119"/>
      <c r="AP39" s="119"/>
      <c r="AQ39" s="120"/>
      <c r="AR39" s="119"/>
      <c r="AS39" s="119"/>
      <c r="AT39" s="119"/>
    </row>
    <row r="40" spans="1:46">
      <c r="A40" s="119">
        <v>38</v>
      </c>
      <c r="B40" s="113">
        <f t="shared" si="0"/>
        <v>45360</v>
      </c>
      <c r="C40" s="114">
        <f>YEAR(MC[[#This Row],[Date]])+IF(MONTH(MC[[#This Row],[Date]])&gt;=4,1,0)</f>
        <v>2024</v>
      </c>
      <c r="D40" s="115">
        <f>YEAR(MC[[#This Row],[Date]])</f>
        <v>2024</v>
      </c>
      <c r="E40" s="112" t="s">
        <v>340</v>
      </c>
      <c r="F40" s="112" t="s">
        <v>340</v>
      </c>
      <c r="G40" s="116" t="str">
        <f>TEXT(MC[[#This Row],[Date]],"mmm-yy")</f>
        <v>Mar-24</v>
      </c>
      <c r="H40" s="116">
        <f>DAY(EOMONTH(MC[[#This Row],[Month Year]],0))</f>
        <v>31</v>
      </c>
      <c r="I40" s="119">
        <v>2</v>
      </c>
      <c r="J40" s="119">
        <v>2</v>
      </c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SUM(MC[[#This Row],[IS1Inv1M1]:[IS4Inv10M2]])</f>
        <v>0</v>
      </c>
      <c r="AN40" s="120"/>
      <c r="AO40" s="120"/>
      <c r="AP40" s="119"/>
      <c r="AQ40" s="119"/>
      <c r="AR40" s="119"/>
      <c r="AS40" s="119"/>
      <c r="AT40" s="119"/>
    </row>
    <row r="41" spans="1:46">
      <c r="A41" s="119">
        <v>39</v>
      </c>
      <c r="B41" s="113">
        <f t="shared" si="0"/>
        <v>45361</v>
      </c>
      <c r="C41" s="114">
        <f>YEAR(MC[[#This Row],[Date]])+IF(MONTH(MC[[#This Row],[Date]])&gt;=4,1,0)</f>
        <v>2024</v>
      </c>
      <c r="D41" s="115">
        <f>YEAR(MC[[#This Row],[Date]])</f>
        <v>2024</v>
      </c>
      <c r="E41" s="112" t="s">
        <v>340</v>
      </c>
      <c r="F41" s="112" t="s">
        <v>340</v>
      </c>
      <c r="G41" s="116" t="str">
        <f>TEXT(MC[[#This Row],[Date]],"mmm-yy")</f>
        <v>Mar-24</v>
      </c>
      <c r="H41" s="116">
        <f>DAY(EOMONTH(MC[[#This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SUM(MC[[#This Row],[IS1Inv1M1]:[IS4Inv10M2]])</f>
        <v>0</v>
      </c>
      <c r="AN41" s="119"/>
      <c r="AO41" s="119"/>
      <c r="AP41" s="119"/>
      <c r="AQ41" s="119"/>
      <c r="AR41" s="119"/>
      <c r="AS41" s="119"/>
      <c r="AT41" s="119"/>
    </row>
    <row r="42" spans="1:46">
      <c r="A42" s="119">
        <v>40</v>
      </c>
      <c r="B42" s="113">
        <f t="shared" si="0"/>
        <v>45362</v>
      </c>
      <c r="C42" s="114">
        <f>YEAR(MC[[#This Row],[Date]])+IF(MONTH(MC[[#This Row],[Date]])&gt;=4,1,0)</f>
        <v>2024</v>
      </c>
      <c r="D42" s="115">
        <f>YEAR(MC[[#This Row],[Date]])</f>
        <v>2024</v>
      </c>
      <c r="E42" s="112" t="s">
        <v>340</v>
      </c>
      <c r="F42" s="112" t="s">
        <v>340</v>
      </c>
      <c r="G42" s="116" t="str">
        <f>TEXT(MC[[#This Row],[Date]],"mmm-yy")</f>
        <v>Mar-24</v>
      </c>
      <c r="H42" s="116">
        <f>DAY(EOMONTH(MC[[#This Row],[Month Year]],0))</f>
        <v>31</v>
      </c>
      <c r="I42" s="119">
        <v>2</v>
      </c>
      <c r="J42" s="119">
        <v>2</v>
      </c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SUM(MC[[#This Row],[IS1Inv1M1]:[IS4Inv10M2]])</f>
        <v>0</v>
      </c>
      <c r="AN42" s="120"/>
      <c r="AO42" s="120"/>
      <c r="AP42" s="119"/>
      <c r="AQ42" s="119"/>
      <c r="AR42" s="119"/>
      <c r="AS42" s="119"/>
      <c r="AT42" s="119"/>
    </row>
    <row r="43" spans="1:46">
      <c r="A43" s="119">
        <v>41</v>
      </c>
      <c r="B43" s="113">
        <f t="shared" si="0"/>
        <v>45363</v>
      </c>
      <c r="C43" s="114">
        <f>YEAR(MC[[#This Row],[Date]])+IF(MONTH(MC[[#This Row],[Date]])&gt;=4,1,0)</f>
        <v>2024</v>
      </c>
      <c r="D43" s="115">
        <f>YEAR(MC[[#This Row],[Date]])</f>
        <v>2024</v>
      </c>
      <c r="E43" s="112" t="s">
        <v>340</v>
      </c>
      <c r="F43" s="112" t="s">
        <v>340</v>
      </c>
      <c r="G43" s="116" t="str">
        <f>TEXT(MC[[#This Row],[Date]],"mmm-yy")</f>
        <v>Mar-24</v>
      </c>
      <c r="H43" s="116">
        <f>DAY(EOMONTH(MC[[#This Row],[Month Year]],0))</f>
        <v>31</v>
      </c>
      <c r="I43" s="119">
        <v>2</v>
      </c>
      <c r="J43" s="119">
        <v>2</v>
      </c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SUM(MC[[#This Row],[IS1Inv1M1]:[IS4Inv10M2]])</f>
        <v>0</v>
      </c>
      <c r="AN43" s="119"/>
      <c r="AO43" s="119"/>
      <c r="AP43" s="119"/>
      <c r="AQ43" s="119"/>
      <c r="AR43" s="119"/>
      <c r="AS43" s="119"/>
      <c r="AT43" s="119"/>
    </row>
    <row r="44" spans="1:46">
      <c r="A44" s="119">
        <v>42</v>
      </c>
      <c r="B44" s="113">
        <f t="shared" si="0"/>
        <v>45364</v>
      </c>
      <c r="C44" s="114">
        <f>YEAR(MC[[#This Row],[Date]])+IF(MONTH(MC[[#This Row],[Date]])&gt;=4,1,0)</f>
        <v>2024</v>
      </c>
      <c r="D44" s="115">
        <f>YEAR(MC[[#This Row],[Date]])</f>
        <v>2024</v>
      </c>
      <c r="E44" s="112" t="s">
        <v>340</v>
      </c>
      <c r="F44" s="112" t="s">
        <v>340</v>
      </c>
      <c r="G44" s="116" t="str">
        <f>TEXT(MC[[#This Row],[Date]],"mmm-yy")</f>
        <v>Mar-24</v>
      </c>
      <c r="H44" s="116">
        <f>DAY(EOMONTH(MC[[#This Row],[Month Year]],0))</f>
        <v>31</v>
      </c>
      <c r="I44" s="119">
        <v>2</v>
      </c>
      <c r="J44" s="119">
        <v>2</v>
      </c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SUM(MC[[#This Row],[IS1Inv1M1]:[IS4Inv10M2]])</f>
        <v>0</v>
      </c>
      <c r="AN44" s="119"/>
      <c r="AO44" s="119"/>
      <c r="AP44" s="119"/>
      <c r="AQ44" s="119"/>
      <c r="AR44" s="119"/>
      <c r="AS44" s="119"/>
      <c r="AT44" s="119"/>
    </row>
    <row r="45" spans="1:46">
      <c r="A45" s="119">
        <v>43</v>
      </c>
      <c r="B45" s="113">
        <f t="shared" si="0"/>
        <v>45365</v>
      </c>
      <c r="C45" s="114">
        <f>YEAR(MC[[#This Row],[Date]])+IF(MONTH(MC[[#This Row],[Date]])&gt;=4,1,0)</f>
        <v>2024</v>
      </c>
      <c r="D45" s="115">
        <f>YEAR(MC[[#This Row],[Date]])</f>
        <v>2024</v>
      </c>
      <c r="E45" s="112" t="s">
        <v>340</v>
      </c>
      <c r="F45" s="112" t="s">
        <v>340</v>
      </c>
      <c r="G45" s="116" t="str">
        <f>TEXT(MC[[#This Row],[Date]],"mmm-yy")</f>
        <v>Mar-24</v>
      </c>
      <c r="H45" s="116">
        <f>DAY(EOMONTH(MC[[#This Row],[Month Year]],0))</f>
        <v>31</v>
      </c>
      <c r="I45" s="119">
        <v>2</v>
      </c>
      <c r="J45" s="119">
        <v>2</v>
      </c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SUM(MC[[#This Row],[IS1Inv1M1]:[IS4Inv10M2]])</f>
        <v>0</v>
      </c>
      <c r="AN45" s="120"/>
      <c r="AO45" s="120"/>
      <c r="AP45" s="119"/>
      <c r="AQ45" s="119"/>
      <c r="AR45" s="119"/>
      <c r="AS45" s="119"/>
      <c r="AT45" s="119"/>
    </row>
    <row r="46" spans="1:46">
      <c r="A46" s="119">
        <v>44</v>
      </c>
      <c r="B46" s="113">
        <f t="shared" si="0"/>
        <v>45366</v>
      </c>
      <c r="C46" s="114">
        <f>YEAR(MC[[#This Row],[Date]])+IF(MONTH(MC[[#This Row],[Date]])&gt;=4,1,0)</f>
        <v>2024</v>
      </c>
      <c r="D46" s="115">
        <f>YEAR(MC[[#This Row],[Date]])</f>
        <v>2024</v>
      </c>
      <c r="E46" s="112" t="s">
        <v>340</v>
      </c>
      <c r="F46" s="112" t="s">
        <v>340</v>
      </c>
      <c r="G46" s="116" t="str">
        <f>TEXT(MC[[#This Row],[Date]],"mmm-yy")</f>
        <v>Mar-24</v>
      </c>
      <c r="H46" s="116">
        <f>DAY(EOMONTH(MC[[#This Row],[Month Year]],0))</f>
        <v>31</v>
      </c>
      <c r="I46" s="119">
        <v>2</v>
      </c>
      <c r="J46" s="119">
        <v>2</v>
      </c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SUM(MC[[#This Row],[IS1Inv1M1]:[IS4Inv10M2]])</f>
        <v>0</v>
      </c>
      <c r="AN46" s="119"/>
      <c r="AO46" s="119"/>
      <c r="AP46" s="119"/>
      <c r="AQ46" s="119"/>
      <c r="AR46" s="119"/>
      <c r="AS46" s="119"/>
      <c r="AT46" s="119"/>
    </row>
    <row r="47" spans="1:46">
      <c r="A47" s="119">
        <v>45</v>
      </c>
      <c r="B47" s="113">
        <f t="shared" si="0"/>
        <v>45367</v>
      </c>
      <c r="C47" s="114">
        <f>YEAR(MC[[#This Row],[Date]])+IF(MONTH(MC[[#This Row],[Date]])&gt;=4,1,0)</f>
        <v>2024</v>
      </c>
      <c r="D47" s="115">
        <f>YEAR(MC[[#This Row],[Date]])</f>
        <v>2024</v>
      </c>
      <c r="E47" s="112" t="s">
        <v>340</v>
      </c>
      <c r="F47" s="112" t="s">
        <v>340</v>
      </c>
      <c r="G47" s="116" t="str">
        <f>TEXT(MC[[#This Row],[Date]],"mmm-yy")</f>
        <v>Mar-24</v>
      </c>
      <c r="H47" s="116">
        <f>DAY(EOMONTH(MC[[#This Row],[Month Year]],0))</f>
        <v>31</v>
      </c>
      <c r="I47" s="119">
        <v>2</v>
      </c>
      <c r="J47" s="119">
        <v>2</v>
      </c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SUM(MC[[#This Row],[IS1Inv1M1]:[IS4Inv10M2]])</f>
        <v>0</v>
      </c>
      <c r="AN47" s="119"/>
      <c r="AO47" s="119"/>
      <c r="AP47" s="119"/>
      <c r="AQ47" s="119"/>
      <c r="AR47" s="119"/>
      <c r="AS47" s="119"/>
      <c r="AT47" s="119"/>
    </row>
    <row r="48" spans="1:46">
      <c r="A48" s="119">
        <v>46</v>
      </c>
      <c r="B48" s="113">
        <f t="shared" si="0"/>
        <v>45368</v>
      </c>
      <c r="C48" s="114">
        <f>YEAR(MC[[#This Row],[Date]])+IF(MONTH(MC[[#This Row],[Date]])&gt;=4,1,0)</f>
        <v>2024</v>
      </c>
      <c r="D48" s="115">
        <f>YEAR(MC[[#This Row],[Date]])</f>
        <v>2024</v>
      </c>
      <c r="E48" s="112" t="s">
        <v>340</v>
      </c>
      <c r="F48" s="112" t="s">
        <v>340</v>
      </c>
      <c r="G48" s="116" t="str">
        <f>TEXT(MC[[#This Row],[Date]],"mmm-yy")</f>
        <v>Mar-24</v>
      </c>
      <c r="H48" s="116">
        <f>DAY(EOMONTH(MC[[#This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SUM(MC[[#This Row],[IS1Inv1M1]:[IS4Inv10M2]])</f>
        <v>0</v>
      </c>
      <c r="AN48" s="119"/>
      <c r="AO48" s="119"/>
      <c r="AP48" s="119"/>
      <c r="AQ48" s="119"/>
      <c r="AR48" s="119"/>
      <c r="AS48" s="119"/>
      <c r="AT48" s="119"/>
    </row>
    <row r="49" spans="1:46">
      <c r="A49" s="119">
        <v>47</v>
      </c>
      <c r="B49" s="113">
        <f t="shared" si="0"/>
        <v>45369</v>
      </c>
      <c r="C49" s="114">
        <f>YEAR(MC[[#This Row],[Date]])+IF(MONTH(MC[[#This Row],[Date]])&gt;=4,1,0)</f>
        <v>2024</v>
      </c>
      <c r="D49" s="115">
        <f>YEAR(MC[[#This Row],[Date]])</f>
        <v>2024</v>
      </c>
      <c r="E49" s="112" t="s">
        <v>340</v>
      </c>
      <c r="F49" s="112" t="s">
        <v>340</v>
      </c>
      <c r="G49" s="116" t="str">
        <f>TEXT(MC[[#This Row],[Date]],"mmm-yy")</f>
        <v>Mar-24</v>
      </c>
      <c r="H49" s="116">
        <f>DAY(EOMONTH(MC[[#This Row],[Month Year]],0))</f>
        <v>31</v>
      </c>
      <c r="I49" s="119">
        <v>2</v>
      </c>
      <c r="J49" s="119">
        <v>2</v>
      </c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SUM(MC[[#This Row],[IS1Inv1M1]:[IS4Inv10M2]])</f>
        <v>0</v>
      </c>
      <c r="AN49" s="119"/>
      <c r="AO49" s="119"/>
      <c r="AP49" s="119"/>
      <c r="AQ49" s="119"/>
      <c r="AR49" s="119"/>
      <c r="AS49" s="119"/>
      <c r="AT49" s="119"/>
    </row>
    <row r="50" spans="1:46">
      <c r="A50" s="119">
        <v>48</v>
      </c>
      <c r="B50" s="113">
        <f t="shared" si="0"/>
        <v>45370</v>
      </c>
      <c r="C50" s="114">
        <f>YEAR(MC[[#This Row],[Date]])+IF(MONTH(MC[[#This Row],[Date]])&gt;=4,1,0)</f>
        <v>2024</v>
      </c>
      <c r="D50" s="115">
        <f>YEAR(MC[[#This Row],[Date]])</f>
        <v>2024</v>
      </c>
      <c r="E50" s="112" t="s">
        <v>340</v>
      </c>
      <c r="F50" s="112" t="s">
        <v>340</v>
      </c>
      <c r="G50" s="116" t="str">
        <f>TEXT(MC[[#This Row],[Date]],"mmm-yy")</f>
        <v>Mar-24</v>
      </c>
      <c r="H50" s="116">
        <f>DAY(EOMONTH(MC[[#This Row],[Month Year]],0))</f>
        <v>31</v>
      </c>
      <c r="I50" s="119">
        <v>2</v>
      </c>
      <c r="J50" s="119">
        <v>2</v>
      </c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SUM(MC[[#This Row],[IS1Inv1M1]:[IS4Inv10M2]])</f>
        <v>0</v>
      </c>
      <c r="AN50" s="119"/>
      <c r="AO50" s="119"/>
      <c r="AP50" s="119"/>
      <c r="AQ50" s="119"/>
      <c r="AR50" s="119"/>
      <c r="AS50" s="119"/>
      <c r="AT50" s="119"/>
    </row>
    <row r="51" spans="1:46">
      <c r="A51" s="119">
        <v>49</v>
      </c>
      <c r="B51" s="113">
        <f t="shared" si="0"/>
        <v>45371</v>
      </c>
      <c r="C51" s="114">
        <f>YEAR(MC[[#This Row],[Date]])+IF(MONTH(MC[[#This Row],[Date]])&gt;=4,1,0)</f>
        <v>2024</v>
      </c>
      <c r="D51" s="115">
        <f>YEAR(MC[[#This Row],[Date]])</f>
        <v>2024</v>
      </c>
      <c r="E51" s="112" t="s">
        <v>340</v>
      </c>
      <c r="F51" s="112" t="s">
        <v>340</v>
      </c>
      <c r="G51" s="116" t="str">
        <f>TEXT(MC[[#This Row],[Date]],"mmm-yy")</f>
        <v>Mar-24</v>
      </c>
      <c r="H51" s="116">
        <f>DAY(EOMONTH(MC[[#This Row],[Month Year]],0))</f>
        <v>31</v>
      </c>
      <c r="I51" s="119">
        <v>2</v>
      </c>
      <c r="J51" s="119">
        <v>2</v>
      </c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SUM(MC[[#This Row],[IS1Inv1M1]:[IS4Inv10M2]])</f>
        <v>0</v>
      </c>
      <c r="AN51" s="119"/>
      <c r="AO51" s="119"/>
      <c r="AP51" s="119"/>
      <c r="AQ51" s="119"/>
      <c r="AR51" s="119"/>
      <c r="AS51" s="119"/>
      <c r="AT51" s="119"/>
    </row>
    <row r="52" spans="1:46">
      <c r="A52" s="119">
        <v>50</v>
      </c>
      <c r="B52" s="113">
        <f t="shared" si="0"/>
        <v>45372</v>
      </c>
      <c r="C52" s="114">
        <f>YEAR(MC[[#This Row],[Date]])+IF(MONTH(MC[[#This Row],[Date]])&gt;=4,1,0)</f>
        <v>2024</v>
      </c>
      <c r="D52" s="115">
        <f>YEAR(MC[[#This Row],[Date]])</f>
        <v>2024</v>
      </c>
      <c r="E52" s="112" t="s">
        <v>340</v>
      </c>
      <c r="F52" s="112" t="s">
        <v>340</v>
      </c>
      <c r="G52" s="116" t="str">
        <f>TEXT(MC[[#This Row],[Date]],"mmm-yy")</f>
        <v>Mar-24</v>
      </c>
      <c r="H52" s="116">
        <f>DAY(EOMONTH(MC[[#This Row],[Month Year]],0))</f>
        <v>31</v>
      </c>
      <c r="I52" s="119">
        <v>2</v>
      </c>
      <c r="J52" s="119">
        <v>2</v>
      </c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SUM(MC[[#This Row],[IS1Inv1M1]:[IS4Inv10M2]])</f>
        <v>0</v>
      </c>
      <c r="AN52" s="119"/>
      <c r="AO52" s="119"/>
      <c r="AP52" s="119"/>
      <c r="AQ52" s="119"/>
      <c r="AR52" s="119"/>
      <c r="AS52" s="119"/>
      <c r="AT52" s="119"/>
    </row>
    <row r="53" spans="1:46">
      <c r="A53" s="119">
        <v>51</v>
      </c>
      <c r="B53" s="113">
        <f t="shared" si="0"/>
        <v>45373</v>
      </c>
      <c r="C53" s="114">
        <f>YEAR(MC[[#This Row],[Date]])+IF(MONTH(MC[[#This Row],[Date]])&gt;=4,1,0)</f>
        <v>2024</v>
      </c>
      <c r="D53" s="115">
        <f>YEAR(MC[[#This Row],[Date]])</f>
        <v>2024</v>
      </c>
      <c r="E53" s="112" t="s">
        <v>340</v>
      </c>
      <c r="F53" s="112" t="s">
        <v>340</v>
      </c>
      <c r="G53" s="116" t="str">
        <f>TEXT(MC[[#This Row],[Date]],"mmm-yy")</f>
        <v>Mar-24</v>
      </c>
      <c r="H53" s="116">
        <f>DAY(EOMONTH(MC[[#This Row],[Month Year]],0))</f>
        <v>31</v>
      </c>
      <c r="I53" s="119">
        <v>2</v>
      </c>
      <c r="J53" s="119">
        <v>2</v>
      </c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SUM(MC[[#This Row],[IS1Inv1M1]:[IS4Inv10M2]])</f>
        <v>0</v>
      </c>
      <c r="AN53" s="119"/>
      <c r="AO53" s="119"/>
      <c r="AP53" s="119"/>
      <c r="AQ53" s="119"/>
      <c r="AR53" s="119"/>
      <c r="AS53" s="119"/>
      <c r="AT53" s="119"/>
    </row>
    <row r="54" spans="1:46">
      <c r="A54" s="119">
        <v>52</v>
      </c>
      <c r="B54" s="113">
        <f t="shared" si="0"/>
        <v>45374</v>
      </c>
      <c r="C54" s="114">
        <f>YEAR(MC[[#This Row],[Date]])+IF(MONTH(MC[[#This Row],[Date]])&gt;=4,1,0)</f>
        <v>2024</v>
      </c>
      <c r="D54" s="115">
        <f>YEAR(MC[[#This Row],[Date]])</f>
        <v>2024</v>
      </c>
      <c r="E54" s="112" t="s">
        <v>340</v>
      </c>
      <c r="F54" s="112" t="s">
        <v>340</v>
      </c>
      <c r="G54" s="116" t="str">
        <f>TEXT(MC[[#This Row],[Date]],"mmm-yy")</f>
        <v>Mar-24</v>
      </c>
      <c r="H54" s="116">
        <f>DAY(EOMONTH(MC[[#This Row],[Month Year]],0))</f>
        <v>31</v>
      </c>
      <c r="I54" s="119">
        <v>2</v>
      </c>
      <c r="J54" s="119">
        <v>2</v>
      </c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SUM(MC[[#This Row],[IS1Inv1M1]:[IS4Inv10M2]])</f>
        <v>0</v>
      </c>
      <c r="AN54" s="119"/>
      <c r="AO54" s="119"/>
      <c r="AP54" s="119"/>
      <c r="AQ54" s="119"/>
      <c r="AR54" s="119"/>
      <c r="AS54" s="119"/>
      <c r="AT54" s="119"/>
    </row>
    <row r="55" spans="1:46">
      <c r="A55" s="119">
        <v>53</v>
      </c>
      <c r="B55" s="113">
        <f t="shared" si="0"/>
        <v>45375</v>
      </c>
      <c r="C55" s="114">
        <f>YEAR(MC[[#This Row],[Date]])+IF(MONTH(MC[[#This Row],[Date]])&gt;=4,1,0)</f>
        <v>2024</v>
      </c>
      <c r="D55" s="115">
        <f>YEAR(MC[[#This Row],[Date]])</f>
        <v>2024</v>
      </c>
      <c r="E55" s="112" t="s">
        <v>340</v>
      </c>
      <c r="F55" s="112" t="s">
        <v>340</v>
      </c>
      <c r="G55" s="116" t="str">
        <f>TEXT(MC[[#This Row],[Date]],"mmm-yy")</f>
        <v>Mar-24</v>
      </c>
      <c r="H55" s="116">
        <f>DAY(EOMONTH(MC[[#This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SUM(MC[[#This Row],[IS1Inv1M1]:[IS4Inv10M2]])</f>
        <v>0</v>
      </c>
      <c r="AN55" s="120"/>
      <c r="AO55" s="119"/>
      <c r="AP55" s="119"/>
      <c r="AQ55" s="120"/>
      <c r="AR55" s="119"/>
      <c r="AS55" s="119"/>
      <c r="AT55" s="119"/>
    </row>
    <row r="56" spans="1:46">
      <c r="A56" s="119">
        <v>54</v>
      </c>
      <c r="B56" s="113">
        <f t="shared" si="0"/>
        <v>45376</v>
      </c>
      <c r="C56" s="114">
        <f>YEAR(MC[[#This Row],[Date]])+IF(MONTH(MC[[#This Row],[Date]])&gt;=4,1,0)</f>
        <v>2024</v>
      </c>
      <c r="D56" s="115">
        <f>YEAR(MC[[#This Row],[Date]])</f>
        <v>2024</v>
      </c>
      <c r="E56" s="112" t="s">
        <v>340</v>
      </c>
      <c r="F56" s="112" t="s">
        <v>340</v>
      </c>
      <c r="G56" s="116" t="str">
        <f>TEXT(MC[[#This Row],[Date]],"mmm-yy")</f>
        <v>Mar-24</v>
      </c>
      <c r="H56" s="116">
        <f>DAY(EOMONTH(MC[[#This Row],[Month Year]],0))</f>
        <v>31</v>
      </c>
      <c r="I56" s="119">
        <v>3</v>
      </c>
      <c r="J56" s="119">
        <v>2</v>
      </c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SUM(MC[[#This Row],[IS1Inv1M1]:[IS4Inv10M2]])</f>
        <v>0</v>
      </c>
      <c r="AN56" s="120"/>
      <c r="AO56" s="119"/>
      <c r="AP56" s="119"/>
      <c r="AQ56" s="120"/>
      <c r="AR56" s="119"/>
      <c r="AS56" s="119"/>
      <c r="AT56" s="119"/>
    </row>
    <row r="57" spans="1:46">
      <c r="A57" s="119">
        <v>55</v>
      </c>
      <c r="B57" s="113">
        <f t="shared" si="0"/>
        <v>45377</v>
      </c>
      <c r="C57" s="114">
        <f>YEAR(MC[[#This Row],[Date]])+IF(MONTH(MC[[#This Row],[Date]])&gt;=4,1,0)</f>
        <v>2024</v>
      </c>
      <c r="D57" s="115">
        <f>YEAR(MC[[#This Row],[Date]])</f>
        <v>2024</v>
      </c>
      <c r="E57" s="112" t="s">
        <v>340</v>
      </c>
      <c r="F57" s="112" t="s">
        <v>340</v>
      </c>
      <c r="G57" s="116" t="str">
        <f>TEXT(MC[[#This Row],[Date]],"mmm-yy")</f>
        <v>Mar-24</v>
      </c>
      <c r="H57" s="116">
        <f>DAY(EOMONTH(MC[[#This Row],[Month Year]],0))</f>
        <v>31</v>
      </c>
      <c r="I57" s="119">
        <v>3</v>
      </c>
      <c r="J57" s="119">
        <v>2</v>
      </c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SUM(MC[[#This Row],[IS1Inv1M1]:[IS4Inv10M2]])</f>
        <v>0</v>
      </c>
      <c r="AN57" s="120"/>
      <c r="AO57" s="119"/>
      <c r="AP57" s="119"/>
      <c r="AQ57" s="120"/>
      <c r="AR57" s="119"/>
      <c r="AS57" s="119"/>
      <c r="AT57" s="119"/>
    </row>
    <row r="58" spans="1:46">
      <c r="A58" s="119">
        <v>56</v>
      </c>
      <c r="B58" s="113">
        <f t="shared" si="0"/>
        <v>45378</v>
      </c>
      <c r="C58" s="114">
        <f>YEAR(MC[[#This Row],[Date]])+IF(MONTH(MC[[#This Row],[Date]])&gt;=4,1,0)</f>
        <v>2024</v>
      </c>
      <c r="D58" s="115">
        <f>YEAR(MC[[#This Row],[Date]])</f>
        <v>2024</v>
      </c>
      <c r="E58" s="112" t="s">
        <v>340</v>
      </c>
      <c r="F58" s="112" t="s">
        <v>340</v>
      </c>
      <c r="G58" s="116" t="str">
        <f>TEXT(MC[[#This Row],[Date]],"mmm-yy")</f>
        <v>Mar-24</v>
      </c>
      <c r="H58" s="116">
        <f>DAY(EOMONTH(MC[[#This Row],[Month Year]],0))</f>
        <v>31</v>
      </c>
      <c r="I58" s="119">
        <v>3</v>
      </c>
      <c r="J58" s="119">
        <v>2</v>
      </c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SUM(MC[[#This Row],[IS1Inv1M1]:[IS4Inv10M2]])</f>
        <v>0</v>
      </c>
      <c r="AN58" s="120"/>
      <c r="AO58" s="119"/>
      <c r="AP58" s="119"/>
      <c r="AQ58" s="120"/>
      <c r="AR58" s="119"/>
      <c r="AS58" s="119"/>
      <c r="AT58" s="119"/>
    </row>
    <row r="59" spans="1:46">
      <c r="A59" s="119">
        <v>57</v>
      </c>
      <c r="B59" s="113">
        <f t="shared" si="0"/>
        <v>45379</v>
      </c>
      <c r="C59" s="114">
        <f>YEAR(MC[[#This Row],[Date]])+IF(MONTH(MC[[#This Row],[Date]])&gt;=4,1,0)</f>
        <v>2024</v>
      </c>
      <c r="D59" s="115">
        <f>YEAR(MC[[#This Row],[Date]])</f>
        <v>2024</v>
      </c>
      <c r="E59" s="112" t="s">
        <v>340</v>
      </c>
      <c r="F59" s="112" t="s">
        <v>340</v>
      </c>
      <c r="G59" s="116" t="str">
        <f>TEXT(MC[[#This Row],[Date]],"mmm-yy")</f>
        <v>Mar-24</v>
      </c>
      <c r="H59" s="116">
        <f>DAY(EOMONTH(MC[[#This Row],[Month Year]],0))</f>
        <v>31</v>
      </c>
      <c r="I59" s="119">
        <v>3</v>
      </c>
      <c r="J59" s="119">
        <v>2</v>
      </c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SUM(MC[[#This Row],[IS1Inv1M1]:[IS4Inv10M2]])</f>
        <v>0</v>
      </c>
      <c r="AN59" s="120"/>
      <c r="AO59" s="119"/>
      <c r="AP59" s="119"/>
      <c r="AQ59" s="120"/>
      <c r="AR59" s="119"/>
      <c r="AS59" s="119"/>
      <c r="AT59" s="119"/>
    </row>
    <row r="60" spans="1:46">
      <c r="A60" s="119">
        <v>58</v>
      </c>
      <c r="B60" s="113">
        <f t="shared" si="0"/>
        <v>45380</v>
      </c>
      <c r="C60" s="114">
        <f>YEAR(MC[[#This Row],[Date]])+IF(MONTH(MC[[#This Row],[Date]])&gt;=4,1,0)</f>
        <v>2024</v>
      </c>
      <c r="D60" s="115">
        <f>YEAR(MC[[#This Row],[Date]])</f>
        <v>2024</v>
      </c>
      <c r="E60" s="112" t="s">
        <v>340</v>
      </c>
      <c r="F60" s="112" t="s">
        <v>340</v>
      </c>
      <c r="G60" s="116" t="str">
        <f>TEXT(MC[[#This Row],[Date]],"mmm-yy")</f>
        <v>Mar-24</v>
      </c>
      <c r="H60" s="116">
        <f>DAY(EOMONTH(MC[[#This Row],[Month Year]],0))</f>
        <v>31</v>
      </c>
      <c r="I60" s="119">
        <v>3</v>
      </c>
      <c r="J60" s="119">
        <v>2</v>
      </c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SUM(MC[[#This Row],[IS1Inv1M1]:[IS4Inv10M2]])</f>
        <v>0</v>
      </c>
      <c r="AN60" s="120"/>
      <c r="AO60" s="119"/>
      <c r="AP60" s="119"/>
      <c r="AQ60" s="120"/>
      <c r="AR60" s="119"/>
      <c r="AS60" s="119"/>
      <c r="AT60" s="119"/>
    </row>
    <row r="61" spans="1:46">
      <c r="A61" s="119">
        <v>59</v>
      </c>
      <c r="B61" s="113">
        <f t="shared" si="0"/>
        <v>45381</v>
      </c>
      <c r="C61" s="114">
        <f>YEAR(MC[[#This Row],[Date]])+IF(MONTH(MC[[#This Row],[Date]])&gt;=4,1,0)</f>
        <v>2024</v>
      </c>
      <c r="D61" s="115">
        <f>YEAR(MC[[#This Row],[Date]])</f>
        <v>2024</v>
      </c>
      <c r="E61" s="112" t="s">
        <v>340</v>
      </c>
      <c r="F61" s="112" t="s">
        <v>340</v>
      </c>
      <c r="G61" s="116" t="str">
        <f>TEXT(MC[[#This Row],[Date]],"mmm-yy")</f>
        <v>Mar-24</v>
      </c>
      <c r="H61" s="116">
        <f>DAY(EOMONTH(MC[[#This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SUM(MC[[#This Row],[IS1Inv1M1]:[IS4Inv10M2]])</f>
        <v>0</v>
      </c>
      <c r="AN61" s="120"/>
      <c r="AO61" s="119"/>
      <c r="AP61" s="119"/>
      <c r="AQ61" s="120"/>
      <c r="AR61" s="119"/>
      <c r="AS61" s="119"/>
      <c r="AT61" s="119"/>
    </row>
    <row r="62" spans="1:46">
      <c r="A62" s="119">
        <v>60</v>
      </c>
      <c r="B62" s="113">
        <f t="shared" si="0"/>
        <v>45382</v>
      </c>
      <c r="C62" s="114">
        <f>YEAR(MC[[#This Row],[Date]])+IF(MONTH(MC[[#This Row],[Date]])&gt;=4,1,0)</f>
        <v>2024</v>
      </c>
      <c r="D62" s="115">
        <f>YEAR(MC[[#This Row],[Date]])</f>
        <v>2024</v>
      </c>
      <c r="E62" s="112" t="s">
        <v>340</v>
      </c>
      <c r="F62" s="112" t="s">
        <v>340</v>
      </c>
      <c r="G62" s="116" t="str">
        <f>TEXT(MC[[#This Row],[Date]],"mmm-yy")</f>
        <v>Mar-24</v>
      </c>
      <c r="H62" s="116">
        <f>DAY(EOMONTH(MC[[#This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SUM(MC[[#This Row],[IS1Inv1M1]:[IS4Inv10M2]])</f>
        <v>0</v>
      </c>
      <c r="AN62" s="120"/>
      <c r="AO62" s="119"/>
      <c r="AP62" s="119"/>
      <c r="AQ62" s="120"/>
      <c r="AR62" s="119"/>
      <c r="AS62" s="119"/>
      <c r="AT62" s="119"/>
    </row>
    <row r="63" spans="1:46">
      <c r="A63" s="119">
        <v>61</v>
      </c>
      <c r="B63" s="113">
        <f t="shared" si="0"/>
        <v>45383</v>
      </c>
      <c r="C63" s="114">
        <f>YEAR(MC[[#This Row],[Date]])+IF(MONTH(MC[[#This Row],[Date]])&gt;=4,1,0)</f>
        <v>2025</v>
      </c>
      <c r="D63" s="115">
        <f>YEAR(MC[[#This Row],[Date]])</f>
        <v>2024</v>
      </c>
      <c r="E63" s="112" t="s">
        <v>340</v>
      </c>
      <c r="F63" s="112" t="s">
        <v>340</v>
      </c>
      <c r="G63" s="116" t="str">
        <f>TEXT(MC[[#This Row],[Date]],"mmm-yy")</f>
        <v>Apr-24</v>
      </c>
      <c r="H63" s="116">
        <f>DAY(EOMONTH(MC[[#This Row],[Month Year]],0))</f>
        <v>30</v>
      </c>
      <c r="I63" s="119">
        <v>3</v>
      </c>
      <c r="J63" s="119">
        <v>2</v>
      </c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SUM(MC[[#This Row],[IS1Inv1M1]:[IS4Inv10M2]])</f>
        <v>0</v>
      </c>
      <c r="AN63" s="119"/>
      <c r="AO63" s="119"/>
      <c r="AP63" s="119"/>
      <c r="AQ63" s="119"/>
      <c r="AR63" s="119"/>
      <c r="AS63" s="119"/>
      <c r="AT63" s="119"/>
    </row>
    <row r="64" spans="1:46">
      <c r="A64" s="119">
        <v>62</v>
      </c>
      <c r="B64" s="113">
        <f t="shared" si="0"/>
        <v>45384</v>
      </c>
      <c r="C64" s="114">
        <f>YEAR(MC[[#This Row],[Date]])+IF(MONTH(MC[[#This Row],[Date]])&gt;=4,1,0)</f>
        <v>2025</v>
      </c>
      <c r="D64" s="115">
        <f>YEAR(MC[[#This Row],[Date]])</f>
        <v>2024</v>
      </c>
      <c r="E64" s="112" t="s">
        <v>340</v>
      </c>
      <c r="F64" s="112" t="s">
        <v>340</v>
      </c>
      <c r="G64" s="116" t="str">
        <f>TEXT(MC[[#This Row],[Date]],"mmm-yy")</f>
        <v>Apr-24</v>
      </c>
      <c r="H64" s="116">
        <f>DAY(EOMONTH(MC[[#This Row],[Month Year]],0))</f>
        <v>30</v>
      </c>
      <c r="I64" s="119">
        <v>3</v>
      </c>
      <c r="J64" s="119">
        <v>2</v>
      </c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SUM(MC[[#This Row],[IS1Inv1M1]:[IS4Inv10M2]])</f>
        <v>0</v>
      </c>
      <c r="AN64" s="120"/>
      <c r="AO64" s="119"/>
      <c r="AP64" s="119"/>
      <c r="AQ64" s="120"/>
      <c r="AR64" s="119"/>
      <c r="AS64" s="119"/>
      <c r="AT64" s="119"/>
    </row>
    <row r="65" spans="1:46">
      <c r="A65" s="119">
        <v>63</v>
      </c>
      <c r="B65" s="113">
        <f t="shared" si="0"/>
        <v>45385</v>
      </c>
      <c r="C65" s="114">
        <f>YEAR(MC[[#This Row],[Date]])+IF(MONTH(MC[[#This Row],[Date]])&gt;=4,1,0)</f>
        <v>2025</v>
      </c>
      <c r="D65" s="115">
        <f>YEAR(MC[[#This Row],[Date]])</f>
        <v>2024</v>
      </c>
      <c r="E65" s="112" t="s">
        <v>340</v>
      </c>
      <c r="F65" s="112" t="s">
        <v>340</v>
      </c>
      <c r="G65" s="116" t="str">
        <f>TEXT(MC[[#This Row],[Date]],"mmm-yy")</f>
        <v>Apr-24</v>
      </c>
      <c r="H65" s="116">
        <f>DAY(EOMONTH(MC[[#This Row],[Month Year]],0))</f>
        <v>30</v>
      </c>
      <c r="I65" s="119">
        <v>3</v>
      </c>
      <c r="J65" s="119">
        <v>2</v>
      </c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SUM(MC[[#This Row],[IS1Inv1M1]:[IS4Inv10M2]])</f>
        <v>0</v>
      </c>
      <c r="AN65" s="120"/>
      <c r="AO65" s="119"/>
      <c r="AP65" s="119"/>
      <c r="AQ65" s="120"/>
      <c r="AR65" s="119"/>
      <c r="AS65" s="119"/>
      <c r="AT65" s="119"/>
    </row>
    <row r="66" spans="1:46">
      <c r="A66" s="119">
        <v>64</v>
      </c>
      <c r="B66" s="113">
        <f t="shared" si="0"/>
        <v>45386</v>
      </c>
      <c r="C66" s="114">
        <f>YEAR(MC[[#This Row],[Date]])+IF(MONTH(MC[[#This Row],[Date]])&gt;=4,1,0)</f>
        <v>2025</v>
      </c>
      <c r="D66" s="115">
        <f>YEAR(MC[[#This Row],[Date]])</f>
        <v>2024</v>
      </c>
      <c r="E66" s="112" t="s">
        <v>340</v>
      </c>
      <c r="F66" s="112" t="s">
        <v>340</v>
      </c>
      <c r="G66" s="116" t="str">
        <f>TEXT(MC[[#This Row],[Date]],"mmm-yy")</f>
        <v>Apr-24</v>
      </c>
      <c r="H66" s="116">
        <f>DAY(EOMONTH(MC[[#This Row],[Month Year]],0))</f>
        <v>30</v>
      </c>
      <c r="I66" s="119">
        <v>3</v>
      </c>
      <c r="J66" s="119">
        <v>2</v>
      </c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SUM(MC[[#This Row],[IS1Inv1M1]:[IS4Inv10M2]])</f>
        <v>0</v>
      </c>
      <c r="AN66" s="120"/>
      <c r="AO66" s="119"/>
      <c r="AP66" s="119"/>
      <c r="AQ66" s="120"/>
      <c r="AR66" s="119"/>
      <c r="AS66" s="119"/>
      <c r="AT66" s="119"/>
    </row>
    <row r="67" spans="1:46">
      <c r="A67" s="119">
        <v>65</v>
      </c>
      <c r="B67" s="113">
        <f t="shared" si="0"/>
        <v>45387</v>
      </c>
      <c r="C67" s="114">
        <f>YEAR(MC[[#This Row],[Date]])+IF(MONTH(MC[[#This Row],[Date]])&gt;=4,1,0)</f>
        <v>2025</v>
      </c>
      <c r="D67" s="115">
        <f>YEAR(MC[[#This Row],[Date]])</f>
        <v>2024</v>
      </c>
      <c r="E67" s="112" t="s">
        <v>340</v>
      </c>
      <c r="F67" s="112" t="s">
        <v>340</v>
      </c>
      <c r="G67" s="116" t="str">
        <f>TEXT(MC[[#This Row],[Date]],"mmm-yy")</f>
        <v>Apr-24</v>
      </c>
      <c r="H67" s="116">
        <f>DAY(EOMONTH(MC[[#This Row],[Month Year]],0))</f>
        <v>30</v>
      </c>
      <c r="I67" s="119">
        <v>3</v>
      </c>
      <c r="J67" s="119">
        <v>2</v>
      </c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SUM(MC[[#This Row],[IS1Inv1M1]:[IS4Inv10M2]])</f>
        <v>0</v>
      </c>
      <c r="AN67" s="120"/>
      <c r="AO67" s="119"/>
      <c r="AP67" s="119"/>
      <c r="AQ67" s="120"/>
      <c r="AR67" s="119"/>
      <c r="AS67" s="119"/>
      <c r="AT67" s="119"/>
    </row>
    <row r="68" spans="1:46">
      <c r="A68" s="119">
        <v>66</v>
      </c>
      <c r="B68" s="113">
        <f t="shared" si="0"/>
        <v>45388</v>
      </c>
      <c r="C68" s="114">
        <f>YEAR(MC[[#This Row],[Date]])+IF(MONTH(MC[[#This Row],[Date]])&gt;=4,1,0)</f>
        <v>2025</v>
      </c>
      <c r="D68" s="115">
        <f>YEAR(MC[[#This Row],[Date]])</f>
        <v>2024</v>
      </c>
      <c r="E68" s="112" t="s">
        <v>340</v>
      </c>
      <c r="F68" s="112" t="s">
        <v>340</v>
      </c>
      <c r="G68" s="116" t="str">
        <f>TEXT(MC[[#This Row],[Date]],"mmm-yy")</f>
        <v>Apr-24</v>
      </c>
      <c r="H68" s="116">
        <f>DAY(EOMONTH(MC[[#This Row],[Month Year]],0))</f>
        <v>30</v>
      </c>
      <c r="I68" s="119">
        <v>3</v>
      </c>
      <c r="J68" s="119">
        <v>2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SUM(MC[[#This Row],[IS1Inv1M1]:[IS4Inv10M2]])</f>
        <v>0</v>
      </c>
      <c r="AN68" s="119"/>
      <c r="AO68" s="119"/>
      <c r="AP68" s="119"/>
      <c r="AQ68" s="119"/>
      <c r="AR68" s="119"/>
      <c r="AS68" s="119"/>
      <c r="AT68" s="119"/>
    </row>
    <row r="69" spans="1:46">
      <c r="A69" s="119">
        <v>67</v>
      </c>
      <c r="B69" s="113">
        <f t="shared" ref="B69:B132" si="1">B68+1</f>
        <v>45389</v>
      </c>
      <c r="C69" s="114">
        <f>YEAR(MC[[#This Row],[Date]])+IF(MONTH(MC[[#This Row],[Date]])&gt;=4,1,0)</f>
        <v>2025</v>
      </c>
      <c r="D69" s="115">
        <f>YEAR(MC[[#This Row],[Date]])</f>
        <v>2024</v>
      </c>
      <c r="E69" s="112" t="s">
        <v>340</v>
      </c>
      <c r="F69" s="112" t="s">
        <v>340</v>
      </c>
      <c r="G69" s="116" t="str">
        <f>TEXT(MC[[#This Row],[Date]],"mmm-yy")</f>
        <v>Apr-24</v>
      </c>
      <c r="H69" s="116">
        <f>DAY(EOMONTH(MC[[#This Row],[Month Year]],0))</f>
        <v>30</v>
      </c>
      <c r="I69" s="119">
        <v>3</v>
      </c>
      <c r="J69" s="119">
        <v>2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SUM(MC[[#This Row],[IS1Inv1M1]:[IS4Inv10M2]])</f>
        <v>0</v>
      </c>
      <c r="AN69" s="120"/>
      <c r="AO69" s="119"/>
      <c r="AP69" s="119"/>
      <c r="AQ69" s="120"/>
      <c r="AR69" s="119"/>
      <c r="AS69" s="119"/>
      <c r="AT69" s="119"/>
    </row>
    <row r="70" spans="1:46">
      <c r="A70" s="119">
        <v>68</v>
      </c>
      <c r="B70" s="113">
        <f t="shared" si="1"/>
        <v>45390</v>
      </c>
      <c r="C70" s="114">
        <f>YEAR(MC[[#This Row],[Date]])+IF(MONTH(MC[[#This Row],[Date]])&gt;=4,1,0)</f>
        <v>2025</v>
      </c>
      <c r="D70" s="115">
        <f>YEAR(MC[[#This Row],[Date]])</f>
        <v>2024</v>
      </c>
      <c r="E70" s="112" t="s">
        <v>340</v>
      </c>
      <c r="F70" s="112" t="s">
        <v>340</v>
      </c>
      <c r="G70" s="116" t="str">
        <f>TEXT(MC[[#This Row],[Date]],"mmm-yy")</f>
        <v>Apr-24</v>
      </c>
      <c r="H70" s="116">
        <f>DAY(EOMONTH(MC[[#This Row],[Month Year]],0))</f>
        <v>30</v>
      </c>
      <c r="I70" s="119">
        <v>3</v>
      </c>
      <c r="J70" s="119">
        <v>2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SUM(MC[[#This Row],[IS1Inv1M1]:[IS4Inv10M2]])</f>
        <v>0</v>
      </c>
      <c r="AN70" s="119"/>
      <c r="AO70" s="119"/>
      <c r="AP70" s="119"/>
      <c r="AQ70" s="119"/>
      <c r="AR70" s="119"/>
      <c r="AS70" s="119"/>
      <c r="AT70" s="119"/>
    </row>
    <row r="71" spans="1:46">
      <c r="A71" s="119">
        <v>69</v>
      </c>
      <c r="B71" s="113">
        <f t="shared" si="1"/>
        <v>45391</v>
      </c>
      <c r="C71" s="114">
        <f>YEAR(MC[[#This Row],[Date]])+IF(MONTH(MC[[#This Row],[Date]])&gt;=4,1,0)</f>
        <v>2025</v>
      </c>
      <c r="D71" s="115">
        <f>YEAR(MC[[#This Row],[Date]])</f>
        <v>2024</v>
      </c>
      <c r="E71" s="112" t="s">
        <v>340</v>
      </c>
      <c r="F71" s="112" t="s">
        <v>340</v>
      </c>
      <c r="G71" s="116" t="str">
        <f>TEXT(MC[[#This Row],[Date]],"mmm-yy")</f>
        <v>Apr-24</v>
      </c>
      <c r="H71" s="116">
        <f>DAY(EOMONTH(MC[[#This Row],[Month Year]],0))</f>
        <v>30</v>
      </c>
      <c r="I71" s="119">
        <v>3</v>
      </c>
      <c r="J71" s="119">
        <v>2</v>
      </c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SUM(MC[[#This Row],[IS1Inv1M1]:[IS4Inv10M2]])</f>
        <v>0</v>
      </c>
      <c r="AN71" s="119"/>
      <c r="AO71" s="119"/>
      <c r="AP71" s="119"/>
      <c r="AQ71" s="119"/>
      <c r="AR71" s="119"/>
      <c r="AS71" s="119"/>
      <c r="AT71" s="119"/>
    </row>
    <row r="72" spans="1:46">
      <c r="A72" s="119">
        <v>70</v>
      </c>
      <c r="B72" s="113">
        <f t="shared" si="1"/>
        <v>45392</v>
      </c>
      <c r="C72" s="114">
        <f>YEAR(MC[[#This Row],[Date]])+IF(MONTH(MC[[#This Row],[Date]])&gt;=4,1,0)</f>
        <v>2025</v>
      </c>
      <c r="D72" s="115">
        <f>YEAR(MC[[#This Row],[Date]])</f>
        <v>2024</v>
      </c>
      <c r="E72" s="112" t="s">
        <v>340</v>
      </c>
      <c r="F72" s="112" t="s">
        <v>340</v>
      </c>
      <c r="G72" s="116" t="str">
        <f>TEXT(MC[[#This Row],[Date]],"mmm-yy")</f>
        <v>Apr-24</v>
      </c>
      <c r="H72" s="116">
        <f>DAY(EOMONTH(MC[[#This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SUM(MC[[#This Row],[IS1Inv1M1]:[IS4Inv10M2]])</f>
        <v>0</v>
      </c>
      <c r="AN72" s="119"/>
      <c r="AO72" s="119"/>
      <c r="AP72" s="119"/>
      <c r="AQ72" s="119"/>
      <c r="AR72" s="119"/>
      <c r="AS72" s="119"/>
      <c r="AT72" s="119"/>
    </row>
    <row r="73" spans="1:46">
      <c r="A73" s="119">
        <v>71</v>
      </c>
      <c r="B73" s="113">
        <f t="shared" si="1"/>
        <v>45393</v>
      </c>
      <c r="C73" s="114">
        <f>YEAR(MC[[#This Row],[Date]])+IF(MONTH(MC[[#This Row],[Date]])&gt;=4,1,0)</f>
        <v>2025</v>
      </c>
      <c r="D73" s="115">
        <f>YEAR(MC[[#This Row],[Date]])</f>
        <v>2024</v>
      </c>
      <c r="E73" s="112" t="s">
        <v>340</v>
      </c>
      <c r="F73" s="112" t="s">
        <v>340</v>
      </c>
      <c r="G73" s="116" t="str">
        <f>TEXT(MC[[#This Row],[Date]],"mmm-yy")</f>
        <v>Apr-24</v>
      </c>
      <c r="H73" s="116">
        <f>DAY(EOMONTH(MC[[#This Row],[Month Year]],0))</f>
        <v>30</v>
      </c>
      <c r="I73" s="119">
        <v>3</v>
      </c>
      <c r="J73" s="119">
        <v>2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SUM(MC[[#This Row],[IS1Inv1M1]:[IS4Inv10M2]])</f>
        <v>0</v>
      </c>
      <c r="AN73" s="119"/>
      <c r="AO73" s="119"/>
      <c r="AP73" s="119"/>
      <c r="AQ73" s="119"/>
      <c r="AR73" s="119"/>
      <c r="AS73" s="119"/>
      <c r="AT73" s="119"/>
    </row>
    <row r="74" spans="1:46">
      <c r="A74" s="119">
        <v>72</v>
      </c>
      <c r="B74" s="113">
        <f t="shared" si="1"/>
        <v>45394</v>
      </c>
      <c r="C74" s="114">
        <f>YEAR(MC[[#This Row],[Date]])+IF(MONTH(MC[[#This Row],[Date]])&gt;=4,1,0)</f>
        <v>2025</v>
      </c>
      <c r="D74" s="115">
        <f>YEAR(MC[[#This Row],[Date]])</f>
        <v>2024</v>
      </c>
      <c r="E74" s="112" t="s">
        <v>340</v>
      </c>
      <c r="F74" s="112" t="s">
        <v>340</v>
      </c>
      <c r="G74" s="116" t="str">
        <f>TEXT(MC[[#This Row],[Date]],"mmm-yy")</f>
        <v>Apr-24</v>
      </c>
      <c r="H74" s="116">
        <f>DAY(EOMONTH(MC[[#This Row],[Month Year]],0))</f>
        <v>30</v>
      </c>
      <c r="I74" s="119">
        <v>3</v>
      </c>
      <c r="J74" s="119">
        <v>2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SUM(MC[[#This Row],[IS1Inv1M1]:[IS4Inv10M2]])</f>
        <v>0</v>
      </c>
      <c r="AN74" s="119"/>
      <c r="AO74" s="119"/>
      <c r="AP74" s="119"/>
      <c r="AQ74" s="119"/>
      <c r="AR74" s="119"/>
      <c r="AS74" s="119"/>
      <c r="AT74" s="119"/>
    </row>
    <row r="75" spans="1:46">
      <c r="A75" s="119">
        <v>73</v>
      </c>
      <c r="B75" s="113">
        <f t="shared" si="1"/>
        <v>45395</v>
      </c>
      <c r="C75" s="114">
        <f>YEAR(MC[[#This Row],[Date]])+IF(MONTH(MC[[#This Row],[Date]])&gt;=4,1,0)</f>
        <v>2025</v>
      </c>
      <c r="D75" s="115">
        <f>YEAR(MC[[#This Row],[Date]])</f>
        <v>2024</v>
      </c>
      <c r="E75" s="112" t="s">
        <v>340</v>
      </c>
      <c r="F75" s="112" t="s">
        <v>340</v>
      </c>
      <c r="G75" s="116" t="str">
        <f>TEXT(MC[[#This Row],[Date]],"mmm-yy")</f>
        <v>Apr-24</v>
      </c>
      <c r="H75" s="116">
        <f>DAY(EOMONTH(MC[[#This Row],[Month Year]],0))</f>
        <v>30</v>
      </c>
      <c r="I75" s="119">
        <v>3</v>
      </c>
      <c r="J75" s="119">
        <v>2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SUM(MC[[#This Row],[IS1Inv1M1]:[IS4Inv10M2]])</f>
        <v>0</v>
      </c>
      <c r="AN75" s="119"/>
      <c r="AO75" s="119"/>
      <c r="AP75" s="119"/>
      <c r="AQ75" s="119"/>
      <c r="AR75" s="119"/>
      <c r="AS75" s="119"/>
      <c r="AT75" s="119"/>
    </row>
    <row r="76" spans="1:46">
      <c r="A76" s="119">
        <v>74</v>
      </c>
      <c r="B76" s="113">
        <f t="shared" si="1"/>
        <v>45396</v>
      </c>
      <c r="C76" s="114">
        <f>YEAR(MC[[#This Row],[Date]])+IF(MONTH(MC[[#This Row],[Date]])&gt;=4,1,0)</f>
        <v>2025</v>
      </c>
      <c r="D76" s="115">
        <f>YEAR(MC[[#This Row],[Date]])</f>
        <v>2024</v>
      </c>
      <c r="E76" s="112" t="s">
        <v>340</v>
      </c>
      <c r="F76" s="112" t="s">
        <v>340</v>
      </c>
      <c r="G76" s="116" t="str">
        <f>TEXT(MC[[#This Row],[Date]],"mmm-yy")</f>
        <v>Apr-24</v>
      </c>
      <c r="H76" s="116">
        <f>DAY(EOMONTH(MC[[#This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SUM(MC[[#This Row],[IS1Inv1M1]:[IS4Inv10M2]])</f>
        <v>0</v>
      </c>
      <c r="AN76" s="120"/>
      <c r="AO76" s="119"/>
      <c r="AP76" s="119"/>
      <c r="AQ76" s="120"/>
      <c r="AR76" s="119"/>
      <c r="AS76" s="119"/>
      <c r="AT76" s="119"/>
    </row>
    <row r="77" spans="1:46">
      <c r="A77" s="119">
        <v>75</v>
      </c>
      <c r="B77" s="113">
        <f t="shared" si="1"/>
        <v>45397</v>
      </c>
      <c r="C77" s="114">
        <f>YEAR(MC[[#This Row],[Date]])+IF(MONTH(MC[[#This Row],[Date]])&gt;=4,1,0)</f>
        <v>2025</v>
      </c>
      <c r="D77" s="115">
        <f>YEAR(MC[[#This Row],[Date]])</f>
        <v>2024</v>
      </c>
      <c r="E77" s="112" t="s">
        <v>340</v>
      </c>
      <c r="F77" s="112" t="s">
        <v>340</v>
      </c>
      <c r="G77" s="116" t="str">
        <f>TEXT(MC[[#This Row],[Date]],"mmm-yy")</f>
        <v>Apr-24</v>
      </c>
      <c r="H77" s="116">
        <f>DAY(EOMONTH(MC[[#This Row],[Month Year]],0))</f>
        <v>30</v>
      </c>
      <c r="I77" s="119">
        <v>3</v>
      </c>
      <c r="J77" s="119">
        <v>2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SUM(MC[[#This Row],[IS1Inv1M1]:[IS4Inv10M2]])</f>
        <v>0</v>
      </c>
      <c r="AN77" s="120"/>
      <c r="AO77" s="119"/>
      <c r="AP77" s="119"/>
      <c r="AQ77" s="120"/>
      <c r="AR77" s="119"/>
      <c r="AS77" s="119"/>
      <c r="AT77" s="119"/>
    </row>
    <row r="78" spans="1:46">
      <c r="A78" s="119">
        <v>76</v>
      </c>
      <c r="B78" s="113">
        <f t="shared" si="1"/>
        <v>45398</v>
      </c>
      <c r="C78" s="114">
        <f>YEAR(MC[[#This Row],[Date]])+IF(MONTH(MC[[#This Row],[Date]])&gt;=4,1,0)</f>
        <v>2025</v>
      </c>
      <c r="D78" s="115">
        <f>YEAR(MC[[#This Row],[Date]])</f>
        <v>2024</v>
      </c>
      <c r="E78" s="112" t="s">
        <v>340</v>
      </c>
      <c r="F78" s="112" t="s">
        <v>340</v>
      </c>
      <c r="G78" s="116" t="str">
        <f>TEXT(MC[[#This Row],[Date]],"mmm-yy")</f>
        <v>Apr-24</v>
      </c>
      <c r="H78" s="116">
        <f>DAY(EOMONTH(MC[[#This Row],[Month Year]],0))</f>
        <v>30</v>
      </c>
      <c r="I78" s="119">
        <v>4</v>
      </c>
      <c r="J78" s="119">
        <v>2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SUM(MC[[#This Row],[IS1Inv1M1]:[IS4Inv10M2]])</f>
        <v>0</v>
      </c>
      <c r="AN78" s="119"/>
      <c r="AO78" s="119"/>
      <c r="AP78" s="119"/>
      <c r="AQ78" s="119"/>
      <c r="AR78" s="119"/>
      <c r="AS78" s="119"/>
      <c r="AT78" s="119"/>
    </row>
    <row r="79" spans="1:46">
      <c r="A79" s="119">
        <v>77</v>
      </c>
      <c r="B79" s="113">
        <f t="shared" si="1"/>
        <v>45399</v>
      </c>
      <c r="C79" s="114">
        <f>YEAR(MC[[#This Row],[Date]])+IF(MONTH(MC[[#This Row],[Date]])&gt;=4,1,0)</f>
        <v>2025</v>
      </c>
      <c r="D79" s="115">
        <f>YEAR(MC[[#This Row],[Date]])</f>
        <v>2024</v>
      </c>
      <c r="E79" s="112" t="s">
        <v>340</v>
      </c>
      <c r="F79" s="112" t="s">
        <v>340</v>
      </c>
      <c r="G79" s="116" t="str">
        <f>TEXT(MC[[#This Row],[Date]],"mmm-yy")</f>
        <v>Apr-24</v>
      </c>
      <c r="H79" s="116">
        <f>DAY(EOMONTH(MC[[#This Row],[Month Year]],0))</f>
        <v>30</v>
      </c>
      <c r="I79" s="119">
        <v>4</v>
      </c>
      <c r="J79" s="119">
        <v>2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SUM(MC[[#This Row],[IS1Inv1M1]:[IS4Inv10M2]])</f>
        <v>0</v>
      </c>
      <c r="AN79" s="119"/>
      <c r="AO79" s="119"/>
      <c r="AP79" s="119"/>
      <c r="AQ79" s="119"/>
      <c r="AR79" s="119"/>
      <c r="AS79" s="119"/>
      <c r="AT79" s="119"/>
    </row>
    <row r="80" spans="1:46">
      <c r="A80" s="119">
        <v>78</v>
      </c>
      <c r="B80" s="113">
        <f t="shared" si="1"/>
        <v>45400</v>
      </c>
      <c r="C80" s="114">
        <f>YEAR(MC[[#This Row],[Date]])+IF(MONTH(MC[[#This Row],[Date]])&gt;=4,1,0)</f>
        <v>2025</v>
      </c>
      <c r="D80" s="115">
        <f>YEAR(MC[[#This Row],[Date]])</f>
        <v>2024</v>
      </c>
      <c r="E80" s="112" t="s">
        <v>340</v>
      </c>
      <c r="F80" s="112" t="s">
        <v>340</v>
      </c>
      <c r="G80" s="116" t="str">
        <f>TEXT(MC[[#This Row],[Date]],"mmm-yy")</f>
        <v>Apr-24</v>
      </c>
      <c r="H80" s="116">
        <f>DAY(EOMONTH(MC[[#This Row],[Month Year]],0))</f>
        <v>30</v>
      </c>
      <c r="I80" s="119">
        <v>4</v>
      </c>
      <c r="J80" s="119">
        <v>2</v>
      </c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SUM(MC[[#This Row],[IS1Inv1M1]:[IS4Inv10M2]])</f>
        <v>0</v>
      </c>
      <c r="AN80" s="120"/>
      <c r="AO80" s="119"/>
      <c r="AP80" s="119"/>
      <c r="AQ80" s="120"/>
      <c r="AR80" s="119"/>
      <c r="AS80" s="119"/>
      <c r="AT80" s="119"/>
    </row>
    <row r="81" spans="1:46">
      <c r="A81" s="119">
        <v>79</v>
      </c>
      <c r="B81" s="113">
        <f t="shared" si="1"/>
        <v>45401</v>
      </c>
      <c r="C81" s="114">
        <f>YEAR(MC[[#This Row],[Date]])+IF(MONTH(MC[[#This Row],[Date]])&gt;=4,1,0)</f>
        <v>2025</v>
      </c>
      <c r="D81" s="115">
        <f>YEAR(MC[[#This Row],[Date]])</f>
        <v>2024</v>
      </c>
      <c r="E81" s="112" t="s">
        <v>340</v>
      </c>
      <c r="F81" s="112" t="s">
        <v>340</v>
      </c>
      <c r="G81" s="116" t="str">
        <f>TEXT(MC[[#This Row],[Date]],"mmm-yy")</f>
        <v>Apr-24</v>
      </c>
      <c r="H81" s="116">
        <f>DAY(EOMONTH(MC[[#This Row],[Month Year]],0))</f>
        <v>30</v>
      </c>
      <c r="I81" s="119">
        <v>4</v>
      </c>
      <c r="J81" s="119">
        <v>2</v>
      </c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SUM(MC[[#This Row],[IS1Inv1M1]:[IS4Inv10M2]])</f>
        <v>0</v>
      </c>
      <c r="AN81" s="119"/>
      <c r="AO81" s="119"/>
      <c r="AP81" s="119"/>
      <c r="AQ81" s="119"/>
      <c r="AR81" s="119"/>
      <c r="AS81" s="119"/>
      <c r="AT81" s="119"/>
    </row>
    <row r="82" spans="1:46">
      <c r="A82" s="119">
        <v>80</v>
      </c>
      <c r="B82" s="113">
        <f t="shared" si="1"/>
        <v>45402</v>
      </c>
      <c r="C82" s="114">
        <f>YEAR(MC[[#This Row],[Date]])+IF(MONTH(MC[[#This Row],[Date]])&gt;=4,1,0)</f>
        <v>2025</v>
      </c>
      <c r="D82" s="115">
        <f>YEAR(MC[[#This Row],[Date]])</f>
        <v>2024</v>
      </c>
      <c r="E82" s="112" t="s">
        <v>340</v>
      </c>
      <c r="F82" s="112" t="s">
        <v>340</v>
      </c>
      <c r="G82" s="116" t="str">
        <f>TEXT(MC[[#This Row],[Date]],"mmm-yy")</f>
        <v>Apr-24</v>
      </c>
      <c r="H82" s="116">
        <f>DAY(EOMONTH(MC[[#This Row],[Month Year]],0))</f>
        <v>30</v>
      </c>
      <c r="I82" s="119">
        <v>4</v>
      </c>
      <c r="J82" s="119">
        <v>2</v>
      </c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SUM(MC[[#This Row],[IS1Inv1M1]:[IS4Inv10M2]])</f>
        <v>0</v>
      </c>
      <c r="AN82" s="119"/>
      <c r="AO82" s="119"/>
      <c r="AP82" s="119"/>
      <c r="AQ82" s="119"/>
      <c r="AR82" s="119"/>
      <c r="AS82" s="119"/>
      <c r="AT82" s="119"/>
    </row>
    <row r="83" spans="1:46">
      <c r="A83" s="119">
        <v>81</v>
      </c>
      <c r="B83" s="113">
        <f t="shared" si="1"/>
        <v>45403</v>
      </c>
      <c r="C83" s="114">
        <f>YEAR(MC[[#This Row],[Date]])+IF(MONTH(MC[[#This Row],[Date]])&gt;=4,1,0)</f>
        <v>2025</v>
      </c>
      <c r="D83" s="115">
        <f>YEAR(MC[[#This Row],[Date]])</f>
        <v>2024</v>
      </c>
      <c r="E83" s="112" t="s">
        <v>340</v>
      </c>
      <c r="F83" s="112" t="s">
        <v>340</v>
      </c>
      <c r="G83" s="116" t="str">
        <f>TEXT(MC[[#This Row],[Date]],"mmm-yy")</f>
        <v>Apr-24</v>
      </c>
      <c r="H83" s="116">
        <f>DAY(EOMONTH(MC[[#This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SUM(MC[[#This Row],[IS1Inv1M1]:[IS4Inv10M2]])</f>
        <v>0</v>
      </c>
      <c r="AN83" s="119"/>
      <c r="AO83" s="119"/>
      <c r="AP83" s="119"/>
      <c r="AQ83" s="119"/>
      <c r="AR83" s="119"/>
      <c r="AS83" s="119"/>
      <c r="AT83" s="119"/>
    </row>
    <row r="84" spans="1:46">
      <c r="A84" s="119">
        <v>82</v>
      </c>
      <c r="B84" s="113">
        <f t="shared" si="1"/>
        <v>45404</v>
      </c>
      <c r="C84" s="114">
        <f>YEAR(MC[[#This Row],[Date]])+IF(MONTH(MC[[#This Row],[Date]])&gt;=4,1,0)</f>
        <v>2025</v>
      </c>
      <c r="D84" s="115">
        <f>YEAR(MC[[#This Row],[Date]])</f>
        <v>2024</v>
      </c>
      <c r="E84" s="112" t="s">
        <v>340</v>
      </c>
      <c r="F84" s="112" t="s">
        <v>340</v>
      </c>
      <c r="G84" s="116" t="str">
        <f>TEXT(MC[[#This Row],[Date]],"mmm-yy")</f>
        <v>Apr-24</v>
      </c>
      <c r="H84" s="116">
        <f>DAY(EOMONTH(MC[[#This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SUM(MC[[#This Row],[IS1Inv1M1]:[IS4Inv10M2]])</f>
        <v>0</v>
      </c>
      <c r="AN84" s="119"/>
      <c r="AO84" s="119"/>
      <c r="AP84" s="119"/>
      <c r="AQ84" s="119"/>
      <c r="AR84" s="119"/>
      <c r="AS84" s="119"/>
      <c r="AT84" s="119"/>
    </row>
    <row r="85" spans="1:46">
      <c r="A85" s="119">
        <v>83</v>
      </c>
      <c r="B85" s="113">
        <f t="shared" si="1"/>
        <v>45405</v>
      </c>
      <c r="C85" s="114">
        <f>YEAR(MC[[#This Row],[Date]])+IF(MONTH(MC[[#This Row],[Date]])&gt;=4,1,0)</f>
        <v>2025</v>
      </c>
      <c r="D85" s="115">
        <f>YEAR(MC[[#This Row],[Date]])</f>
        <v>2024</v>
      </c>
      <c r="E85" s="112" t="s">
        <v>340</v>
      </c>
      <c r="F85" s="112" t="s">
        <v>340</v>
      </c>
      <c r="G85" s="116" t="str">
        <f>TEXT(MC[[#This Row],[Date]],"mmm-yy")</f>
        <v>Apr-24</v>
      </c>
      <c r="H85" s="116">
        <f>DAY(EOMONTH(MC[[#This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SUM(MC[[#This Row],[IS1Inv1M1]:[IS4Inv10M2]])</f>
        <v>0</v>
      </c>
      <c r="AN85" s="119"/>
      <c r="AO85" s="119"/>
      <c r="AP85" s="119"/>
      <c r="AQ85" s="119"/>
      <c r="AR85" s="119"/>
      <c r="AS85" s="119"/>
      <c r="AT85" s="119"/>
    </row>
    <row r="86" spans="1:46">
      <c r="A86" s="119">
        <v>84</v>
      </c>
      <c r="B86" s="113">
        <f t="shared" si="1"/>
        <v>45406</v>
      </c>
      <c r="C86" s="114">
        <f>YEAR(MC[[#This Row],[Date]])+IF(MONTH(MC[[#This Row],[Date]])&gt;=4,1,0)</f>
        <v>2025</v>
      </c>
      <c r="D86" s="115">
        <f>YEAR(MC[[#This Row],[Date]])</f>
        <v>2024</v>
      </c>
      <c r="E86" s="112" t="s">
        <v>340</v>
      </c>
      <c r="F86" s="112" t="s">
        <v>340</v>
      </c>
      <c r="G86" s="116" t="str">
        <f>TEXT(MC[[#This Row],[Date]],"mmm-yy")</f>
        <v>Apr-24</v>
      </c>
      <c r="H86" s="116">
        <f>DAY(EOMONTH(MC[[#This Row],[Month Year]],0))</f>
        <v>30</v>
      </c>
      <c r="I86" s="119">
        <v>4</v>
      </c>
      <c r="J86" s="119">
        <v>2</v>
      </c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SUM(MC[[#This Row],[IS1Inv1M1]:[IS4Inv10M2]])</f>
        <v>0</v>
      </c>
      <c r="AN86" s="120"/>
      <c r="AO86" s="119"/>
      <c r="AP86" s="119"/>
      <c r="AQ86" s="120"/>
      <c r="AR86" s="119"/>
      <c r="AS86" s="119"/>
      <c r="AT86" s="119"/>
    </row>
    <row r="87" spans="1:46">
      <c r="A87" s="119">
        <v>85</v>
      </c>
      <c r="B87" s="113">
        <f t="shared" si="1"/>
        <v>45407</v>
      </c>
      <c r="C87" s="114">
        <f>YEAR(MC[[#This Row],[Date]])+IF(MONTH(MC[[#This Row],[Date]])&gt;=4,1,0)</f>
        <v>2025</v>
      </c>
      <c r="D87" s="115">
        <f>YEAR(MC[[#This Row],[Date]])</f>
        <v>2024</v>
      </c>
      <c r="E87" s="112" t="s">
        <v>340</v>
      </c>
      <c r="F87" s="112" t="s">
        <v>340</v>
      </c>
      <c r="G87" s="116" t="str">
        <f>TEXT(MC[[#This Row],[Date]],"mmm-yy")</f>
        <v>Apr-24</v>
      </c>
      <c r="H87" s="116">
        <f>DAY(EOMONTH(MC[[#This Row],[Month Year]],0))</f>
        <v>30</v>
      </c>
      <c r="I87" s="119">
        <v>4</v>
      </c>
      <c r="J87" s="119">
        <v>2</v>
      </c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SUM(MC[[#This Row],[IS1Inv1M1]:[IS4Inv10M2]])</f>
        <v>0</v>
      </c>
      <c r="AN87" s="120"/>
      <c r="AO87" s="119"/>
      <c r="AP87" s="119"/>
      <c r="AQ87" s="120"/>
      <c r="AR87" s="119"/>
      <c r="AS87" s="119"/>
      <c r="AT87" s="119"/>
    </row>
    <row r="88" spans="1:46">
      <c r="A88" s="119">
        <v>86</v>
      </c>
      <c r="B88" s="113">
        <f t="shared" si="1"/>
        <v>45408</v>
      </c>
      <c r="C88" s="114">
        <f>YEAR(MC[[#This Row],[Date]])+IF(MONTH(MC[[#This Row],[Date]])&gt;=4,1,0)</f>
        <v>2025</v>
      </c>
      <c r="D88" s="115">
        <f>YEAR(MC[[#This Row],[Date]])</f>
        <v>2024</v>
      </c>
      <c r="E88" s="112" t="s">
        <v>340</v>
      </c>
      <c r="F88" s="112" t="s">
        <v>340</v>
      </c>
      <c r="G88" s="116" t="str">
        <f>TEXT(MC[[#This Row],[Date]],"mmm-yy")</f>
        <v>Apr-24</v>
      </c>
      <c r="H88" s="116">
        <f>DAY(EOMONTH(MC[[#This Row],[Month Year]],0))</f>
        <v>30</v>
      </c>
      <c r="I88" s="119">
        <v>4</v>
      </c>
      <c r="J88" s="119">
        <v>2</v>
      </c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SUM(MC[[#This Row],[IS1Inv1M1]:[IS4Inv10M2]])</f>
        <v>0</v>
      </c>
      <c r="AN88" s="119"/>
      <c r="AO88" s="119"/>
      <c r="AP88" s="119"/>
      <c r="AQ88" s="119"/>
      <c r="AR88" s="119"/>
      <c r="AS88" s="119"/>
      <c r="AT88" s="119"/>
    </row>
    <row r="89" spans="1:46">
      <c r="A89" s="119">
        <v>87</v>
      </c>
      <c r="B89" s="113">
        <f t="shared" si="1"/>
        <v>45409</v>
      </c>
      <c r="C89" s="114">
        <f>YEAR(MC[[#This Row],[Date]])+IF(MONTH(MC[[#This Row],[Date]])&gt;=4,1,0)</f>
        <v>2025</v>
      </c>
      <c r="D89" s="115">
        <f>YEAR(MC[[#This Row],[Date]])</f>
        <v>2024</v>
      </c>
      <c r="E89" s="112" t="s">
        <v>340</v>
      </c>
      <c r="F89" s="112" t="s">
        <v>340</v>
      </c>
      <c r="G89" s="116" t="str">
        <f>TEXT(MC[[#This Row],[Date]],"mmm-yy")</f>
        <v>Apr-24</v>
      </c>
      <c r="H89" s="116">
        <f>DAY(EOMONTH(MC[[#This Row],[Month Year]],0))</f>
        <v>30</v>
      </c>
      <c r="I89" s="119">
        <v>4</v>
      </c>
      <c r="J89" s="119">
        <v>2</v>
      </c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SUM(MC[[#This Row],[IS1Inv1M1]:[IS4Inv10M2]])</f>
        <v>0</v>
      </c>
      <c r="AN89" s="119"/>
      <c r="AO89" s="119"/>
      <c r="AP89" s="119"/>
      <c r="AQ89" s="119"/>
      <c r="AR89" s="119"/>
      <c r="AS89" s="119"/>
      <c r="AT89" s="119"/>
    </row>
    <row r="90" spans="1:46">
      <c r="A90" s="119">
        <v>88</v>
      </c>
      <c r="B90" s="113">
        <f t="shared" si="1"/>
        <v>45410</v>
      </c>
      <c r="C90" s="114">
        <f>YEAR(MC[[#This Row],[Date]])+IF(MONTH(MC[[#This Row],[Date]])&gt;=4,1,0)</f>
        <v>2025</v>
      </c>
      <c r="D90" s="115">
        <f>YEAR(MC[[#This Row],[Date]])</f>
        <v>2024</v>
      </c>
      <c r="E90" s="112" t="s">
        <v>340</v>
      </c>
      <c r="F90" s="112" t="s">
        <v>340</v>
      </c>
      <c r="G90" s="116" t="str">
        <f>TEXT(MC[[#This Row],[Date]],"mmm-yy")</f>
        <v>Apr-24</v>
      </c>
      <c r="H90" s="116">
        <f>DAY(EOMONTH(MC[[#This Row],[Month Year]],0))</f>
        <v>30</v>
      </c>
      <c r="I90" s="119">
        <v>4</v>
      </c>
      <c r="J90" s="119">
        <v>2</v>
      </c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SUM(MC[[#This Row],[IS1Inv1M1]:[IS4Inv10M2]])</f>
        <v>0</v>
      </c>
      <c r="AN90" s="119"/>
      <c r="AO90" s="119"/>
      <c r="AP90" s="119"/>
      <c r="AQ90" s="119"/>
      <c r="AR90" s="119"/>
      <c r="AS90" s="119"/>
      <c r="AT90" s="119"/>
    </row>
    <row r="91" spans="1:46">
      <c r="A91" s="119">
        <v>89</v>
      </c>
      <c r="B91" s="113">
        <f t="shared" si="1"/>
        <v>45411</v>
      </c>
      <c r="C91" s="114">
        <f>YEAR(MC[[#This Row],[Date]])+IF(MONTH(MC[[#This Row],[Date]])&gt;=4,1,0)</f>
        <v>2025</v>
      </c>
      <c r="D91" s="115">
        <f>YEAR(MC[[#This Row],[Date]])</f>
        <v>2024</v>
      </c>
      <c r="E91" s="112" t="s">
        <v>340</v>
      </c>
      <c r="F91" s="112" t="s">
        <v>340</v>
      </c>
      <c r="G91" s="116" t="str">
        <f>TEXT(MC[[#This Row],[Date]],"mmm-yy")</f>
        <v>Apr-24</v>
      </c>
      <c r="H91" s="116">
        <f>DAY(EOMONTH(MC[[#This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SUM(MC[[#This Row],[IS1Inv1M1]:[IS4Inv10M2]])</f>
        <v>0</v>
      </c>
      <c r="AN91" s="119"/>
      <c r="AO91" s="119"/>
      <c r="AP91" s="119"/>
      <c r="AQ91" s="119"/>
      <c r="AR91" s="119"/>
      <c r="AS91" s="119"/>
      <c r="AT91" s="119"/>
    </row>
    <row r="92" spans="1:46">
      <c r="A92" s="119">
        <v>90</v>
      </c>
      <c r="B92" s="113">
        <f t="shared" si="1"/>
        <v>45412</v>
      </c>
      <c r="C92" s="114">
        <f>YEAR(MC[[#This Row],[Date]])+IF(MONTH(MC[[#This Row],[Date]])&gt;=4,1,0)</f>
        <v>2025</v>
      </c>
      <c r="D92" s="115">
        <f>YEAR(MC[[#This Row],[Date]])</f>
        <v>2024</v>
      </c>
      <c r="E92" s="112" t="s">
        <v>340</v>
      </c>
      <c r="F92" s="112" t="s">
        <v>340</v>
      </c>
      <c r="G92" s="116" t="str">
        <f>TEXT(MC[[#This Row],[Date]],"mmm-yy")</f>
        <v>Apr-24</v>
      </c>
      <c r="H92" s="116">
        <f>DAY(EOMONTH(MC[[#This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SUM(MC[[#This Row],[IS1Inv1M1]:[IS4Inv10M2]])</f>
        <v>0</v>
      </c>
      <c r="AN92" s="119"/>
      <c r="AO92" s="119"/>
      <c r="AP92" s="119"/>
      <c r="AQ92" s="119"/>
      <c r="AR92" s="119"/>
      <c r="AS92" s="119"/>
      <c r="AT92" s="119"/>
    </row>
    <row r="93" spans="1:46">
      <c r="A93" s="119">
        <v>91</v>
      </c>
      <c r="B93" s="113">
        <f t="shared" si="1"/>
        <v>45413</v>
      </c>
      <c r="C93" s="114">
        <f>YEAR(MC[[#This Row],[Date]])+IF(MONTH(MC[[#This Row],[Date]])&gt;=4,1,0)</f>
        <v>2025</v>
      </c>
      <c r="D93" s="115">
        <f>YEAR(MC[[#This Row],[Date]])</f>
        <v>2024</v>
      </c>
      <c r="E93" s="112" t="s">
        <v>340</v>
      </c>
      <c r="F93" s="112" t="s">
        <v>340</v>
      </c>
      <c r="G93" s="116" t="str">
        <f>TEXT(MC[[#This Row],[Date]],"mmm-yy")</f>
        <v>May-24</v>
      </c>
      <c r="H93" s="116">
        <f>DAY(EOMONTH(MC[[#This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SUM(MC[[#This Row],[IS1Inv1M1]:[IS4Inv10M2]])</f>
        <v>0</v>
      </c>
      <c r="AN93" s="119"/>
      <c r="AO93" s="119"/>
      <c r="AP93" s="119"/>
      <c r="AQ93" s="119"/>
      <c r="AR93" s="119"/>
      <c r="AS93" s="119"/>
      <c r="AT93" s="119"/>
    </row>
    <row r="94" spans="1:46">
      <c r="A94" s="119">
        <v>92</v>
      </c>
      <c r="B94" s="113">
        <f t="shared" si="1"/>
        <v>45414</v>
      </c>
      <c r="C94" s="114">
        <f>YEAR(MC[[#This Row],[Date]])+IF(MONTH(MC[[#This Row],[Date]])&gt;=4,1,0)</f>
        <v>2025</v>
      </c>
      <c r="D94" s="115">
        <f>YEAR(MC[[#This Row],[Date]])</f>
        <v>2024</v>
      </c>
      <c r="E94" s="112" t="s">
        <v>340</v>
      </c>
      <c r="F94" s="112" t="s">
        <v>340</v>
      </c>
      <c r="G94" s="116" t="str">
        <f>TEXT(MC[[#This Row],[Date]],"mmm-yy")</f>
        <v>May-24</v>
      </c>
      <c r="H94" s="116">
        <f>DAY(EOMONTH(MC[[#This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SUM(MC[[#This Row],[IS1Inv1M1]:[IS4Inv10M2]])</f>
        <v>0</v>
      </c>
      <c r="AN94" s="119"/>
      <c r="AO94" s="119"/>
      <c r="AP94" s="119"/>
      <c r="AQ94" s="119"/>
      <c r="AR94" s="119"/>
      <c r="AS94" s="119"/>
      <c r="AT94" s="119"/>
    </row>
    <row r="95" spans="1:46">
      <c r="A95" s="119">
        <v>93</v>
      </c>
      <c r="B95" s="113">
        <f t="shared" si="1"/>
        <v>45415</v>
      </c>
      <c r="C95" s="114">
        <f>YEAR(MC[[#This Row],[Date]])+IF(MONTH(MC[[#This Row],[Date]])&gt;=4,1,0)</f>
        <v>2025</v>
      </c>
      <c r="D95" s="115">
        <f>YEAR(MC[[#This Row],[Date]])</f>
        <v>2024</v>
      </c>
      <c r="E95" s="112" t="s">
        <v>340</v>
      </c>
      <c r="F95" s="112" t="s">
        <v>340</v>
      </c>
      <c r="G95" s="116" t="str">
        <f>TEXT(MC[[#This Row],[Date]],"mmm-yy")</f>
        <v>May-24</v>
      </c>
      <c r="H95" s="116">
        <f>DAY(EOMONTH(MC[[#This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SUM(MC[[#This Row],[IS1Inv1M1]:[IS4Inv10M2]])</f>
        <v>0</v>
      </c>
      <c r="AN95" s="119"/>
      <c r="AO95" s="119"/>
      <c r="AP95" s="119"/>
      <c r="AQ95" s="119"/>
      <c r="AR95" s="119"/>
      <c r="AS95" s="119"/>
      <c r="AT95" s="119"/>
    </row>
    <row r="96" spans="1:46">
      <c r="A96" s="119">
        <v>94</v>
      </c>
      <c r="B96" s="113">
        <f t="shared" si="1"/>
        <v>45416</v>
      </c>
      <c r="C96" s="114">
        <f>YEAR(MC[[#This Row],[Date]])+IF(MONTH(MC[[#This Row],[Date]])&gt;=4,1,0)</f>
        <v>2025</v>
      </c>
      <c r="D96" s="115">
        <f>YEAR(MC[[#This Row],[Date]])</f>
        <v>2024</v>
      </c>
      <c r="E96" s="112" t="s">
        <v>340</v>
      </c>
      <c r="F96" s="112" t="s">
        <v>340</v>
      </c>
      <c r="G96" s="116" t="str">
        <f>TEXT(MC[[#This Row],[Date]],"mmm-yy")</f>
        <v>May-24</v>
      </c>
      <c r="H96" s="116">
        <f>DAY(EOMONTH(MC[[#This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SUM(MC[[#This Row],[IS1Inv1M1]:[IS4Inv10M2]])</f>
        <v>0</v>
      </c>
      <c r="AN96" s="120"/>
      <c r="AO96" s="119"/>
      <c r="AP96" s="119"/>
      <c r="AQ96" s="120"/>
      <c r="AR96" s="119"/>
      <c r="AS96" s="119"/>
      <c r="AT96" s="119"/>
    </row>
    <row r="97" spans="1:46">
      <c r="A97" s="119">
        <v>95</v>
      </c>
      <c r="B97" s="113">
        <f t="shared" si="1"/>
        <v>45417</v>
      </c>
      <c r="C97" s="114">
        <f>YEAR(MC[[#This Row],[Date]])+IF(MONTH(MC[[#This Row],[Date]])&gt;=4,1,0)</f>
        <v>2025</v>
      </c>
      <c r="D97" s="115">
        <f>YEAR(MC[[#This Row],[Date]])</f>
        <v>2024</v>
      </c>
      <c r="E97" s="112" t="s">
        <v>340</v>
      </c>
      <c r="F97" s="112" t="s">
        <v>340</v>
      </c>
      <c r="G97" s="116" t="str">
        <f>TEXT(MC[[#This Row],[Date]],"mmm-yy")</f>
        <v>May-24</v>
      </c>
      <c r="H97" s="116">
        <f>DAY(EOMONTH(MC[[#This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SUM(MC[[#This Row],[IS1Inv1M1]:[IS4Inv10M2]])</f>
        <v>0</v>
      </c>
      <c r="AN97" s="119"/>
      <c r="AO97" s="119"/>
      <c r="AP97" s="119"/>
      <c r="AQ97" s="119"/>
      <c r="AR97" s="119"/>
      <c r="AS97" s="119"/>
      <c r="AT97" s="119"/>
    </row>
    <row r="98" spans="1:46">
      <c r="A98" s="119">
        <v>96</v>
      </c>
      <c r="B98" s="113">
        <f t="shared" si="1"/>
        <v>45418</v>
      </c>
      <c r="C98" s="114">
        <f>YEAR(MC[[#This Row],[Date]])+IF(MONTH(MC[[#This Row],[Date]])&gt;=4,1,0)</f>
        <v>2025</v>
      </c>
      <c r="D98" s="115">
        <f>YEAR(MC[[#This Row],[Date]])</f>
        <v>2024</v>
      </c>
      <c r="E98" s="112" t="s">
        <v>340</v>
      </c>
      <c r="F98" s="112" t="s">
        <v>340</v>
      </c>
      <c r="G98" s="116" t="str">
        <f>TEXT(MC[[#This Row],[Date]],"mmm-yy")</f>
        <v>May-24</v>
      </c>
      <c r="H98" s="116">
        <f>DAY(EOMONTH(MC[[#This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SUM(MC[[#This Row],[IS1Inv1M1]:[IS4Inv10M2]])</f>
        <v>0</v>
      </c>
      <c r="AN98" s="119"/>
      <c r="AO98" s="119"/>
      <c r="AP98" s="119"/>
      <c r="AQ98" s="119"/>
      <c r="AR98" s="119"/>
      <c r="AS98" s="119"/>
      <c r="AT98" s="119"/>
    </row>
    <row r="99" spans="1:46">
      <c r="A99" s="119">
        <v>97</v>
      </c>
      <c r="B99" s="113">
        <f t="shared" si="1"/>
        <v>45419</v>
      </c>
      <c r="C99" s="114">
        <f>YEAR(MC[[#This Row],[Date]])+IF(MONTH(MC[[#This Row],[Date]])&gt;=4,1,0)</f>
        <v>2025</v>
      </c>
      <c r="D99" s="115">
        <f>YEAR(MC[[#This Row],[Date]])</f>
        <v>2024</v>
      </c>
      <c r="E99" s="112" t="s">
        <v>340</v>
      </c>
      <c r="F99" s="112" t="s">
        <v>340</v>
      </c>
      <c r="G99" s="116" t="str">
        <f>TEXT(MC[[#This Row],[Date]],"mmm-yy")</f>
        <v>May-24</v>
      </c>
      <c r="H99" s="116">
        <f>DAY(EOMONTH(MC[[#This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SUM(MC[[#This Row],[IS1Inv1M1]:[IS4Inv10M2]])</f>
        <v>0</v>
      </c>
      <c r="AN99" s="119"/>
      <c r="AO99" s="119"/>
      <c r="AP99" s="119"/>
      <c r="AQ99" s="119"/>
      <c r="AR99" s="119"/>
      <c r="AS99" s="119"/>
      <c r="AT99" s="119"/>
    </row>
    <row r="100" spans="1:46">
      <c r="A100" s="119">
        <v>98</v>
      </c>
      <c r="B100" s="113">
        <f t="shared" si="1"/>
        <v>45420</v>
      </c>
      <c r="C100" s="114">
        <f>YEAR(MC[[#This Row],[Date]])+IF(MONTH(MC[[#This Row],[Date]])&gt;=4,1,0)</f>
        <v>2025</v>
      </c>
      <c r="D100" s="115">
        <f>YEAR(MC[[#This Row],[Date]])</f>
        <v>2024</v>
      </c>
      <c r="E100" s="112" t="s">
        <v>340</v>
      </c>
      <c r="F100" s="112" t="s">
        <v>340</v>
      </c>
      <c r="G100" s="116" t="str">
        <f>TEXT(MC[[#This Row],[Date]],"mmm-yy")</f>
        <v>May-24</v>
      </c>
      <c r="H100" s="116">
        <f>DAY(EOMONTH(MC[[#This Row],[Month Year]],0))</f>
        <v>31</v>
      </c>
      <c r="I100" s="119">
        <v>1</v>
      </c>
      <c r="J100" s="119" t="s">
        <v>1246</v>
      </c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SUM(MC[[#This Row],[IS1Inv1M1]:[IS4Inv10M2]])</f>
        <v>0</v>
      </c>
      <c r="AN100" s="119"/>
      <c r="AO100" s="119"/>
      <c r="AP100" s="119"/>
      <c r="AQ100" s="119"/>
      <c r="AR100" s="119"/>
      <c r="AS100" s="119"/>
      <c r="AT100" s="119"/>
    </row>
    <row r="101" spans="1:46">
      <c r="A101" s="119">
        <v>99</v>
      </c>
      <c r="B101" s="113">
        <f t="shared" si="1"/>
        <v>45421</v>
      </c>
      <c r="C101" s="114">
        <f>YEAR(MC[[#This Row],[Date]])+IF(MONTH(MC[[#This Row],[Date]])&gt;=4,1,0)</f>
        <v>2025</v>
      </c>
      <c r="D101" s="115">
        <f>YEAR(MC[[#This Row],[Date]])</f>
        <v>2024</v>
      </c>
      <c r="E101" s="112" t="s">
        <v>340</v>
      </c>
      <c r="F101" s="112" t="s">
        <v>340</v>
      </c>
      <c r="G101" s="116" t="str">
        <f>TEXT(MC[[#This Row],[Date]],"mmm-yy")</f>
        <v>May-24</v>
      </c>
      <c r="H101" s="116">
        <f>DAY(EOMONTH(MC[[#This Row],[Month Year]],0))</f>
        <v>31</v>
      </c>
      <c r="I101" s="119">
        <v>1</v>
      </c>
      <c r="J101" s="119" t="s">
        <v>1246</v>
      </c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SUM(MC[[#This Row],[IS1Inv1M1]:[IS4Inv10M2]])</f>
        <v>0</v>
      </c>
      <c r="AN101" s="119"/>
      <c r="AO101" s="119"/>
      <c r="AP101" s="119"/>
      <c r="AQ101" s="119"/>
      <c r="AR101" s="119"/>
      <c r="AS101" s="119"/>
      <c r="AT101" s="119"/>
    </row>
    <row r="102" spans="1:46">
      <c r="A102" s="119">
        <v>100</v>
      </c>
      <c r="B102" s="113">
        <f t="shared" si="1"/>
        <v>45422</v>
      </c>
      <c r="C102" s="114">
        <f>YEAR(MC[[#This Row],[Date]])+IF(MONTH(MC[[#This Row],[Date]])&gt;=4,1,0)</f>
        <v>2025</v>
      </c>
      <c r="D102" s="115">
        <f>YEAR(MC[[#This Row],[Date]])</f>
        <v>2024</v>
      </c>
      <c r="E102" s="112" t="s">
        <v>340</v>
      </c>
      <c r="F102" s="112" t="s">
        <v>340</v>
      </c>
      <c r="G102" s="116" t="str">
        <f>TEXT(MC[[#This Row],[Date]],"mmm-yy")</f>
        <v>May-24</v>
      </c>
      <c r="H102" s="116">
        <f>DAY(EOMONTH(MC[[#This Row],[Month Year]],0))</f>
        <v>31</v>
      </c>
      <c r="I102" s="119">
        <v>1</v>
      </c>
      <c r="J102" s="119" t="s">
        <v>1246</v>
      </c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SUM(MC[[#This Row],[IS1Inv1M1]:[IS4Inv10M2]])</f>
        <v>0</v>
      </c>
      <c r="AN102" s="119"/>
      <c r="AO102" s="119"/>
      <c r="AP102" s="119"/>
      <c r="AQ102" s="119"/>
      <c r="AR102" s="119"/>
      <c r="AS102" s="119"/>
      <c r="AT102" s="119"/>
    </row>
    <row r="103" spans="1:46">
      <c r="A103" s="119">
        <v>101</v>
      </c>
      <c r="B103" s="113">
        <f t="shared" si="1"/>
        <v>45423</v>
      </c>
      <c r="C103" s="114">
        <f>YEAR(MC[[#This Row],[Date]])+IF(MONTH(MC[[#This Row],[Date]])&gt;=4,1,0)</f>
        <v>2025</v>
      </c>
      <c r="D103" s="115">
        <f>YEAR(MC[[#This Row],[Date]])</f>
        <v>2024</v>
      </c>
      <c r="E103" s="112" t="s">
        <v>340</v>
      </c>
      <c r="F103" s="112" t="s">
        <v>340</v>
      </c>
      <c r="G103" s="116" t="str">
        <f>TEXT(MC[[#This Row],[Date]],"mmm-yy")</f>
        <v>May-24</v>
      </c>
      <c r="H103" s="116">
        <f>DAY(EOMONTH(MC[[#This Row],[Month Year]],0))</f>
        <v>31</v>
      </c>
      <c r="I103" s="119">
        <v>1</v>
      </c>
      <c r="J103" s="119" t="s">
        <v>1246</v>
      </c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SUM(MC[[#This Row],[IS1Inv1M1]:[IS4Inv10M2]])</f>
        <v>0</v>
      </c>
      <c r="AN103" s="119"/>
      <c r="AO103" s="119"/>
      <c r="AP103" s="119"/>
      <c r="AQ103" s="119"/>
      <c r="AR103" s="119"/>
      <c r="AS103" s="119"/>
      <c r="AT103" s="119"/>
    </row>
    <row r="104" spans="1:46">
      <c r="A104" s="119">
        <v>102</v>
      </c>
      <c r="B104" s="113">
        <f t="shared" si="1"/>
        <v>45424</v>
      </c>
      <c r="C104" s="114">
        <f>YEAR(MC[[#This Row],[Date]])+IF(MONTH(MC[[#This Row],[Date]])&gt;=4,1,0)</f>
        <v>2025</v>
      </c>
      <c r="D104" s="115">
        <f>YEAR(MC[[#This Row],[Date]])</f>
        <v>2024</v>
      </c>
      <c r="E104" s="112" t="s">
        <v>340</v>
      </c>
      <c r="F104" s="112" t="s">
        <v>340</v>
      </c>
      <c r="G104" s="116" t="str">
        <f>TEXT(MC[[#This Row],[Date]],"mmm-yy")</f>
        <v>May-24</v>
      </c>
      <c r="H104" s="116">
        <f>DAY(EOMONTH(MC[[#This Row],[Month Year]],0))</f>
        <v>31</v>
      </c>
      <c r="I104" s="119">
        <v>1</v>
      </c>
      <c r="J104" s="119" t="s">
        <v>1246</v>
      </c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SUM(MC[[#This Row],[IS1Inv1M1]:[IS4Inv10M2]])</f>
        <v>0</v>
      </c>
      <c r="AN104" s="119"/>
      <c r="AO104" s="119"/>
      <c r="AP104" s="119"/>
      <c r="AQ104" s="119"/>
      <c r="AR104" s="119"/>
      <c r="AS104" s="119"/>
      <c r="AT104" s="119"/>
    </row>
    <row r="105" spans="1:46">
      <c r="A105" s="119">
        <v>103</v>
      </c>
      <c r="B105" s="113">
        <f t="shared" si="1"/>
        <v>45425</v>
      </c>
      <c r="C105" s="114">
        <f>YEAR(MC[[#This Row],[Date]])+IF(MONTH(MC[[#This Row],[Date]])&gt;=4,1,0)</f>
        <v>2025</v>
      </c>
      <c r="D105" s="115">
        <f>YEAR(MC[[#This Row],[Date]])</f>
        <v>2024</v>
      </c>
      <c r="E105" s="112" t="s">
        <v>340</v>
      </c>
      <c r="F105" s="112" t="s">
        <v>340</v>
      </c>
      <c r="G105" s="116" t="str">
        <f>TEXT(MC[[#This Row],[Date]],"mmm-yy")</f>
        <v>May-24</v>
      </c>
      <c r="H105" s="116">
        <f>DAY(EOMONTH(MC[[#This Row],[Month Year]],0))</f>
        <v>31</v>
      </c>
      <c r="I105" s="119">
        <v>1</v>
      </c>
      <c r="J105" s="119" t="s">
        <v>1246</v>
      </c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SUM(MC[[#This Row],[IS1Inv1M1]:[IS4Inv10M2]])</f>
        <v>0</v>
      </c>
      <c r="AN105" s="119"/>
      <c r="AO105" s="119"/>
      <c r="AP105" s="120"/>
      <c r="AQ105" s="120"/>
      <c r="AR105" s="119"/>
      <c r="AS105" s="119"/>
      <c r="AT105" s="119"/>
    </row>
    <row r="106" spans="1:46">
      <c r="A106" s="119">
        <v>104</v>
      </c>
      <c r="B106" s="113">
        <f t="shared" si="1"/>
        <v>45426</v>
      </c>
      <c r="C106" s="114">
        <f>YEAR(MC[[#This Row],[Date]])+IF(MONTH(MC[[#This Row],[Date]])&gt;=4,1,0)</f>
        <v>2025</v>
      </c>
      <c r="D106" s="115">
        <f>YEAR(MC[[#This Row],[Date]])</f>
        <v>2024</v>
      </c>
      <c r="E106" s="112" t="s">
        <v>340</v>
      </c>
      <c r="F106" s="112" t="s">
        <v>340</v>
      </c>
      <c r="G106" s="116" t="str">
        <f>TEXT(MC[[#This Row],[Date]],"mmm-yy")</f>
        <v>May-24</v>
      </c>
      <c r="H106" s="116">
        <f>DAY(EOMONTH(MC[[#This Row],[Month Year]],0))</f>
        <v>31</v>
      </c>
      <c r="I106" s="119">
        <v>1</v>
      </c>
      <c r="J106" s="119" t="s">
        <v>1246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SUM(MC[[#This Row],[IS1Inv1M1]:[IS4Inv10M2]])</f>
        <v>0</v>
      </c>
      <c r="AN106" s="120"/>
      <c r="AO106" s="120"/>
      <c r="AP106" s="120"/>
      <c r="AQ106" s="120"/>
      <c r="AR106" s="119"/>
      <c r="AS106" s="119"/>
      <c r="AT106" s="119"/>
    </row>
    <row r="107" spans="1:46">
      <c r="A107" s="119">
        <v>105</v>
      </c>
      <c r="B107" s="113">
        <f t="shared" si="1"/>
        <v>45427</v>
      </c>
      <c r="C107" s="114">
        <f>YEAR(MC[[#This Row],[Date]])+IF(MONTH(MC[[#This Row],[Date]])&gt;=4,1,0)</f>
        <v>2025</v>
      </c>
      <c r="D107" s="115">
        <f>YEAR(MC[[#This Row],[Date]])</f>
        <v>2024</v>
      </c>
      <c r="E107" s="112" t="s">
        <v>340</v>
      </c>
      <c r="F107" s="112" t="s">
        <v>340</v>
      </c>
      <c r="G107" s="116" t="str">
        <f>TEXT(MC[[#This Row],[Date]],"mmm-yy")</f>
        <v>May-24</v>
      </c>
      <c r="H107" s="116">
        <f>DAY(EOMONTH(MC[[#This Row],[Month Year]],0))</f>
        <v>31</v>
      </c>
      <c r="I107" s="119">
        <v>1</v>
      </c>
      <c r="J107" s="119" t="s">
        <v>1246</v>
      </c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SUM(MC[[#This Row],[IS1Inv1M1]:[IS4Inv10M2]])</f>
        <v>0</v>
      </c>
      <c r="AN107" s="120"/>
      <c r="AO107" s="120"/>
      <c r="AP107" s="119"/>
      <c r="AQ107" s="119"/>
      <c r="AR107" s="119"/>
      <c r="AS107" s="119"/>
      <c r="AT107" s="119"/>
    </row>
    <row r="108" spans="1:46">
      <c r="A108" s="119">
        <v>106</v>
      </c>
      <c r="B108" s="113">
        <f t="shared" si="1"/>
        <v>45428</v>
      </c>
      <c r="C108" s="114">
        <f>YEAR(MC[[#This Row],[Date]])+IF(MONTH(MC[[#This Row],[Date]])&gt;=4,1,0)</f>
        <v>2025</v>
      </c>
      <c r="D108" s="115">
        <f>YEAR(MC[[#This Row],[Date]])</f>
        <v>2024</v>
      </c>
      <c r="E108" s="112" t="s">
        <v>340</v>
      </c>
      <c r="F108" s="112" t="s">
        <v>340</v>
      </c>
      <c r="G108" s="116" t="str">
        <f>TEXT(MC[[#This Row],[Date]],"mmm-yy")</f>
        <v>May-24</v>
      </c>
      <c r="H108" s="116">
        <f>DAY(EOMONTH(MC[[#This Row],[Month Year]],0))</f>
        <v>31</v>
      </c>
      <c r="I108" s="119">
        <v>1</v>
      </c>
      <c r="J108" s="119" t="s">
        <v>1246</v>
      </c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SUM(MC[[#This Row],[IS1Inv1M1]:[IS4Inv10M2]])</f>
        <v>0</v>
      </c>
      <c r="AN108" s="119"/>
      <c r="AO108" s="119"/>
      <c r="AP108" s="119"/>
      <c r="AQ108" s="119"/>
      <c r="AR108" s="119"/>
      <c r="AS108" s="119"/>
      <c r="AT108" s="119"/>
    </row>
    <row r="109" spans="1:46">
      <c r="A109" s="119">
        <v>107</v>
      </c>
      <c r="B109" s="113">
        <f t="shared" si="1"/>
        <v>45429</v>
      </c>
      <c r="C109" s="114">
        <f>YEAR(MC[[#This Row],[Date]])+IF(MONTH(MC[[#This Row],[Date]])&gt;=4,1,0)</f>
        <v>2025</v>
      </c>
      <c r="D109" s="115">
        <f>YEAR(MC[[#This Row],[Date]])</f>
        <v>2024</v>
      </c>
      <c r="E109" s="112" t="s">
        <v>340</v>
      </c>
      <c r="F109" s="112" t="s">
        <v>340</v>
      </c>
      <c r="G109" s="116" t="str">
        <f>TEXT(MC[[#This Row],[Date]],"mmm-yy")</f>
        <v>May-24</v>
      </c>
      <c r="H109" s="116">
        <f>DAY(EOMONTH(MC[[#This Row],[Month Year]],0))</f>
        <v>31</v>
      </c>
      <c r="I109" s="119">
        <v>1</v>
      </c>
      <c r="J109" s="119" t="s">
        <v>1246</v>
      </c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SUM(MC[[#This Row],[IS1Inv1M1]:[IS4Inv10M2]])</f>
        <v>0</v>
      </c>
      <c r="AN109" s="119"/>
      <c r="AO109" s="119"/>
      <c r="AP109" s="119"/>
      <c r="AQ109" s="119"/>
      <c r="AR109" s="119"/>
      <c r="AS109" s="119"/>
      <c r="AT109" s="119"/>
    </row>
    <row r="110" spans="1:46">
      <c r="A110" s="119">
        <v>108</v>
      </c>
      <c r="B110" s="113">
        <f t="shared" si="1"/>
        <v>45430</v>
      </c>
      <c r="C110" s="114">
        <f>YEAR(MC[[#This Row],[Date]])+IF(MONTH(MC[[#This Row],[Date]])&gt;=4,1,0)</f>
        <v>2025</v>
      </c>
      <c r="D110" s="115">
        <f>YEAR(MC[[#This Row],[Date]])</f>
        <v>2024</v>
      </c>
      <c r="E110" s="112" t="s">
        <v>340</v>
      </c>
      <c r="F110" s="112" t="s">
        <v>340</v>
      </c>
      <c r="G110" s="116" t="str">
        <f>TEXT(MC[[#This Row],[Date]],"mmm-yy")</f>
        <v>May-24</v>
      </c>
      <c r="H110" s="116">
        <f>DAY(EOMONTH(MC[[#This Row],[Month Year]],0))</f>
        <v>31</v>
      </c>
      <c r="I110" s="119">
        <v>1</v>
      </c>
      <c r="J110" s="119" t="s">
        <v>1246</v>
      </c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SUM(MC[[#This Row],[IS1Inv1M1]:[IS4Inv10M2]])</f>
        <v>0</v>
      </c>
      <c r="AN110" s="119"/>
      <c r="AO110" s="119"/>
      <c r="AP110" s="120"/>
      <c r="AQ110" s="120"/>
      <c r="AR110" s="119"/>
      <c r="AS110" s="119"/>
      <c r="AT110" s="119"/>
    </row>
    <row r="111" spans="1:46">
      <c r="A111" s="119">
        <v>109</v>
      </c>
      <c r="B111" s="113">
        <f t="shared" si="1"/>
        <v>45431</v>
      </c>
      <c r="C111" s="114">
        <f>YEAR(MC[[#This Row],[Date]])+IF(MONTH(MC[[#This Row],[Date]])&gt;=4,1,0)</f>
        <v>2025</v>
      </c>
      <c r="D111" s="115">
        <f>YEAR(MC[[#This Row],[Date]])</f>
        <v>2024</v>
      </c>
      <c r="E111" s="112" t="s">
        <v>340</v>
      </c>
      <c r="F111" s="112" t="s">
        <v>340</v>
      </c>
      <c r="G111" s="116" t="str">
        <f>TEXT(MC[[#This Row],[Date]],"mmm-yy")</f>
        <v>May-24</v>
      </c>
      <c r="H111" s="116">
        <f>DAY(EOMONTH(MC[[#This Row],[Month Year]],0))</f>
        <v>31</v>
      </c>
      <c r="I111" s="119">
        <v>1</v>
      </c>
      <c r="J111" s="119" t="s">
        <v>1246</v>
      </c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SUM(MC[[#This Row],[IS1Inv1M1]:[IS4Inv10M2]])</f>
        <v>0</v>
      </c>
      <c r="AN111" s="120"/>
      <c r="AO111" s="120"/>
      <c r="AP111" s="120"/>
      <c r="AQ111" s="120"/>
      <c r="AR111" s="119"/>
      <c r="AS111" s="119"/>
      <c r="AT111" s="119"/>
    </row>
    <row r="112" spans="1:46">
      <c r="A112" s="119">
        <v>110</v>
      </c>
      <c r="B112" s="113">
        <f t="shared" si="1"/>
        <v>45432</v>
      </c>
      <c r="C112" s="114">
        <f>YEAR(MC[[#This Row],[Date]])+IF(MONTH(MC[[#This Row],[Date]])&gt;=4,1,0)</f>
        <v>2025</v>
      </c>
      <c r="D112" s="115">
        <f>YEAR(MC[[#This Row],[Date]])</f>
        <v>2024</v>
      </c>
      <c r="E112" s="112" t="s">
        <v>340</v>
      </c>
      <c r="F112" s="112" t="s">
        <v>340</v>
      </c>
      <c r="G112" s="116" t="str">
        <f>TEXT(MC[[#This Row],[Date]],"mmm-yy")</f>
        <v>May-24</v>
      </c>
      <c r="H112" s="116">
        <f>DAY(EOMONTH(MC[[#This Row],[Month Year]],0))</f>
        <v>31</v>
      </c>
      <c r="I112" s="119">
        <v>1</v>
      </c>
      <c r="J112" s="119" t="s">
        <v>1246</v>
      </c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SUM(MC[[#This Row],[IS1Inv1M1]:[IS4Inv10M2]])</f>
        <v>0</v>
      </c>
      <c r="AN112" s="120"/>
      <c r="AO112" s="120"/>
      <c r="AP112" s="120"/>
      <c r="AQ112" s="120"/>
      <c r="AR112" s="119"/>
      <c r="AS112" s="119"/>
      <c r="AT112" s="119"/>
    </row>
    <row r="113" spans="1:46">
      <c r="A113" s="119">
        <v>111</v>
      </c>
      <c r="B113" s="113">
        <f t="shared" si="1"/>
        <v>45433</v>
      </c>
      <c r="C113" s="114">
        <f>YEAR(MC[[#This Row],[Date]])+IF(MONTH(MC[[#This Row],[Date]])&gt;=4,1,0)</f>
        <v>2025</v>
      </c>
      <c r="D113" s="115">
        <f>YEAR(MC[[#This Row],[Date]])</f>
        <v>2024</v>
      </c>
      <c r="E113" s="112" t="s">
        <v>340</v>
      </c>
      <c r="F113" s="112" t="s">
        <v>340</v>
      </c>
      <c r="G113" s="116" t="str">
        <f>TEXT(MC[[#This Row],[Date]],"mmm-yy")</f>
        <v>May-24</v>
      </c>
      <c r="H113" s="116">
        <f>DAY(EOMONTH(MC[[#This Row],[Month Year]],0))</f>
        <v>31</v>
      </c>
      <c r="I113" s="119">
        <v>1</v>
      </c>
      <c r="J113" s="119" t="s">
        <v>1246</v>
      </c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SUM(MC[[#This Row],[IS1Inv1M1]:[IS4Inv10M2]])</f>
        <v>0</v>
      </c>
      <c r="AN113" s="119"/>
      <c r="AO113" s="119"/>
      <c r="AP113" s="120"/>
      <c r="AQ113" s="120"/>
      <c r="AR113" s="119"/>
      <c r="AS113" s="119"/>
      <c r="AT113" s="119"/>
    </row>
    <row r="114" spans="1:46">
      <c r="A114" s="119">
        <v>112</v>
      </c>
      <c r="B114" s="113">
        <f t="shared" si="1"/>
        <v>45434</v>
      </c>
      <c r="C114" s="114">
        <f>YEAR(MC[[#This Row],[Date]])+IF(MONTH(MC[[#This Row],[Date]])&gt;=4,1,0)</f>
        <v>2025</v>
      </c>
      <c r="D114" s="115">
        <f>YEAR(MC[[#This Row],[Date]])</f>
        <v>2024</v>
      </c>
      <c r="E114" s="112" t="s">
        <v>340</v>
      </c>
      <c r="F114" s="112" t="s">
        <v>340</v>
      </c>
      <c r="G114" s="116" t="str">
        <f>TEXT(MC[[#This Row],[Date]],"mmm-yy")</f>
        <v>May-24</v>
      </c>
      <c r="H114" s="116">
        <f>DAY(EOMONTH(MC[[#This Row],[Month Year]],0))</f>
        <v>31</v>
      </c>
      <c r="I114" s="119">
        <v>1</v>
      </c>
      <c r="J114" s="119" t="s">
        <v>1246</v>
      </c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SUM(MC[[#This Row],[IS1Inv1M1]:[IS4Inv10M2]])</f>
        <v>0</v>
      </c>
      <c r="AN114" s="120"/>
      <c r="AO114" s="120"/>
      <c r="AP114" s="120"/>
      <c r="AQ114" s="120"/>
      <c r="AR114" s="119"/>
      <c r="AS114" s="119"/>
      <c r="AT114" s="119"/>
    </row>
    <row r="115" spans="1:46">
      <c r="A115" s="119">
        <v>113</v>
      </c>
      <c r="B115" s="113">
        <f t="shared" si="1"/>
        <v>45435</v>
      </c>
      <c r="C115" s="114">
        <f>YEAR(MC[[#This Row],[Date]])+IF(MONTH(MC[[#This Row],[Date]])&gt;=4,1,0)</f>
        <v>2025</v>
      </c>
      <c r="D115" s="115">
        <f>YEAR(MC[[#This Row],[Date]])</f>
        <v>2024</v>
      </c>
      <c r="E115" s="112" t="s">
        <v>340</v>
      </c>
      <c r="F115" s="112" t="s">
        <v>340</v>
      </c>
      <c r="G115" s="116" t="str">
        <f>TEXT(MC[[#This Row],[Date]],"mmm-yy")</f>
        <v>May-24</v>
      </c>
      <c r="H115" s="116">
        <f>DAY(EOMONTH(MC[[#This Row],[Month Year]],0))</f>
        <v>31</v>
      </c>
      <c r="I115" s="119">
        <v>1</v>
      </c>
      <c r="J115" s="119" t="s">
        <v>1246</v>
      </c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SUM(MC[[#This Row],[IS1Inv1M1]:[IS4Inv10M2]])</f>
        <v>0</v>
      </c>
      <c r="AN115" s="120"/>
      <c r="AO115" s="120"/>
      <c r="AP115" s="120"/>
      <c r="AQ115" s="120"/>
      <c r="AR115" s="119"/>
      <c r="AS115" s="119"/>
      <c r="AT115" s="119"/>
    </row>
    <row r="116" spans="1:46">
      <c r="A116" s="119">
        <v>114</v>
      </c>
      <c r="B116" s="113">
        <f t="shared" si="1"/>
        <v>45436</v>
      </c>
      <c r="C116" s="114">
        <f>YEAR(MC[[#This Row],[Date]])+IF(MONTH(MC[[#This Row],[Date]])&gt;=4,1,0)</f>
        <v>2025</v>
      </c>
      <c r="D116" s="115">
        <f>YEAR(MC[[#This Row],[Date]])</f>
        <v>2024</v>
      </c>
      <c r="E116" s="112" t="s">
        <v>340</v>
      </c>
      <c r="F116" s="112" t="s">
        <v>340</v>
      </c>
      <c r="G116" s="116" t="str">
        <f>TEXT(MC[[#This Row],[Date]],"mmm-yy")</f>
        <v>May-24</v>
      </c>
      <c r="H116" s="116">
        <f>DAY(EOMONTH(MC[[#This Row],[Month Year]],0))</f>
        <v>31</v>
      </c>
      <c r="I116" s="119">
        <v>1</v>
      </c>
      <c r="J116" s="119" t="s">
        <v>1246</v>
      </c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SUM(MC[[#This Row],[IS1Inv1M1]:[IS4Inv10M2]])</f>
        <v>0</v>
      </c>
      <c r="AN116" s="120"/>
      <c r="AO116" s="120"/>
      <c r="AP116" s="120"/>
      <c r="AQ116" s="120"/>
      <c r="AR116" s="119"/>
      <c r="AS116" s="119"/>
      <c r="AT116" s="119"/>
    </row>
    <row r="117" spans="1:46">
      <c r="A117" s="119">
        <v>115</v>
      </c>
      <c r="B117" s="113">
        <f t="shared" si="1"/>
        <v>45437</v>
      </c>
      <c r="C117" s="114">
        <f>YEAR(MC[[#This Row],[Date]])+IF(MONTH(MC[[#This Row],[Date]])&gt;=4,1,0)</f>
        <v>2025</v>
      </c>
      <c r="D117" s="115">
        <f>YEAR(MC[[#This Row],[Date]])</f>
        <v>2024</v>
      </c>
      <c r="E117" s="112" t="s">
        <v>340</v>
      </c>
      <c r="F117" s="112" t="s">
        <v>340</v>
      </c>
      <c r="G117" s="116" t="str">
        <f>TEXT(MC[[#This Row],[Date]],"mmm-yy")</f>
        <v>May-24</v>
      </c>
      <c r="H117" s="116">
        <f>DAY(EOMONTH(MC[[#This Row],[Month Year]],0))</f>
        <v>31</v>
      </c>
      <c r="I117" s="119">
        <v>1</v>
      </c>
      <c r="J117" s="119" t="s">
        <v>1246</v>
      </c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SUM(MC[[#This Row],[IS1Inv1M1]:[IS4Inv10M2]])</f>
        <v>0</v>
      </c>
      <c r="AN117" s="120"/>
      <c r="AO117" s="120"/>
      <c r="AP117" s="119"/>
      <c r="AQ117" s="119"/>
      <c r="AR117" s="119"/>
      <c r="AS117" s="119"/>
      <c r="AT117" s="119"/>
    </row>
    <row r="118" spans="1:46">
      <c r="A118" s="119">
        <v>116</v>
      </c>
      <c r="B118" s="113">
        <f t="shared" si="1"/>
        <v>45438</v>
      </c>
      <c r="C118" s="114">
        <f>YEAR(MC[[#This Row],[Date]])+IF(MONTH(MC[[#This Row],[Date]])&gt;=4,1,0)</f>
        <v>2025</v>
      </c>
      <c r="D118" s="115">
        <f>YEAR(MC[[#This Row],[Date]])</f>
        <v>2024</v>
      </c>
      <c r="E118" s="112" t="s">
        <v>340</v>
      </c>
      <c r="F118" s="112" t="s">
        <v>340</v>
      </c>
      <c r="G118" s="116" t="str">
        <f>TEXT(MC[[#This Row],[Date]],"mmm-yy")</f>
        <v>May-24</v>
      </c>
      <c r="H118" s="116">
        <f>DAY(EOMONTH(MC[[#This Row],[Month Year]],0))</f>
        <v>31</v>
      </c>
      <c r="I118" s="119">
        <v>1</v>
      </c>
      <c r="J118" s="119" t="s">
        <v>1246</v>
      </c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SUM(MC[[#This Row],[IS1Inv1M1]:[IS4Inv10M2]])</f>
        <v>0</v>
      </c>
      <c r="AN118" s="119"/>
      <c r="AO118" s="119"/>
      <c r="AP118" s="119"/>
      <c r="AQ118" s="119"/>
      <c r="AR118" s="119"/>
      <c r="AS118" s="119"/>
      <c r="AT118" s="119"/>
    </row>
    <row r="119" spans="1:46">
      <c r="A119" s="119">
        <v>117</v>
      </c>
      <c r="B119" s="113">
        <f t="shared" si="1"/>
        <v>45439</v>
      </c>
      <c r="C119" s="114">
        <f>YEAR(MC[[#This Row],[Date]])+IF(MONTH(MC[[#This Row],[Date]])&gt;=4,1,0)</f>
        <v>2025</v>
      </c>
      <c r="D119" s="115">
        <f>YEAR(MC[[#This Row],[Date]])</f>
        <v>2024</v>
      </c>
      <c r="E119" s="112" t="s">
        <v>340</v>
      </c>
      <c r="F119" s="112" t="s">
        <v>340</v>
      </c>
      <c r="G119" s="116" t="str">
        <f>TEXT(MC[[#This Row],[Date]],"mmm-yy")</f>
        <v>May-24</v>
      </c>
      <c r="H119" s="116">
        <f>DAY(EOMONTH(MC[[#This Row],[Month Year]],0))</f>
        <v>31</v>
      </c>
      <c r="I119" s="119">
        <v>1</v>
      </c>
      <c r="J119" s="119" t="s">
        <v>1246</v>
      </c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SUM(MC[[#This Row],[IS1Inv1M1]:[IS4Inv10M2]])</f>
        <v>0</v>
      </c>
      <c r="AN119" s="119"/>
      <c r="AO119" s="119"/>
      <c r="AP119" s="119"/>
      <c r="AQ119" s="119"/>
      <c r="AR119" s="119"/>
      <c r="AS119" s="119"/>
      <c r="AT119" s="119"/>
    </row>
    <row r="120" spans="1:46">
      <c r="A120" s="119">
        <v>118</v>
      </c>
      <c r="B120" s="113">
        <f t="shared" si="1"/>
        <v>45440</v>
      </c>
      <c r="C120" s="114">
        <f>YEAR(MC[[#This Row],[Date]])+IF(MONTH(MC[[#This Row],[Date]])&gt;=4,1,0)</f>
        <v>2025</v>
      </c>
      <c r="D120" s="115">
        <f>YEAR(MC[[#This Row],[Date]])</f>
        <v>2024</v>
      </c>
      <c r="E120" s="112" t="s">
        <v>340</v>
      </c>
      <c r="F120" s="112" t="s">
        <v>340</v>
      </c>
      <c r="G120" s="116" t="str">
        <f>TEXT(MC[[#This Row],[Date]],"mmm-yy")</f>
        <v>May-24</v>
      </c>
      <c r="H120" s="116">
        <f>DAY(EOMONTH(MC[[#This Row],[Month Year]],0))</f>
        <v>31</v>
      </c>
      <c r="I120" s="119">
        <v>1</v>
      </c>
      <c r="J120" s="119" t="s">
        <v>1246</v>
      </c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SUM(MC[[#This Row],[IS1Inv1M1]:[IS4Inv10M2]])</f>
        <v>0</v>
      </c>
      <c r="AN120" s="119"/>
      <c r="AO120" s="119"/>
      <c r="AP120" s="119"/>
      <c r="AQ120" s="119"/>
      <c r="AR120" s="119"/>
      <c r="AS120" s="119"/>
      <c r="AT120" s="119"/>
    </row>
    <row r="121" spans="1:46">
      <c r="A121" s="119">
        <v>119</v>
      </c>
      <c r="B121" s="113">
        <f t="shared" si="1"/>
        <v>45441</v>
      </c>
      <c r="C121" s="114">
        <f>YEAR(MC[[#This Row],[Date]])+IF(MONTH(MC[[#This Row],[Date]])&gt;=4,1,0)</f>
        <v>2025</v>
      </c>
      <c r="D121" s="115">
        <f>YEAR(MC[[#This Row],[Date]])</f>
        <v>2024</v>
      </c>
      <c r="E121" s="112" t="s">
        <v>340</v>
      </c>
      <c r="F121" s="112" t="s">
        <v>340</v>
      </c>
      <c r="G121" s="116" t="str">
        <f>TEXT(MC[[#This Row],[Date]],"mmm-yy")</f>
        <v>May-24</v>
      </c>
      <c r="H121" s="116">
        <f>DAY(EOMONTH(MC[[#This Row],[Month Year]],0))</f>
        <v>31</v>
      </c>
      <c r="I121" s="119">
        <v>1</v>
      </c>
      <c r="J121" s="119" t="s">
        <v>1246</v>
      </c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SUM(MC[[#This Row],[IS1Inv1M1]:[IS4Inv10M2]])</f>
        <v>0</v>
      </c>
      <c r="AN121" s="119"/>
      <c r="AO121" s="119"/>
      <c r="AP121" s="119"/>
      <c r="AQ121" s="119"/>
      <c r="AR121" s="119"/>
      <c r="AS121" s="119"/>
      <c r="AT121" s="119"/>
    </row>
    <row r="122" spans="1:46">
      <c r="A122" s="119">
        <v>120</v>
      </c>
      <c r="B122" s="113">
        <f t="shared" si="1"/>
        <v>45442</v>
      </c>
      <c r="C122" s="114">
        <f>YEAR(MC[[#This Row],[Date]])+IF(MONTH(MC[[#This Row],[Date]])&gt;=4,1,0)</f>
        <v>2025</v>
      </c>
      <c r="D122" s="115">
        <f>YEAR(MC[[#This Row],[Date]])</f>
        <v>2024</v>
      </c>
      <c r="E122" s="112" t="s">
        <v>340</v>
      </c>
      <c r="F122" s="112" t="s">
        <v>340</v>
      </c>
      <c r="G122" s="116" t="str">
        <f>TEXT(MC[[#This Row],[Date]],"mmm-yy")</f>
        <v>May-24</v>
      </c>
      <c r="H122" s="116">
        <f>DAY(EOMONTH(MC[[#This Row],[Month Year]],0))</f>
        <v>31</v>
      </c>
      <c r="I122" s="119">
        <v>1</v>
      </c>
      <c r="J122" s="119" t="s">
        <v>1246</v>
      </c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SUM(MC[[#This Row],[IS1Inv1M1]:[IS4Inv10M2]])</f>
        <v>0</v>
      </c>
      <c r="AN122" s="119"/>
      <c r="AO122" s="119"/>
      <c r="AP122" s="119"/>
      <c r="AQ122" s="119"/>
      <c r="AR122" s="119"/>
      <c r="AS122" s="119"/>
      <c r="AT122" s="119"/>
    </row>
    <row r="123" spans="1:46">
      <c r="A123" s="119">
        <v>120</v>
      </c>
      <c r="B123" s="113">
        <f t="shared" si="1"/>
        <v>45443</v>
      </c>
      <c r="C123" s="114">
        <f>YEAR(MC[[#This Row],[Date]])+IF(MONTH(MC[[#This Row],[Date]])&gt;=4,1,0)</f>
        <v>2025</v>
      </c>
      <c r="D123" s="115">
        <f>YEAR(MC[[#This Row],[Date]])</f>
        <v>2024</v>
      </c>
      <c r="E123" s="112" t="s">
        <v>340</v>
      </c>
      <c r="F123" s="112" t="s">
        <v>340</v>
      </c>
      <c r="G123" s="116" t="str">
        <f>TEXT(MC[[#This Row],[Date]],"mmm-yy")</f>
        <v>May-24</v>
      </c>
      <c r="H123" s="116">
        <f>DAY(EOMONTH(MC[[#This Row],[Month Year]],0))</f>
        <v>31</v>
      </c>
      <c r="I123" s="119">
        <v>1</v>
      </c>
      <c r="J123" s="119" t="s">
        <v>1246</v>
      </c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SUM(MC[[#This Row],[IS1Inv1M1]:[IS4Inv10M2]])</f>
        <v>0</v>
      </c>
      <c r="AN123" s="119"/>
      <c r="AO123" s="119"/>
      <c r="AP123" s="119"/>
      <c r="AQ123" s="119"/>
      <c r="AR123" s="119"/>
      <c r="AS123" s="119"/>
      <c r="AT123" s="119"/>
    </row>
    <row r="124" spans="1:46">
      <c r="A124" s="119">
        <v>122</v>
      </c>
      <c r="B124" s="113">
        <f t="shared" si="1"/>
        <v>45444</v>
      </c>
      <c r="C124" s="114">
        <f>YEAR(MC[[#This Row],[Date]])+IF(MONTH(MC[[#This Row],[Date]])&gt;=4,1,0)</f>
        <v>2025</v>
      </c>
      <c r="D124" s="115">
        <f>YEAR(MC[[#This Row],[Date]])</f>
        <v>2024</v>
      </c>
      <c r="E124" s="112" t="s">
        <v>340</v>
      </c>
      <c r="F124" s="112" t="s">
        <v>340</v>
      </c>
      <c r="G124" s="116" t="str">
        <f>TEXT(MC[[#This Row],[Date]],"mmm-yy")</f>
        <v>Jun-24</v>
      </c>
      <c r="H124" s="116">
        <f>DAY(EOMONTH(MC[[#This Row],[Month Year]],0))</f>
        <v>30</v>
      </c>
      <c r="I124" s="119">
        <v>1</v>
      </c>
      <c r="J124" s="119" t="s">
        <v>1246</v>
      </c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SUM(MC[[#This Row],[IS1Inv1M1]:[IS4Inv10M2]])</f>
        <v>0</v>
      </c>
      <c r="AN124" s="119"/>
      <c r="AO124" s="119"/>
      <c r="AP124" s="119"/>
      <c r="AQ124" s="119"/>
      <c r="AR124" s="119"/>
      <c r="AS124" s="119"/>
      <c r="AT124" s="119"/>
    </row>
    <row r="125" spans="1:46">
      <c r="A125" s="119">
        <v>123</v>
      </c>
      <c r="B125" s="113">
        <f t="shared" si="1"/>
        <v>45445</v>
      </c>
      <c r="C125" s="114">
        <f>YEAR(MC[[#This Row],[Date]])+IF(MONTH(MC[[#This Row],[Date]])&gt;=4,1,0)</f>
        <v>2025</v>
      </c>
      <c r="D125" s="115">
        <f>YEAR(MC[[#This Row],[Date]])</f>
        <v>2024</v>
      </c>
      <c r="E125" s="112" t="s">
        <v>340</v>
      </c>
      <c r="F125" s="112" t="s">
        <v>340</v>
      </c>
      <c r="G125" s="116" t="str">
        <f>TEXT(MC[[#This Row],[Date]],"mmm-yy")</f>
        <v>Jun-24</v>
      </c>
      <c r="H125" s="116">
        <f>DAY(EOMONTH(MC[[#This Row],[Month Year]],0))</f>
        <v>30</v>
      </c>
      <c r="I125" s="119">
        <v>1</v>
      </c>
      <c r="J125" s="119" t="s">
        <v>1246</v>
      </c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SUM(MC[[#This Row],[IS1Inv1M1]:[IS4Inv10M2]])</f>
        <v>0</v>
      </c>
      <c r="AN125" s="119"/>
      <c r="AO125" s="119"/>
      <c r="AP125" s="119"/>
      <c r="AQ125" s="119"/>
      <c r="AR125" s="119"/>
      <c r="AS125" s="119"/>
      <c r="AT125" s="119"/>
    </row>
    <row r="126" spans="1:46">
      <c r="A126" s="119">
        <v>124</v>
      </c>
      <c r="B126" s="113">
        <f t="shared" si="1"/>
        <v>45446</v>
      </c>
      <c r="C126" s="114">
        <f>YEAR(MC[[#This Row],[Date]])+IF(MONTH(MC[[#This Row],[Date]])&gt;=4,1,0)</f>
        <v>2025</v>
      </c>
      <c r="D126" s="115">
        <f>YEAR(MC[[#This Row],[Date]])</f>
        <v>2024</v>
      </c>
      <c r="E126" s="112" t="s">
        <v>340</v>
      </c>
      <c r="F126" s="112" t="s">
        <v>340</v>
      </c>
      <c r="G126" s="116" t="str">
        <f>TEXT(MC[[#This Row],[Date]],"mmm-yy")</f>
        <v>Jun-24</v>
      </c>
      <c r="H126" s="116">
        <f>DAY(EOMONTH(MC[[#This Row],[Month Year]],0))</f>
        <v>30</v>
      </c>
      <c r="I126" s="119">
        <v>1</v>
      </c>
      <c r="J126" s="119" t="s">
        <v>1246</v>
      </c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SUM(MC[[#This Row],[IS1Inv1M1]:[IS4Inv10M2]])</f>
        <v>0</v>
      </c>
      <c r="AN126" s="119"/>
      <c r="AO126" s="119"/>
      <c r="AP126" s="119"/>
      <c r="AQ126" s="119"/>
      <c r="AR126" s="119"/>
      <c r="AS126" s="119"/>
      <c r="AT126" s="119"/>
    </row>
    <row r="127" spans="1:46">
      <c r="A127" s="119">
        <v>125</v>
      </c>
      <c r="B127" s="113">
        <f t="shared" si="1"/>
        <v>45447</v>
      </c>
      <c r="C127" s="114">
        <f>YEAR(MC[[#This Row],[Date]])+IF(MONTH(MC[[#This Row],[Date]])&gt;=4,1,0)</f>
        <v>2025</v>
      </c>
      <c r="D127" s="115">
        <f>YEAR(MC[[#This Row],[Date]])</f>
        <v>2024</v>
      </c>
      <c r="E127" s="112" t="s">
        <v>340</v>
      </c>
      <c r="F127" s="112" t="s">
        <v>340</v>
      </c>
      <c r="G127" s="116" t="str">
        <f>TEXT(MC[[#This Row],[Date]],"mmm-yy")</f>
        <v>Jun-24</v>
      </c>
      <c r="H127" s="116">
        <f>DAY(EOMONTH(MC[[#This Row],[Month Year]],0))</f>
        <v>30</v>
      </c>
      <c r="I127" s="119">
        <v>1</v>
      </c>
      <c r="J127" s="119" t="s">
        <v>1246</v>
      </c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SUM(MC[[#This Row],[IS1Inv1M1]:[IS4Inv10M2]])</f>
        <v>0</v>
      </c>
      <c r="AN127" s="119"/>
      <c r="AO127" s="119"/>
      <c r="AP127" s="119"/>
      <c r="AQ127" s="119"/>
      <c r="AR127" s="119"/>
      <c r="AS127" s="119"/>
      <c r="AT127" s="119"/>
    </row>
    <row r="128" spans="1:46">
      <c r="A128" s="119">
        <v>126</v>
      </c>
      <c r="B128" s="113">
        <f t="shared" si="1"/>
        <v>45448</v>
      </c>
      <c r="C128" s="114">
        <f>YEAR(MC[[#This Row],[Date]])+IF(MONTH(MC[[#This Row],[Date]])&gt;=4,1,0)</f>
        <v>2025</v>
      </c>
      <c r="D128" s="115">
        <f>YEAR(MC[[#This Row],[Date]])</f>
        <v>2024</v>
      </c>
      <c r="E128" s="112" t="s">
        <v>340</v>
      </c>
      <c r="F128" s="112" t="s">
        <v>340</v>
      </c>
      <c r="G128" s="116" t="str">
        <f>TEXT(MC[[#This Row],[Date]],"mmm-yy")</f>
        <v>Jun-24</v>
      </c>
      <c r="H128" s="116">
        <f>DAY(EOMONTH(MC[[#This Row],[Month Year]],0))</f>
        <v>30</v>
      </c>
      <c r="I128" s="119">
        <v>1</v>
      </c>
      <c r="J128" s="119" t="s">
        <v>1246</v>
      </c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SUM(MC[[#This Row],[IS1Inv1M1]:[IS4Inv10M2]])</f>
        <v>0</v>
      </c>
      <c r="AN128" s="119"/>
      <c r="AO128" s="119"/>
      <c r="AP128" s="119"/>
      <c r="AQ128" s="119"/>
      <c r="AR128" s="119"/>
      <c r="AS128" s="119"/>
      <c r="AT128" s="119"/>
    </row>
    <row r="129" spans="1:46">
      <c r="A129" s="119">
        <v>127</v>
      </c>
      <c r="B129" s="113">
        <f t="shared" si="1"/>
        <v>45449</v>
      </c>
      <c r="C129" s="114">
        <f>YEAR(MC[[#This Row],[Date]])+IF(MONTH(MC[[#This Row],[Date]])&gt;=4,1,0)</f>
        <v>2025</v>
      </c>
      <c r="D129" s="115">
        <f>YEAR(MC[[#This Row],[Date]])</f>
        <v>2024</v>
      </c>
      <c r="E129" s="112" t="s">
        <v>340</v>
      </c>
      <c r="F129" s="112" t="s">
        <v>340</v>
      </c>
      <c r="G129" s="116" t="str">
        <f>TEXT(MC[[#This Row],[Date]],"mmm-yy")</f>
        <v>Jun-24</v>
      </c>
      <c r="H129" s="116">
        <f>DAY(EOMONTH(MC[[#This Row],[Month Year]],0))</f>
        <v>30</v>
      </c>
      <c r="I129" s="119">
        <v>1</v>
      </c>
      <c r="J129" s="119" t="s">
        <v>1246</v>
      </c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SUM(MC[[#This Row],[IS1Inv1M1]:[IS4Inv10M2]])</f>
        <v>0</v>
      </c>
      <c r="AN129" s="119"/>
      <c r="AO129" s="119"/>
      <c r="AP129" s="119"/>
      <c r="AQ129" s="119"/>
      <c r="AR129" s="119"/>
      <c r="AS129" s="119"/>
      <c r="AT129" s="119"/>
    </row>
    <row r="130" spans="1:46">
      <c r="A130" s="119">
        <v>127</v>
      </c>
      <c r="B130" s="113">
        <f t="shared" si="1"/>
        <v>45450</v>
      </c>
      <c r="C130" s="114">
        <f>YEAR(MC[[#This Row],[Date]])+IF(MONTH(MC[[#This Row],[Date]])&gt;=4,1,0)</f>
        <v>2025</v>
      </c>
      <c r="D130" s="115">
        <f>YEAR(MC[[#This Row],[Date]])</f>
        <v>2024</v>
      </c>
      <c r="E130" s="112" t="s">
        <v>340</v>
      </c>
      <c r="F130" s="112" t="s">
        <v>340</v>
      </c>
      <c r="G130" s="116" t="str">
        <f>TEXT(MC[[#This Row],[Date]],"mmm-yy")</f>
        <v>Jun-24</v>
      </c>
      <c r="H130" s="116">
        <f>DAY(EOMONTH(MC[[#This Row],[Month Year]],0))</f>
        <v>30</v>
      </c>
      <c r="I130" s="119">
        <v>1</v>
      </c>
      <c r="J130" s="119" t="s">
        <v>1246</v>
      </c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SUM(MC[[#This Row],[IS1Inv1M1]:[IS4Inv10M2]])</f>
        <v>0</v>
      </c>
      <c r="AN130" s="119"/>
      <c r="AO130" s="119"/>
      <c r="AP130" s="120">
        <v>0.16666666666666666</v>
      </c>
      <c r="AQ130" s="120">
        <v>0.375</v>
      </c>
      <c r="AR130" s="119" t="s">
        <v>1247</v>
      </c>
      <c r="AS130" s="119"/>
      <c r="AT130" s="119"/>
    </row>
    <row r="131" spans="1:46">
      <c r="A131" s="119">
        <v>127</v>
      </c>
      <c r="B131" s="113">
        <f t="shared" si="1"/>
        <v>45451</v>
      </c>
      <c r="C131" s="114">
        <f>YEAR(MC[[#This Row],[Date]])+IF(MONTH(MC[[#This Row],[Date]])&gt;=4,1,0)</f>
        <v>2025</v>
      </c>
      <c r="D131" s="115">
        <f>YEAR(MC[[#This Row],[Date]])</f>
        <v>2024</v>
      </c>
      <c r="E131" s="112" t="s">
        <v>340</v>
      </c>
      <c r="F131" s="112" t="s">
        <v>340</v>
      </c>
      <c r="G131" s="116" t="str">
        <f>TEXT(MC[[#This Row],[Date]],"mmm-yy")</f>
        <v>Jun-24</v>
      </c>
      <c r="H131" s="116">
        <f>DAY(EOMONTH(MC[[#This Row],[Month Year]],0))</f>
        <v>30</v>
      </c>
      <c r="I131" s="119">
        <v>1</v>
      </c>
      <c r="J131" s="119" t="s">
        <v>1246</v>
      </c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SUM(MC[[#This Row],[IS1Inv1M1]:[IS4Inv10M2]])</f>
        <v>0</v>
      </c>
      <c r="AN131" s="119"/>
      <c r="AO131" s="119"/>
      <c r="AP131" s="120">
        <v>0.16666666666666666</v>
      </c>
      <c r="AQ131" s="120">
        <v>0.375</v>
      </c>
      <c r="AR131" s="119" t="s">
        <v>1247</v>
      </c>
      <c r="AS131" s="119"/>
      <c r="AT131" s="119"/>
    </row>
    <row r="132" spans="1:46">
      <c r="A132" s="119">
        <v>127</v>
      </c>
      <c r="B132" s="113">
        <f t="shared" si="1"/>
        <v>45452</v>
      </c>
      <c r="C132" s="114">
        <f>YEAR(MC[[#This Row],[Date]])+IF(MONTH(MC[[#This Row],[Date]])&gt;=4,1,0)</f>
        <v>2025</v>
      </c>
      <c r="D132" s="115">
        <f>YEAR(MC[[#This Row],[Date]])</f>
        <v>2024</v>
      </c>
      <c r="E132" s="112" t="s">
        <v>340</v>
      </c>
      <c r="F132" s="112" t="s">
        <v>340</v>
      </c>
      <c r="G132" s="116" t="str">
        <f>TEXT(MC[[#This Row],[Date]],"mmm-yy")</f>
        <v>Jun-24</v>
      </c>
      <c r="H132" s="116">
        <f>DAY(EOMONTH(MC[[#This Row],[Month Year]],0))</f>
        <v>30</v>
      </c>
      <c r="I132" s="119">
        <v>1</v>
      </c>
      <c r="J132" s="119" t="s">
        <v>1246</v>
      </c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SUM(MC[[#This Row],[IS1Inv1M1]:[IS4Inv10M2]])</f>
        <v>0</v>
      </c>
      <c r="AN132" s="119"/>
      <c r="AO132" s="119"/>
      <c r="AP132" s="120">
        <v>0.16666666666666666</v>
      </c>
      <c r="AQ132" s="120">
        <v>0.375</v>
      </c>
      <c r="AR132" s="119" t="s">
        <v>1247</v>
      </c>
      <c r="AS132" s="119"/>
      <c r="AT132" s="119"/>
    </row>
    <row r="133" spans="1:46">
      <c r="A133" s="119">
        <v>127</v>
      </c>
      <c r="B133" s="113">
        <f t="shared" ref="B133:B185" si="2">B132+1</f>
        <v>45453</v>
      </c>
      <c r="C133" s="114">
        <f>YEAR(MC[[#This Row],[Date]])+IF(MONTH(MC[[#This Row],[Date]])&gt;=4,1,0)</f>
        <v>2025</v>
      </c>
      <c r="D133" s="115">
        <f>YEAR(MC[[#This Row],[Date]])</f>
        <v>2024</v>
      </c>
      <c r="E133" s="112" t="s">
        <v>340</v>
      </c>
      <c r="F133" s="112" t="s">
        <v>340</v>
      </c>
      <c r="G133" s="116" t="str">
        <f>TEXT(MC[[#This Row],[Date]],"mmm-yy")</f>
        <v>Jun-24</v>
      </c>
      <c r="H133" s="116">
        <f>DAY(EOMONTH(MC[[#This Row],[Month Year]],0))</f>
        <v>30</v>
      </c>
      <c r="I133" s="119">
        <v>1</v>
      </c>
      <c r="J133" s="119" t="s">
        <v>1246</v>
      </c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SUM(MC[[#This Row],[IS1Inv1M1]:[IS4Inv10M2]])</f>
        <v>0</v>
      </c>
      <c r="AN133" s="119"/>
      <c r="AO133" s="119"/>
      <c r="AP133" s="120">
        <v>0.16666666666666666</v>
      </c>
      <c r="AQ133" s="120">
        <v>0.375</v>
      </c>
      <c r="AR133" s="119" t="s">
        <v>1247</v>
      </c>
      <c r="AS133" s="119"/>
      <c r="AT133" s="119"/>
    </row>
    <row r="134" spans="1:46">
      <c r="A134" s="119">
        <v>127</v>
      </c>
      <c r="B134" s="113">
        <f t="shared" si="2"/>
        <v>45454</v>
      </c>
      <c r="C134" s="114">
        <f>YEAR(MC[[#This Row],[Date]])+IF(MONTH(MC[[#This Row],[Date]])&gt;=4,1,0)</f>
        <v>2025</v>
      </c>
      <c r="D134" s="115">
        <f>YEAR(MC[[#This Row],[Date]])</f>
        <v>2024</v>
      </c>
      <c r="E134" s="112" t="s">
        <v>340</v>
      </c>
      <c r="F134" s="112" t="s">
        <v>340</v>
      </c>
      <c r="G134" s="116" t="str">
        <f>TEXT(MC[[#This Row],[Date]],"mmm-yy")</f>
        <v>Jun-24</v>
      </c>
      <c r="H134" s="116">
        <f>DAY(EOMONTH(MC[[#This Row],[Month Year]],0))</f>
        <v>30</v>
      </c>
      <c r="I134" s="119">
        <v>1</v>
      </c>
      <c r="J134" s="119" t="s">
        <v>1246</v>
      </c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SUM(MC[[#This Row],[IS1Inv1M1]:[IS4Inv10M2]])</f>
        <v>0</v>
      </c>
      <c r="AN134" s="119"/>
      <c r="AO134" s="119"/>
      <c r="AP134" s="120">
        <v>0.16666666666666666</v>
      </c>
      <c r="AQ134" s="120">
        <v>0.375</v>
      </c>
      <c r="AR134" s="119" t="s">
        <v>1247</v>
      </c>
      <c r="AS134" s="119"/>
      <c r="AT134" s="119"/>
    </row>
    <row r="135" spans="1:46">
      <c r="A135" s="119">
        <v>127</v>
      </c>
      <c r="B135" s="113">
        <f t="shared" si="2"/>
        <v>45455</v>
      </c>
      <c r="C135" s="114">
        <f>YEAR(MC[[#This Row],[Date]])+IF(MONTH(MC[[#This Row],[Date]])&gt;=4,1,0)</f>
        <v>2025</v>
      </c>
      <c r="D135" s="115">
        <f>YEAR(MC[[#This Row],[Date]])</f>
        <v>2024</v>
      </c>
      <c r="E135" s="112" t="s">
        <v>340</v>
      </c>
      <c r="F135" s="112" t="s">
        <v>340</v>
      </c>
      <c r="G135" s="116" t="str">
        <f>TEXT(MC[[#This Row],[Date]],"mmm-yy")</f>
        <v>Jun-24</v>
      </c>
      <c r="H135" s="116">
        <f>DAY(EOMONTH(MC[[#This Row],[Month Year]],0))</f>
        <v>30</v>
      </c>
      <c r="I135" s="119">
        <v>1</v>
      </c>
      <c r="J135" s="119" t="s">
        <v>1246</v>
      </c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SUM(MC[[#This Row],[IS1Inv1M1]:[IS4Inv10M2]])</f>
        <v>0</v>
      </c>
      <c r="AN135" s="120"/>
      <c r="AO135" s="120"/>
      <c r="AP135" s="120">
        <v>0.16666666666666666</v>
      </c>
      <c r="AQ135" s="120">
        <v>0.375</v>
      </c>
      <c r="AR135" s="119" t="s">
        <v>1247</v>
      </c>
      <c r="AS135" s="119"/>
      <c r="AT135" s="119"/>
    </row>
    <row r="136" spans="1:46">
      <c r="A136" s="119">
        <v>127</v>
      </c>
      <c r="B136" s="113">
        <f t="shared" si="2"/>
        <v>45456</v>
      </c>
      <c r="C136" s="114">
        <f>YEAR(MC[[#This Row],[Date]])+IF(MONTH(MC[[#This Row],[Date]])&gt;=4,1,0)</f>
        <v>2025</v>
      </c>
      <c r="D136" s="115">
        <f>YEAR(MC[[#This Row],[Date]])</f>
        <v>2024</v>
      </c>
      <c r="E136" s="112" t="s">
        <v>340</v>
      </c>
      <c r="F136" s="112" t="s">
        <v>340</v>
      </c>
      <c r="G136" s="116" t="str">
        <f>TEXT(MC[[#This Row],[Date]],"mmm-yy")</f>
        <v>Jun-24</v>
      </c>
      <c r="H136" s="116">
        <f>DAY(EOMONTH(MC[[#This Row],[Month Year]],0))</f>
        <v>30</v>
      </c>
      <c r="I136" s="119">
        <v>1</v>
      </c>
      <c r="J136" s="119" t="s">
        <v>1246</v>
      </c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SUM(MC[[#This Row],[IS1Inv1M1]:[IS4Inv10M2]])</f>
        <v>0</v>
      </c>
      <c r="AN136" s="120"/>
      <c r="AO136" s="120"/>
      <c r="AP136" s="120">
        <v>0.16666666666666666</v>
      </c>
      <c r="AQ136" s="120">
        <v>0.375</v>
      </c>
      <c r="AR136" s="119" t="s">
        <v>1247</v>
      </c>
      <c r="AS136" s="119"/>
      <c r="AT136" s="119" t="s">
        <v>1248</v>
      </c>
    </row>
    <row r="137" spans="1:46">
      <c r="A137" s="119">
        <v>127</v>
      </c>
      <c r="B137" s="113">
        <f t="shared" si="2"/>
        <v>45457</v>
      </c>
      <c r="C137" s="114">
        <f>YEAR(MC[[#This Row],[Date]])+IF(MONTH(MC[[#This Row],[Date]])&gt;=4,1,0)</f>
        <v>2025</v>
      </c>
      <c r="D137" s="115">
        <f>YEAR(MC[[#This Row],[Date]])</f>
        <v>2024</v>
      </c>
      <c r="E137" s="112" t="s">
        <v>340</v>
      </c>
      <c r="F137" s="112" t="s">
        <v>340</v>
      </c>
      <c r="G137" s="116" t="str">
        <f>TEXT(MC[[#This Row],[Date]],"mmm-yy")</f>
        <v>Jun-24</v>
      </c>
      <c r="H137" s="116">
        <f>DAY(EOMONTH(MC[[#This Row],[Month Year]],0))</f>
        <v>30</v>
      </c>
      <c r="I137" s="119">
        <v>1</v>
      </c>
      <c r="J137" s="119" t="s">
        <v>1246</v>
      </c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SUM(MC[[#This Row],[IS1Inv1M1]:[IS4Inv10M2]])</f>
        <v>0</v>
      </c>
      <c r="AN137" s="120"/>
      <c r="AO137" s="120"/>
      <c r="AP137" s="120">
        <v>0.16666666666666699</v>
      </c>
      <c r="AQ137" s="120">
        <v>0.375</v>
      </c>
      <c r="AR137" s="119" t="s">
        <v>1247</v>
      </c>
      <c r="AS137" s="119"/>
      <c r="AT137" s="119"/>
    </row>
    <row r="138" spans="1:46">
      <c r="A138" s="119">
        <v>127</v>
      </c>
      <c r="B138" s="113">
        <f t="shared" si="2"/>
        <v>45458</v>
      </c>
      <c r="C138" s="114">
        <f>YEAR(MC[[#This Row],[Date]])+IF(MONTH(MC[[#This Row],[Date]])&gt;=4,1,0)</f>
        <v>2025</v>
      </c>
      <c r="D138" s="115">
        <f>YEAR(MC[[#This Row],[Date]])</f>
        <v>2024</v>
      </c>
      <c r="E138" s="112" t="s">
        <v>340</v>
      </c>
      <c r="F138" s="112" t="s">
        <v>340</v>
      </c>
      <c r="G138" s="116" t="str">
        <f>TEXT(MC[[#This Row],[Date]],"mmm-yy")</f>
        <v>Jun-24</v>
      </c>
      <c r="H138" s="116">
        <f>DAY(EOMONTH(MC[[#This Row],[Month Year]],0))</f>
        <v>30</v>
      </c>
      <c r="I138" s="119">
        <v>1</v>
      </c>
      <c r="J138" s="119" t="s">
        <v>1246</v>
      </c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SUM(MC[[#This Row],[IS1Inv1M1]:[IS4Inv10M2]])</f>
        <v>0</v>
      </c>
      <c r="AN138" s="120"/>
      <c r="AO138" s="120"/>
      <c r="AP138" s="120">
        <v>0.16666666666666699</v>
      </c>
      <c r="AQ138" s="120">
        <v>0.375</v>
      </c>
      <c r="AR138" s="119" t="s">
        <v>1247</v>
      </c>
      <c r="AS138" s="119"/>
      <c r="AT138" s="119"/>
    </row>
    <row r="139" spans="1:46">
      <c r="A139" s="119">
        <v>127</v>
      </c>
      <c r="B139" s="113">
        <f t="shared" si="2"/>
        <v>45459</v>
      </c>
      <c r="C139" s="114">
        <f>YEAR(MC[[#This Row],[Date]])+IF(MONTH(MC[[#This Row],[Date]])&gt;=4,1,0)</f>
        <v>2025</v>
      </c>
      <c r="D139" s="115">
        <f>YEAR(MC[[#This Row],[Date]])</f>
        <v>2024</v>
      </c>
      <c r="E139" s="112" t="s">
        <v>340</v>
      </c>
      <c r="F139" s="112" t="s">
        <v>340</v>
      </c>
      <c r="G139" s="116" t="str">
        <f>TEXT(MC[[#This Row],[Date]],"mmm-yy")</f>
        <v>Jun-24</v>
      </c>
      <c r="H139" s="116">
        <f>DAY(EOMONTH(MC[[#This Row],[Month Year]],0))</f>
        <v>30</v>
      </c>
      <c r="I139" s="119">
        <v>1</v>
      </c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SUM(MC[[#This Row],[IS1Inv1M1]:[IS4Inv10M2]])</f>
        <v>0</v>
      </c>
      <c r="AN139" s="120"/>
      <c r="AO139" s="120"/>
      <c r="AP139" s="120"/>
      <c r="AQ139" s="120"/>
      <c r="AR139" s="119"/>
      <c r="AS139" s="119"/>
      <c r="AT139" s="119" t="s">
        <v>1249</v>
      </c>
    </row>
    <row r="140" spans="1:46">
      <c r="A140" s="119">
        <v>127</v>
      </c>
      <c r="B140" s="113">
        <f t="shared" si="2"/>
        <v>45460</v>
      </c>
      <c r="C140" s="114">
        <f>YEAR(MC[[#This Row],[Date]])+IF(MONTH(MC[[#This Row],[Date]])&gt;=4,1,0)</f>
        <v>2025</v>
      </c>
      <c r="D140" s="115">
        <f>YEAR(MC[[#This Row],[Date]])</f>
        <v>2024</v>
      </c>
      <c r="E140" s="112" t="s">
        <v>340</v>
      </c>
      <c r="F140" s="112" t="s">
        <v>340</v>
      </c>
      <c r="G140" s="116" t="str">
        <f>TEXT(MC[[#This Row],[Date]],"mmm-yy")</f>
        <v>Jun-24</v>
      </c>
      <c r="H140" s="116">
        <f>DAY(EOMONTH(MC[[#This Row],[Month Year]],0))</f>
        <v>30</v>
      </c>
      <c r="I140" s="119">
        <v>1</v>
      </c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SUM(MC[[#This Row],[IS1Inv1M1]:[IS4Inv10M2]])</f>
        <v>0</v>
      </c>
      <c r="AN140" s="120"/>
      <c r="AO140" s="120"/>
      <c r="AP140" s="120"/>
      <c r="AQ140" s="120"/>
      <c r="AR140" s="119"/>
      <c r="AS140" s="119"/>
      <c r="AT140" s="119" t="s">
        <v>1249</v>
      </c>
    </row>
    <row r="141" spans="1:46">
      <c r="A141" s="119">
        <v>139</v>
      </c>
      <c r="B141" s="113">
        <f t="shared" si="2"/>
        <v>45461</v>
      </c>
      <c r="C141" s="114">
        <f>YEAR(MC[[#This Row],[Date]])+IF(MONTH(MC[[#This Row],[Date]])&gt;=4,1,0)</f>
        <v>2025</v>
      </c>
      <c r="D141" s="115">
        <f>YEAR(MC[[#This Row],[Date]])</f>
        <v>2024</v>
      </c>
      <c r="E141" s="112" t="s">
        <v>340</v>
      </c>
      <c r="F141" s="112" t="s">
        <v>340</v>
      </c>
      <c r="G141" s="116" t="str">
        <f>TEXT(MC[[#This Row],[Date]],"mmm-yy")</f>
        <v>Jun-24</v>
      </c>
      <c r="H141" s="116">
        <f>DAY(EOMONTH(MC[[#This Row],[Month Year]],0))</f>
        <v>30</v>
      </c>
      <c r="I141" s="119">
        <v>1</v>
      </c>
      <c r="J141" s="119" t="s">
        <v>1246</v>
      </c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SUM(MC[[#This Row],[IS1Inv1M1]:[IS4Inv10M2]])</f>
        <v>0</v>
      </c>
      <c r="AN141" s="120"/>
      <c r="AO141" s="119"/>
      <c r="AP141" s="120">
        <v>0.16666666666666699</v>
      </c>
      <c r="AQ141" s="120">
        <v>0.375</v>
      </c>
      <c r="AR141" s="119" t="s">
        <v>1247</v>
      </c>
      <c r="AS141" s="119"/>
      <c r="AT141" s="119" t="s">
        <v>1250</v>
      </c>
    </row>
    <row r="142" spans="1:46">
      <c r="A142" s="119">
        <v>140</v>
      </c>
      <c r="B142" s="113">
        <f t="shared" si="2"/>
        <v>45462</v>
      </c>
      <c r="C142" s="114">
        <f>YEAR(MC[[#This Row],[Date]])+IF(MONTH(MC[[#This Row],[Date]])&gt;=4,1,0)</f>
        <v>2025</v>
      </c>
      <c r="D142" s="115">
        <f>YEAR(MC[[#This Row],[Date]])</f>
        <v>2024</v>
      </c>
      <c r="E142" s="112" t="s">
        <v>340</v>
      </c>
      <c r="F142" s="112" t="s">
        <v>340</v>
      </c>
      <c r="G142" s="116" t="str">
        <f>TEXT(MC[[#This Row],[Date]],"mmm-yy")</f>
        <v>Jun-24</v>
      </c>
      <c r="H142" s="116">
        <f>DAY(EOMONTH(MC[[#This Row],[Month Year]],0))</f>
        <v>30</v>
      </c>
      <c r="I142" s="119">
        <v>1</v>
      </c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SUM(MC[[#This Row],[IS1Inv1M1]:[IS4Inv10M2]])</f>
        <v>0</v>
      </c>
      <c r="AN142" s="120"/>
      <c r="AO142" s="119"/>
      <c r="AP142" s="119"/>
      <c r="AQ142" s="120"/>
      <c r="AR142" s="119"/>
      <c r="AS142" s="119"/>
      <c r="AT142" s="119" t="s">
        <v>1251</v>
      </c>
    </row>
    <row r="143" spans="1:46">
      <c r="A143" s="119">
        <v>141</v>
      </c>
      <c r="B143" s="113">
        <f t="shared" si="2"/>
        <v>45463</v>
      </c>
      <c r="C143" s="114">
        <f>YEAR(MC[[#This Row],[Date]])+IF(MONTH(MC[[#This Row],[Date]])&gt;=4,1,0)</f>
        <v>2025</v>
      </c>
      <c r="D143" s="115">
        <f>YEAR(MC[[#This Row],[Date]])</f>
        <v>2024</v>
      </c>
      <c r="E143" s="112" t="s">
        <v>340</v>
      </c>
      <c r="F143" s="112" t="s">
        <v>340</v>
      </c>
      <c r="G143" s="116" t="str">
        <f>TEXT(MC[[#This Row],[Date]],"mmm-yy")</f>
        <v>Jun-24</v>
      </c>
      <c r="H143" s="116">
        <f>DAY(EOMONTH(MC[[#This Row],[Month Year]],0))</f>
        <v>30</v>
      </c>
      <c r="I143" s="119">
        <v>1</v>
      </c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SUM(MC[[#This Row],[IS1Inv1M1]:[IS4Inv10M2]])</f>
        <v>0</v>
      </c>
      <c r="AN143" s="120"/>
      <c r="AO143" s="119"/>
      <c r="AP143" s="119"/>
      <c r="AQ143" s="120"/>
      <c r="AR143" s="119"/>
      <c r="AS143" s="119"/>
      <c r="AT143" s="119" t="s">
        <v>1251</v>
      </c>
    </row>
    <row r="144" spans="1:46">
      <c r="A144" s="119">
        <v>142</v>
      </c>
      <c r="B144" s="113">
        <f t="shared" si="2"/>
        <v>45464</v>
      </c>
      <c r="C144" s="114">
        <f>YEAR(MC[[#This Row],[Date]])+IF(MONTH(MC[[#This Row],[Date]])&gt;=4,1,0)</f>
        <v>2025</v>
      </c>
      <c r="D144" s="115">
        <f>YEAR(MC[[#This Row],[Date]])</f>
        <v>2024</v>
      </c>
      <c r="E144" s="112" t="s">
        <v>340</v>
      </c>
      <c r="F144" s="112" t="s">
        <v>340</v>
      </c>
      <c r="G144" s="116" t="str">
        <f>TEXT(MC[[#This Row],[Date]],"mmm-yy")</f>
        <v>Jun-24</v>
      </c>
      <c r="H144" s="116">
        <f>DAY(EOMONTH(MC[[#This Row],[Month Year]],0))</f>
        <v>30</v>
      </c>
      <c r="I144" s="119">
        <v>1</v>
      </c>
      <c r="J144" s="119" t="s">
        <v>1246</v>
      </c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SUM(MC[[#This Row],[IS1Inv1M1]:[IS4Inv10M2]])</f>
        <v>0</v>
      </c>
      <c r="AN144" s="120"/>
      <c r="AO144" s="119"/>
      <c r="AP144" s="120">
        <v>0.16666666666666699</v>
      </c>
      <c r="AQ144" s="120">
        <v>0.375</v>
      </c>
      <c r="AR144" s="119" t="s">
        <v>1247</v>
      </c>
      <c r="AS144" s="119"/>
      <c r="AT144" s="119"/>
    </row>
    <row r="145" spans="1:46">
      <c r="A145" s="119">
        <v>143</v>
      </c>
      <c r="B145" s="113">
        <f t="shared" si="2"/>
        <v>45465</v>
      </c>
      <c r="C145" s="114">
        <f>YEAR(MC[[#This Row],[Date]])+IF(MONTH(MC[[#This Row],[Date]])&gt;=4,1,0)</f>
        <v>2025</v>
      </c>
      <c r="D145" s="115">
        <f>YEAR(MC[[#This Row],[Date]])</f>
        <v>2024</v>
      </c>
      <c r="E145" s="112" t="s">
        <v>340</v>
      </c>
      <c r="F145" s="112" t="s">
        <v>340</v>
      </c>
      <c r="G145" s="116" t="str">
        <f>TEXT(MC[[#This Row],[Date]],"mmm-yy")</f>
        <v>Jun-24</v>
      </c>
      <c r="H145" s="116">
        <f>DAY(EOMONTH(MC[[#This Row],[Month Year]],0))</f>
        <v>30</v>
      </c>
      <c r="I145" s="119">
        <v>1</v>
      </c>
      <c r="J145" s="119" t="s">
        <v>1246</v>
      </c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5">
        <f>SUM(MC[[#This Row],[IS1Inv1M1]:[IS4Inv10M2]])</f>
        <v>0</v>
      </c>
      <c r="AN145" s="120"/>
      <c r="AO145" s="119"/>
      <c r="AP145" s="120">
        <v>0.20833333333333334</v>
      </c>
      <c r="AQ145" s="120">
        <v>0.45833333333333331</v>
      </c>
      <c r="AR145" s="119" t="s">
        <v>1247</v>
      </c>
      <c r="AS145" s="119"/>
      <c r="AT145" s="119"/>
    </row>
    <row r="146" spans="1:46">
      <c r="A146" s="119">
        <v>144</v>
      </c>
      <c r="B146" s="113">
        <f t="shared" si="2"/>
        <v>45466</v>
      </c>
      <c r="C146" s="114">
        <f>YEAR(MC[[#This Row],[Date]])+IF(MONTH(MC[[#This Row],[Date]])&gt;=4,1,0)</f>
        <v>2025</v>
      </c>
      <c r="D146" s="115">
        <f>YEAR(MC[[#This Row],[Date]])</f>
        <v>2024</v>
      </c>
      <c r="E146" s="112" t="s">
        <v>340</v>
      </c>
      <c r="F146" s="112" t="s">
        <v>340</v>
      </c>
      <c r="G146" s="116" t="str">
        <f>TEXT(MC[[#This Row],[Date]],"mmm-yy")</f>
        <v>Jun-24</v>
      </c>
      <c r="H146" s="116">
        <f>DAY(EOMONTH(MC[[#This Row],[Month Year]],0))</f>
        <v>30</v>
      </c>
      <c r="I146" s="119">
        <v>1</v>
      </c>
      <c r="J146" s="119" t="s">
        <v>1246</v>
      </c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5">
        <f>SUM(MC[[#This Row],[IS1Inv1M1]:[IS4Inv10M2]])</f>
        <v>0</v>
      </c>
      <c r="AN146" s="119"/>
      <c r="AO146" s="119"/>
      <c r="AP146" s="120">
        <v>0.22916666666666666</v>
      </c>
      <c r="AQ146" s="120">
        <v>0.39583333333333331</v>
      </c>
      <c r="AR146" s="120">
        <v>0.6875</v>
      </c>
      <c r="AS146" s="120">
        <v>0.95833333333333337</v>
      </c>
      <c r="AT146" s="119" t="s">
        <v>1247</v>
      </c>
    </row>
    <row r="147" spans="1:46">
      <c r="A147" s="119">
        <v>145</v>
      </c>
      <c r="B147" s="113">
        <f t="shared" si="2"/>
        <v>45467</v>
      </c>
      <c r="C147" s="114">
        <f>YEAR(MC[[#This Row],[Date]])+IF(MONTH(MC[[#This Row],[Date]])&gt;=4,1,0)</f>
        <v>2025</v>
      </c>
      <c r="D147" s="115">
        <f>YEAR(MC[[#This Row],[Date]])</f>
        <v>2024</v>
      </c>
      <c r="E147" s="112" t="s">
        <v>340</v>
      </c>
      <c r="F147" s="112" t="s">
        <v>340</v>
      </c>
      <c r="G147" s="116" t="str">
        <f>TEXT(MC[[#This Row],[Date]],"mmm-yy")</f>
        <v>Jun-24</v>
      </c>
      <c r="H147" s="116">
        <f>DAY(EOMONTH(MC[[#This Row],[Month Year]],0))</f>
        <v>30</v>
      </c>
      <c r="I147" s="119">
        <v>1</v>
      </c>
      <c r="J147" s="119" t="s">
        <v>1246</v>
      </c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5">
        <f>SUM(MC[[#This Row],[IS1Inv1M1]:[IS4Inv10M2]])</f>
        <v>0</v>
      </c>
      <c r="AN147" s="119"/>
      <c r="AO147" s="119"/>
      <c r="AP147" s="120">
        <v>0.22916666666666666</v>
      </c>
      <c r="AQ147" s="120">
        <v>0.39583333333333331</v>
      </c>
      <c r="AR147" s="120">
        <v>0.6875</v>
      </c>
      <c r="AS147" s="120">
        <v>0.95833333333333337</v>
      </c>
      <c r="AT147" s="119" t="s">
        <v>1247</v>
      </c>
    </row>
    <row r="148" spans="1:46">
      <c r="A148" s="119">
        <v>146</v>
      </c>
      <c r="B148" s="113">
        <f t="shared" si="2"/>
        <v>45468</v>
      </c>
      <c r="C148" s="114">
        <f>YEAR(MC[[#This Row],[Date]])+IF(MONTH(MC[[#This Row],[Date]])&gt;=4,1,0)</f>
        <v>2025</v>
      </c>
      <c r="D148" s="115">
        <f>YEAR(MC[[#This Row],[Date]])</f>
        <v>2024</v>
      </c>
      <c r="E148" s="112" t="s">
        <v>340</v>
      </c>
      <c r="F148" s="112" t="s">
        <v>340</v>
      </c>
      <c r="G148" s="116" t="str">
        <f>TEXT(MC[[#This Row],[Date]],"mmm-yy")</f>
        <v>Jun-24</v>
      </c>
      <c r="H148" s="116">
        <f>DAY(EOMONTH(MC[[#This Row],[Month Year]],0))</f>
        <v>30</v>
      </c>
      <c r="I148" s="119">
        <v>1</v>
      </c>
      <c r="J148" s="119" t="s">
        <v>1246</v>
      </c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5">
        <f>SUM(MC[[#This Row],[IS1Inv1M1]:[IS4Inv10M2]])</f>
        <v>0</v>
      </c>
      <c r="AN148" s="119"/>
      <c r="AO148" s="119"/>
      <c r="AP148" s="120">
        <v>0.22916666666666666</v>
      </c>
      <c r="AQ148" s="120">
        <v>0.39583333333333331</v>
      </c>
      <c r="AR148" s="120">
        <v>0.6875</v>
      </c>
      <c r="AS148" s="120">
        <v>0.95833333333333337</v>
      </c>
      <c r="AT148" s="119" t="s">
        <v>1247</v>
      </c>
    </row>
    <row r="149" spans="1:46">
      <c r="A149" s="119">
        <v>147</v>
      </c>
      <c r="B149" s="113">
        <f t="shared" si="2"/>
        <v>45469</v>
      </c>
      <c r="C149" s="114">
        <f>YEAR(MC[[#This Row],[Date]])+IF(MONTH(MC[[#This Row],[Date]])&gt;=4,1,0)</f>
        <v>2025</v>
      </c>
      <c r="D149" s="115">
        <f>YEAR(MC[[#This Row],[Date]])</f>
        <v>2024</v>
      </c>
      <c r="E149" s="112" t="s">
        <v>340</v>
      </c>
      <c r="F149" s="112" t="s">
        <v>340</v>
      </c>
      <c r="G149" s="116" t="str">
        <f>TEXT(MC[[#This Row],[Date]],"mmm-yy")</f>
        <v>Jun-24</v>
      </c>
      <c r="H149" s="116">
        <f>DAY(EOMONTH(MC[[#This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SUM(MC[[#This Row],[IS1Inv1M1]:[IS4Inv10M2]])</f>
        <v>0</v>
      </c>
      <c r="AN149" s="120"/>
      <c r="AO149" s="119"/>
      <c r="AP149" s="119"/>
      <c r="AQ149" s="120"/>
      <c r="AR149" s="119"/>
      <c r="AS149" s="119"/>
      <c r="AT149" s="119"/>
    </row>
    <row r="150" spans="1:46">
      <c r="A150" s="119">
        <v>148</v>
      </c>
      <c r="B150" s="113">
        <f t="shared" si="2"/>
        <v>45470</v>
      </c>
      <c r="C150" s="114">
        <f>YEAR(MC[[#This Row],[Date]])+IF(MONTH(MC[[#This Row],[Date]])&gt;=4,1,0)</f>
        <v>2025</v>
      </c>
      <c r="D150" s="115">
        <f>YEAR(MC[[#This Row],[Date]])</f>
        <v>2024</v>
      </c>
      <c r="E150" s="112" t="s">
        <v>340</v>
      </c>
      <c r="F150" s="112" t="s">
        <v>340</v>
      </c>
      <c r="G150" s="116" t="str">
        <f>TEXT(MC[[#This Row],[Date]],"mmm-yy")</f>
        <v>Jun-24</v>
      </c>
      <c r="H150" s="116">
        <f>DAY(EOMONTH(MC[[#This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SUM(MC[[#This Row],[IS1Inv1M1]:[IS4Inv10M2]])</f>
        <v>0</v>
      </c>
      <c r="AN150" s="119"/>
      <c r="AO150" s="119"/>
      <c r="AP150" s="119"/>
      <c r="AQ150" s="119"/>
      <c r="AR150" s="119"/>
      <c r="AS150" s="119"/>
      <c r="AT150" s="121"/>
    </row>
    <row r="151" spans="1:46">
      <c r="A151" s="119">
        <v>149</v>
      </c>
      <c r="B151" s="113">
        <f t="shared" si="2"/>
        <v>45471</v>
      </c>
      <c r="C151" s="114">
        <f>YEAR(MC[[#This Row],[Date]])+IF(MONTH(MC[[#This Row],[Date]])&gt;=4,1,0)</f>
        <v>2025</v>
      </c>
      <c r="D151" s="115">
        <f>YEAR(MC[[#This Row],[Date]])</f>
        <v>2024</v>
      </c>
      <c r="E151" s="112" t="s">
        <v>340</v>
      </c>
      <c r="F151" s="112" t="s">
        <v>340</v>
      </c>
      <c r="G151" s="116" t="str">
        <f>TEXT(MC[[#This Row],[Date]],"mmm-yy")</f>
        <v>Jun-24</v>
      </c>
      <c r="H151" s="116">
        <f>DAY(EOMONTH(MC[[#This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SUM(MC[[#This Row],[IS1Inv1M1]:[IS4Inv10M2]])</f>
        <v>0</v>
      </c>
      <c r="AN151" s="119"/>
      <c r="AO151" s="119"/>
      <c r="AP151" s="119"/>
      <c r="AQ151" s="119"/>
      <c r="AR151" s="119"/>
      <c r="AS151" s="119"/>
      <c r="AT151" s="121"/>
    </row>
    <row r="152" spans="1:46">
      <c r="A152" s="119">
        <v>150</v>
      </c>
      <c r="B152" s="113">
        <f t="shared" si="2"/>
        <v>45472</v>
      </c>
      <c r="C152" s="114">
        <f>YEAR(MC[[#This Row],[Date]])+IF(MONTH(MC[[#This Row],[Date]])&gt;=4,1,0)</f>
        <v>2025</v>
      </c>
      <c r="D152" s="115">
        <f>YEAR(MC[[#This Row],[Date]])</f>
        <v>2024</v>
      </c>
      <c r="E152" s="112" t="s">
        <v>340</v>
      </c>
      <c r="F152" s="112" t="s">
        <v>340</v>
      </c>
      <c r="G152" s="116" t="str">
        <f>TEXT(MC[[#This Row],[Date]],"mmm-yy")</f>
        <v>Jun-24</v>
      </c>
      <c r="H152" s="116">
        <f>DAY(EOMONTH(MC[[#This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SUM(MC[[#This Row],[IS1Inv1M1]:[IS4Inv10M2]])</f>
        <v>0</v>
      </c>
      <c r="AN152" s="119"/>
      <c r="AO152" s="119"/>
      <c r="AP152" s="119"/>
      <c r="AQ152" s="119"/>
      <c r="AR152" s="119"/>
      <c r="AS152" s="119"/>
      <c r="AT152" s="121"/>
    </row>
    <row r="153" spans="1:46">
      <c r="A153" s="119">
        <v>151</v>
      </c>
      <c r="B153" s="113">
        <f t="shared" si="2"/>
        <v>45473</v>
      </c>
      <c r="C153" s="114">
        <f>YEAR(MC[[#This Row],[Date]])+IF(MONTH(MC[[#This Row],[Date]])&gt;=4,1,0)</f>
        <v>2025</v>
      </c>
      <c r="D153" s="115">
        <f>YEAR(MC[[#This Row],[Date]])</f>
        <v>2024</v>
      </c>
      <c r="E153" s="112" t="s">
        <v>340</v>
      </c>
      <c r="F153" s="112" t="s">
        <v>340</v>
      </c>
      <c r="G153" s="116" t="str">
        <f>TEXT(MC[[#This Row],[Date]],"mmm-yy")</f>
        <v>Jun-24</v>
      </c>
      <c r="H153" s="116">
        <f>DAY(EOMONTH(MC[[#This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SUM(MC[[#This Row],[IS1Inv1M1]:[IS4Inv10M2]])</f>
        <v>0</v>
      </c>
      <c r="AN153" s="119"/>
      <c r="AO153" s="119"/>
      <c r="AP153" s="119"/>
      <c r="AQ153" s="119"/>
      <c r="AR153" s="119"/>
      <c r="AS153" s="119"/>
      <c r="AT153" s="121"/>
    </row>
    <row r="154" spans="1:46">
      <c r="A154" s="119">
        <v>152</v>
      </c>
      <c r="B154" s="113">
        <f t="shared" si="2"/>
        <v>45474</v>
      </c>
      <c r="C154" s="114">
        <f>YEAR(MC[[#This Row],[Date]])+IF(MONTH(MC[[#This Row],[Date]])&gt;=4,1,0)</f>
        <v>2025</v>
      </c>
      <c r="D154" s="115">
        <f>YEAR(MC[[#This Row],[Date]])</f>
        <v>2024</v>
      </c>
      <c r="E154" s="112" t="s">
        <v>340</v>
      </c>
      <c r="F154" s="112" t="s">
        <v>340</v>
      </c>
      <c r="G154" s="116" t="str">
        <f>TEXT(MC[[#This Row],[Date]],"mmm-yy")</f>
        <v>Jul-24</v>
      </c>
      <c r="H154" s="116">
        <f>DAY(EOMONTH(MC[[#This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SUM(MC[[#This Row],[IS1Inv1M1]:[IS4Inv10M2]])</f>
        <v>0</v>
      </c>
      <c r="AN154" s="119"/>
      <c r="AO154" s="119"/>
      <c r="AP154" s="119"/>
      <c r="AQ154" s="119"/>
      <c r="AR154" s="119"/>
      <c r="AS154" s="119"/>
      <c r="AT154" s="121"/>
    </row>
    <row r="155" spans="1:46">
      <c r="A155" s="119">
        <v>153</v>
      </c>
      <c r="B155" s="113">
        <f t="shared" si="2"/>
        <v>45475</v>
      </c>
      <c r="C155" s="114">
        <f>YEAR(MC[[#This Row],[Date]])+IF(MONTH(MC[[#This Row],[Date]])&gt;=4,1,0)</f>
        <v>2025</v>
      </c>
      <c r="D155" s="115">
        <f>YEAR(MC[[#This Row],[Date]])</f>
        <v>2024</v>
      </c>
      <c r="E155" s="112" t="s">
        <v>340</v>
      </c>
      <c r="F155" s="112" t="s">
        <v>340</v>
      </c>
      <c r="G155" s="116" t="str">
        <f>TEXT(MC[[#This Row],[Date]],"mmm-yy")</f>
        <v>Jul-24</v>
      </c>
      <c r="H155" s="116">
        <f>DAY(EOMONTH(MC[[#This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SUM(MC[[#This Row],[IS1Inv1M1]:[IS4Inv10M2]])</f>
        <v>0</v>
      </c>
      <c r="AN155" s="119"/>
      <c r="AO155" s="119"/>
      <c r="AP155" s="119"/>
      <c r="AQ155" s="119"/>
      <c r="AR155" s="119"/>
      <c r="AS155" s="119"/>
      <c r="AT155" s="121"/>
    </row>
    <row r="156" spans="1:46">
      <c r="A156" s="119">
        <v>154</v>
      </c>
      <c r="B156" s="113">
        <f t="shared" si="2"/>
        <v>45476</v>
      </c>
      <c r="C156" s="114">
        <f>YEAR(MC[[#This Row],[Date]])+IF(MONTH(MC[[#This Row],[Date]])&gt;=4,1,0)</f>
        <v>2025</v>
      </c>
      <c r="D156" s="115">
        <f>YEAR(MC[[#This Row],[Date]])</f>
        <v>2024</v>
      </c>
      <c r="E156" s="112" t="s">
        <v>340</v>
      </c>
      <c r="F156" s="112" t="s">
        <v>340</v>
      </c>
      <c r="G156" s="116" t="str">
        <f>TEXT(MC[[#This Row],[Date]],"mmm-yy")</f>
        <v>Jul-24</v>
      </c>
      <c r="H156" s="116">
        <f>DAY(EOMONTH(MC[[#This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SUM(MC[[#This Row],[IS1Inv1M1]:[IS4Inv10M2]])</f>
        <v>0</v>
      </c>
      <c r="AN156" s="120"/>
      <c r="AO156" s="119"/>
      <c r="AP156" s="119"/>
      <c r="AQ156" s="120"/>
      <c r="AR156" s="119"/>
      <c r="AS156" s="119"/>
      <c r="AT156" s="119"/>
    </row>
    <row r="157" spans="1:46">
      <c r="A157" s="119">
        <v>155</v>
      </c>
      <c r="B157" s="113">
        <f t="shared" si="2"/>
        <v>45477</v>
      </c>
      <c r="C157" s="114">
        <f>YEAR(MC[[#This Row],[Date]])+IF(MONTH(MC[[#This Row],[Date]])&gt;=4,1,0)</f>
        <v>2025</v>
      </c>
      <c r="D157" s="115">
        <f>YEAR(MC[[#This Row],[Date]])</f>
        <v>2024</v>
      </c>
      <c r="E157" s="112" t="s">
        <v>340</v>
      </c>
      <c r="F157" s="112" t="s">
        <v>340</v>
      </c>
      <c r="G157" s="116" t="str">
        <f>TEXT(MC[[#This Row],[Date]],"mmm-yy")</f>
        <v>Jul-24</v>
      </c>
      <c r="H157" s="116">
        <f>DAY(EOMONTH(MC[[#This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SUM(MC[[#This Row],[IS1Inv1M1]:[IS4Inv10M2]])</f>
        <v>0</v>
      </c>
      <c r="AN157" s="120"/>
      <c r="AO157" s="119"/>
      <c r="AP157" s="119"/>
      <c r="AQ157" s="120"/>
      <c r="AR157" s="119"/>
      <c r="AS157" s="119"/>
      <c r="AT157" s="119"/>
    </row>
    <row r="158" spans="1:46">
      <c r="A158" s="119">
        <v>156</v>
      </c>
      <c r="B158" s="113">
        <f t="shared" si="2"/>
        <v>45478</v>
      </c>
      <c r="C158" s="114">
        <f>YEAR(MC[[#This Row],[Date]])+IF(MONTH(MC[[#This Row],[Date]])&gt;=4,1,0)</f>
        <v>2025</v>
      </c>
      <c r="D158" s="115">
        <f>YEAR(MC[[#This Row],[Date]])</f>
        <v>2024</v>
      </c>
      <c r="E158" s="112" t="s">
        <v>340</v>
      </c>
      <c r="F158" s="112" t="s">
        <v>340</v>
      </c>
      <c r="G158" s="116" t="str">
        <f>TEXT(MC[[#This Row],[Date]],"mmm-yy")</f>
        <v>Jul-24</v>
      </c>
      <c r="H158" s="116">
        <f>DAY(EOMONTH(MC[[#This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SUM(MC[[#This Row],[IS1Inv1M1]:[IS4Inv10M2]])</f>
        <v>0</v>
      </c>
      <c r="AN158" s="120"/>
      <c r="AO158" s="119"/>
      <c r="AP158" s="119"/>
      <c r="AQ158" s="120"/>
      <c r="AR158" s="119"/>
      <c r="AS158" s="119"/>
      <c r="AT158" s="119"/>
    </row>
    <row r="159" spans="1:46">
      <c r="A159" s="119">
        <v>157</v>
      </c>
      <c r="B159" s="113">
        <f t="shared" si="2"/>
        <v>45479</v>
      </c>
      <c r="C159" s="114">
        <f>YEAR(MC[[#This Row],[Date]])+IF(MONTH(MC[[#This Row],[Date]])&gt;=4,1,0)</f>
        <v>2025</v>
      </c>
      <c r="D159" s="115">
        <f>YEAR(MC[[#This Row],[Date]])</f>
        <v>2024</v>
      </c>
      <c r="E159" s="112" t="s">
        <v>340</v>
      </c>
      <c r="F159" s="112" t="s">
        <v>340</v>
      </c>
      <c r="G159" s="116" t="str">
        <f>TEXT(MC[[#This Row],[Date]],"mmm-yy")</f>
        <v>Jul-24</v>
      </c>
      <c r="H159" s="116">
        <f>DAY(EOMONTH(MC[[#This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SUM(MC[[#This Row],[IS1Inv1M1]:[IS4Inv10M2]])</f>
        <v>0</v>
      </c>
      <c r="AN159" s="120"/>
      <c r="AO159" s="119"/>
      <c r="AP159" s="119"/>
      <c r="AQ159" s="120"/>
      <c r="AR159" s="119"/>
      <c r="AS159" s="119"/>
      <c r="AT159" s="119"/>
    </row>
    <row r="160" spans="1:46">
      <c r="A160" s="119">
        <v>158</v>
      </c>
      <c r="B160" s="113">
        <f t="shared" si="2"/>
        <v>45480</v>
      </c>
      <c r="C160" s="114">
        <f>YEAR(MC[[#This Row],[Date]])+IF(MONTH(MC[[#This Row],[Date]])&gt;=4,1,0)</f>
        <v>2025</v>
      </c>
      <c r="D160" s="115">
        <f>YEAR(MC[[#This Row],[Date]])</f>
        <v>2024</v>
      </c>
      <c r="E160" s="112" t="s">
        <v>340</v>
      </c>
      <c r="F160" s="112" t="s">
        <v>340</v>
      </c>
      <c r="G160" s="116" t="str">
        <f>TEXT(MC[[#This Row],[Date]],"mmm-yy")</f>
        <v>Jul-24</v>
      </c>
      <c r="H160" s="116">
        <f>DAY(EOMONTH(MC[[#This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SUM(MC[[#This Row],[IS1Inv1M1]:[IS4Inv10M2]])</f>
        <v>0</v>
      </c>
      <c r="AN160" s="119"/>
      <c r="AO160" s="119"/>
      <c r="AP160" s="119"/>
      <c r="AQ160" s="119"/>
      <c r="AR160" s="119"/>
      <c r="AS160" s="119"/>
      <c r="AT160" s="119"/>
    </row>
    <row r="161" spans="1:46">
      <c r="A161" s="119">
        <v>159</v>
      </c>
      <c r="B161" s="113">
        <f t="shared" si="2"/>
        <v>45481</v>
      </c>
      <c r="C161" s="114">
        <f>YEAR(MC[[#This Row],[Date]])+IF(MONTH(MC[[#This Row],[Date]])&gt;=4,1,0)</f>
        <v>2025</v>
      </c>
      <c r="D161" s="115">
        <f>YEAR(MC[[#This Row],[Date]])</f>
        <v>2024</v>
      </c>
      <c r="E161" s="112" t="s">
        <v>340</v>
      </c>
      <c r="F161" s="112" t="s">
        <v>340</v>
      </c>
      <c r="G161" s="116" t="str">
        <f>TEXT(MC[[#This Row],[Date]],"mmm-yy")</f>
        <v>Jul-24</v>
      </c>
      <c r="H161" s="116">
        <f>DAY(EOMONTH(MC[[#This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SUM(MC[[#This Row],[IS1Inv1M1]:[IS4Inv10M2]])</f>
        <v>0</v>
      </c>
      <c r="AN161" s="120"/>
      <c r="AO161" s="119"/>
      <c r="AP161" s="119"/>
      <c r="AQ161" s="120"/>
      <c r="AR161" s="119"/>
      <c r="AS161" s="119"/>
      <c r="AT161" s="119"/>
    </row>
    <row r="162" spans="1:46">
      <c r="A162" s="119">
        <v>160</v>
      </c>
      <c r="B162" s="113">
        <f t="shared" si="2"/>
        <v>45482</v>
      </c>
      <c r="C162" s="114">
        <f>YEAR(MC[[#This Row],[Date]])+IF(MONTH(MC[[#This Row],[Date]])&gt;=4,1,0)</f>
        <v>2025</v>
      </c>
      <c r="D162" s="115">
        <f>YEAR(MC[[#This Row],[Date]])</f>
        <v>2024</v>
      </c>
      <c r="E162" s="112" t="s">
        <v>340</v>
      </c>
      <c r="F162" s="112" t="s">
        <v>340</v>
      </c>
      <c r="G162" s="116" t="str">
        <f>TEXT(MC[[#This Row],[Date]],"mmm-yy")</f>
        <v>Jul-24</v>
      </c>
      <c r="H162" s="116">
        <f>DAY(EOMONTH(MC[[#This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SUM(MC[[#This Row],[IS1Inv1M1]:[IS4Inv10M2]])</f>
        <v>0</v>
      </c>
      <c r="AN162" s="120"/>
      <c r="AO162" s="119"/>
      <c r="AP162" s="119"/>
      <c r="AQ162" s="120"/>
      <c r="AR162" s="119"/>
      <c r="AS162" s="119"/>
      <c r="AT162" s="119"/>
    </row>
    <row r="163" spans="1:46">
      <c r="A163" s="119">
        <v>161</v>
      </c>
      <c r="B163" s="113">
        <f t="shared" si="2"/>
        <v>45483</v>
      </c>
      <c r="C163" s="114">
        <f>YEAR(MC[[#This Row],[Date]])+IF(MONTH(MC[[#This Row],[Date]])&gt;=4,1,0)</f>
        <v>2025</v>
      </c>
      <c r="D163" s="115">
        <f>YEAR(MC[[#This Row],[Date]])</f>
        <v>2024</v>
      </c>
      <c r="E163" s="112" t="s">
        <v>340</v>
      </c>
      <c r="F163" s="112" t="s">
        <v>340</v>
      </c>
      <c r="G163" s="116" t="str">
        <f>TEXT(MC[[#This Row],[Date]],"mmm-yy")</f>
        <v>Jul-24</v>
      </c>
      <c r="H163" s="116">
        <f>DAY(EOMONTH(MC[[#This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SUM(MC[[#This Row],[IS1Inv1M1]:[IS4Inv10M2]])</f>
        <v>0</v>
      </c>
      <c r="AN163" s="120"/>
      <c r="AO163" s="119"/>
      <c r="AP163" s="119"/>
      <c r="AQ163" s="120"/>
      <c r="AR163" s="119"/>
      <c r="AS163" s="119"/>
      <c r="AT163" s="119"/>
    </row>
    <row r="164" spans="1:46">
      <c r="A164" s="119">
        <v>162</v>
      </c>
      <c r="B164" s="113">
        <f t="shared" si="2"/>
        <v>45484</v>
      </c>
      <c r="C164" s="114">
        <f>YEAR(MC[[#This Row],[Date]])+IF(MONTH(MC[[#This Row],[Date]])&gt;=4,1,0)</f>
        <v>2025</v>
      </c>
      <c r="D164" s="115">
        <f>YEAR(MC[[#This Row],[Date]])</f>
        <v>2024</v>
      </c>
      <c r="E164" s="112" t="s">
        <v>340</v>
      </c>
      <c r="F164" s="112" t="s">
        <v>340</v>
      </c>
      <c r="G164" s="116" t="str">
        <f>TEXT(MC[[#This Row],[Date]],"mmm-yy")</f>
        <v>Jul-24</v>
      </c>
      <c r="H164" s="116">
        <f>DAY(EOMONTH(MC[[#This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SUM(MC[[#This Row],[IS1Inv1M1]:[IS4Inv10M2]])</f>
        <v>0</v>
      </c>
      <c r="AN164" s="120"/>
      <c r="AO164" s="119"/>
      <c r="AP164" s="119"/>
      <c r="AQ164" s="120"/>
      <c r="AR164" s="119"/>
      <c r="AS164" s="119"/>
      <c r="AT164" s="119"/>
    </row>
    <row r="165" spans="1:46">
      <c r="A165" s="119">
        <v>163</v>
      </c>
      <c r="B165" s="113">
        <f t="shared" si="2"/>
        <v>45485</v>
      </c>
      <c r="C165" s="114">
        <f>YEAR(MC[[#This Row],[Date]])+IF(MONTH(MC[[#This Row],[Date]])&gt;=4,1,0)</f>
        <v>2025</v>
      </c>
      <c r="D165" s="115">
        <f>YEAR(MC[[#This Row],[Date]])</f>
        <v>2024</v>
      </c>
      <c r="E165" s="112" t="s">
        <v>340</v>
      </c>
      <c r="F165" s="112" t="s">
        <v>340</v>
      </c>
      <c r="G165" s="116" t="str">
        <f>TEXT(MC[[#This Row],[Date]],"mmm-yy")</f>
        <v>Jul-24</v>
      </c>
      <c r="H165" s="116">
        <f>DAY(EOMONTH(MC[[#This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SUM(MC[[#This Row],[IS1Inv1M1]:[IS4Inv10M2]])</f>
        <v>0</v>
      </c>
      <c r="AN165" s="119"/>
      <c r="AO165" s="119"/>
      <c r="AP165" s="119"/>
      <c r="AQ165" s="119"/>
      <c r="AR165" s="119"/>
      <c r="AS165" s="119"/>
      <c r="AT165" s="119"/>
    </row>
    <row r="166" spans="1:46">
      <c r="A166" s="119">
        <v>164</v>
      </c>
      <c r="B166" s="113">
        <f t="shared" si="2"/>
        <v>45486</v>
      </c>
      <c r="C166" s="114">
        <f>YEAR(MC[[#This Row],[Date]])+IF(MONTH(MC[[#This Row],[Date]])&gt;=4,1,0)</f>
        <v>2025</v>
      </c>
      <c r="D166" s="115">
        <f>YEAR(MC[[#This Row],[Date]])</f>
        <v>2024</v>
      </c>
      <c r="E166" s="112" t="s">
        <v>340</v>
      </c>
      <c r="F166" s="112" t="s">
        <v>340</v>
      </c>
      <c r="G166" s="116" t="str">
        <f>TEXT(MC[[#This Row],[Date]],"mmm-yy")</f>
        <v>Jul-24</v>
      </c>
      <c r="H166" s="116">
        <f>DAY(EOMONTH(MC[[#This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SUM(MC[[#This Row],[IS1Inv1M1]:[IS4Inv10M2]])</f>
        <v>0</v>
      </c>
      <c r="AN166" s="119"/>
      <c r="AO166" s="119"/>
      <c r="AP166" s="119"/>
      <c r="AQ166" s="119"/>
      <c r="AR166" s="119"/>
      <c r="AS166" s="119"/>
      <c r="AT166" s="121"/>
    </row>
    <row r="167" spans="1:46">
      <c r="A167" s="119">
        <v>165</v>
      </c>
      <c r="B167" s="113">
        <f t="shared" si="2"/>
        <v>45487</v>
      </c>
      <c r="C167" s="114">
        <f>YEAR(MC[[#This Row],[Date]])+IF(MONTH(MC[[#This Row],[Date]])&gt;=4,1,0)</f>
        <v>2025</v>
      </c>
      <c r="D167" s="115">
        <f>YEAR(MC[[#This Row],[Date]])</f>
        <v>2024</v>
      </c>
      <c r="E167" s="112" t="s">
        <v>340</v>
      </c>
      <c r="F167" s="112" t="s">
        <v>340</v>
      </c>
      <c r="G167" s="116" t="str">
        <f>TEXT(MC[[#This Row],[Date]],"mmm-yy")</f>
        <v>Jul-24</v>
      </c>
      <c r="H167" s="116">
        <f>DAY(EOMONTH(MC[[#This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SUM(MC[[#This Row],[IS1Inv1M1]:[IS4Inv10M2]])</f>
        <v>0</v>
      </c>
      <c r="AN167" s="119"/>
      <c r="AO167" s="119"/>
      <c r="AP167" s="119"/>
      <c r="AQ167" s="119"/>
      <c r="AR167" s="119"/>
      <c r="AS167" s="119"/>
      <c r="AT167" s="121"/>
    </row>
    <row r="168" spans="1:46">
      <c r="A168" s="119">
        <v>166</v>
      </c>
      <c r="B168" s="113">
        <f t="shared" si="2"/>
        <v>45488</v>
      </c>
      <c r="C168" s="114">
        <f>YEAR(MC[[#This Row],[Date]])+IF(MONTH(MC[[#This Row],[Date]])&gt;=4,1,0)</f>
        <v>2025</v>
      </c>
      <c r="D168" s="115">
        <f>YEAR(MC[[#This Row],[Date]])</f>
        <v>2024</v>
      </c>
      <c r="E168" s="112" t="s">
        <v>340</v>
      </c>
      <c r="F168" s="112" t="s">
        <v>340</v>
      </c>
      <c r="G168" s="116" t="str">
        <f>TEXT(MC[[#This Row],[Date]],"mmm-yy")</f>
        <v>Jul-24</v>
      </c>
      <c r="H168" s="116">
        <f>DAY(EOMONTH(MC[[#This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SUM(MC[[#This Row],[IS1Inv1M1]:[IS4Inv10M2]])</f>
        <v>0</v>
      </c>
      <c r="AN168" s="119"/>
      <c r="AO168" s="119"/>
      <c r="AP168" s="119"/>
      <c r="AQ168" s="119"/>
      <c r="AR168" s="119"/>
      <c r="AS168" s="119"/>
      <c r="AT168" s="121"/>
    </row>
    <row r="169" spans="1:46">
      <c r="A169" s="119">
        <v>167</v>
      </c>
      <c r="B169" s="113">
        <f t="shared" si="2"/>
        <v>45489</v>
      </c>
      <c r="C169" s="114">
        <f>YEAR(MC[[#This Row],[Date]])+IF(MONTH(MC[[#This Row],[Date]])&gt;=4,1,0)</f>
        <v>2025</v>
      </c>
      <c r="D169" s="115">
        <f>YEAR(MC[[#This Row],[Date]])</f>
        <v>2024</v>
      </c>
      <c r="E169" s="112" t="s">
        <v>340</v>
      </c>
      <c r="F169" s="112" t="s">
        <v>340</v>
      </c>
      <c r="G169" s="116" t="str">
        <f>TEXT(MC[[#This Row],[Date]],"mmm-yy")</f>
        <v>Jul-24</v>
      </c>
      <c r="H169" s="116">
        <f>DAY(EOMONTH(MC[[#This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SUM(MC[[#This Row],[IS1Inv1M1]:[IS4Inv10M2]])</f>
        <v>0</v>
      </c>
      <c r="AN169" s="119"/>
      <c r="AO169" s="119"/>
      <c r="AP169" s="119"/>
      <c r="AQ169" s="119"/>
      <c r="AR169" s="119"/>
      <c r="AS169" s="119"/>
      <c r="AT169" s="121"/>
    </row>
    <row r="170" spans="1:46">
      <c r="A170" s="119">
        <v>168</v>
      </c>
      <c r="B170" s="113">
        <f t="shared" si="2"/>
        <v>45490</v>
      </c>
      <c r="C170" s="114">
        <f>YEAR(MC[[#This Row],[Date]])+IF(MONTH(MC[[#This Row],[Date]])&gt;=4,1,0)</f>
        <v>2025</v>
      </c>
      <c r="D170" s="115">
        <f>YEAR(MC[[#This Row],[Date]])</f>
        <v>2024</v>
      </c>
      <c r="E170" s="112" t="s">
        <v>340</v>
      </c>
      <c r="F170" s="112" t="s">
        <v>340</v>
      </c>
      <c r="G170" s="116" t="str">
        <f>TEXT(MC[[#This Row],[Date]],"mmm-yy")</f>
        <v>Jul-24</v>
      </c>
      <c r="H170" s="116">
        <f>DAY(EOMONTH(MC[[#This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SUM(MC[[#This Row],[IS1Inv1M1]:[IS4Inv10M2]])</f>
        <v>0</v>
      </c>
      <c r="AN170" s="119"/>
      <c r="AO170" s="119"/>
      <c r="AP170" s="119"/>
      <c r="AQ170" s="119"/>
      <c r="AR170" s="119"/>
      <c r="AS170" s="119"/>
      <c r="AT170" s="121"/>
    </row>
    <row r="171" spans="1:46">
      <c r="A171" s="119">
        <v>169</v>
      </c>
      <c r="B171" s="113">
        <f t="shared" si="2"/>
        <v>45491</v>
      </c>
      <c r="C171" s="114">
        <f>YEAR(MC[[#This Row],[Date]])+IF(MONTH(MC[[#This Row],[Date]])&gt;=4,1,0)</f>
        <v>2025</v>
      </c>
      <c r="D171" s="115">
        <f>YEAR(MC[[#This Row],[Date]])</f>
        <v>2024</v>
      </c>
      <c r="E171" s="112" t="s">
        <v>340</v>
      </c>
      <c r="F171" s="112" t="s">
        <v>340</v>
      </c>
      <c r="G171" s="116" t="str">
        <f>TEXT(MC[[#This Row],[Date]],"mmm-yy")</f>
        <v>Jul-24</v>
      </c>
      <c r="H171" s="116">
        <f>DAY(EOMONTH(MC[[#This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SUM(MC[[#This Row],[IS1Inv1M1]:[IS4Inv10M2]])</f>
        <v>0</v>
      </c>
      <c r="AN171" s="119"/>
      <c r="AO171" s="119"/>
      <c r="AP171" s="119"/>
      <c r="AQ171" s="119"/>
      <c r="AR171" s="119"/>
      <c r="AS171" s="119"/>
      <c r="AT171" s="121"/>
    </row>
    <row r="172" spans="1:46">
      <c r="A172" s="119">
        <v>170</v>
      </c>
      <c r="B172" s="113">
        <f t="shared" si="2"/>
        <v>45492</v>
      </c>
      <c r="C172" s="114">
        <f>YEAR(MC[[#This Row],[Date]])+IF(MONTH(MC[[#This Row],[Date]])&gt;=4,1,0)</f>
        <v>2025</v>
      </c>
      <c r="D172" s="115">
        <f>YEAR(MC[[#This Row],[Date]])</f>
        <v>2024</v>
      </c>
      <c r="E172" s="112" t="s">
        <v>340</v>
      </c>
      <c r="F172" s="112" t="s">
        <v>340</v>
      </c>
      <c r="G172" s="116" t="str">
        <f>TEXT(MC[[#This Row],[Date]],"mmm-yy")</f>
        <v>Jul-24</v>
      </c>
      <c r="H172" s="116">
        <f>DAY(EOMONTH(MC[[#This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SUM(MC[[#This Row],[IS1Inv1M1]:[IS4Inv10M2]])</f>
        <v>0</v>
      </c>
      <c r="AN172" s="119"/>
      <c r="AO172" s="119"/>
      <c r="AP172" s="119"/>
      <c r="AQ172" s="119"/>
      <c r="AR172" s="119"/>
      <c r="AS172" s="119"/>
      <c r="AT172" s="121"/>
    </row>
    <row r="173" spans="1:46">
      <c r="A173" s="119">
        <v>171</v>
      </c>
      <c r="B173" s="113">
        <f t="shared" si="2"/>
        <v>45493</v>
      </c>
      <c r="C173" s="114">
        <f>YEAR(MC[[#This Row],[Date]])+IF(MONTH(MC[[#This Row],[Date]])&gt;=4,1,0)</f>
        <v>2025</v>
      </c>
      <c r="D173" s="115">
        <f>YEAR(MC[[#This Row],[Date]])</f>
        <v>2024</v>
      </c>
      <c r="E173" s="112" t="s">
        <v>340</v>
      </c>
      <c r="F173" s="112" t="s">
        <v>340</v>
      </c>
      <c r="G173" s="116" t="str">
        <f>TEXT(MC[[#This Row],[Date]],"mmm-yy")</f>
        <v>Jul-24</v>
      </c>
      <c r="H173" s="116">
        <f>DAY(EOMONTH(MC[[#This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SUM(MC[[#This Row],[IS1Inv1M1]:[IS4Inv10M2]])</f>
        <v>0</v>
      </c>
      <c r="AN173" s="119"/>
      <c r="AO173" s="119"/>
      <c r="AP173" s="119"/>
      <c r="AQ173" s="119"/>
      <c r="AR173" s="119"/>
      <c r="AS173" s="119"/>
      <c r="AT173" s="121"/>
    </row>
    <row r="174" spans="1:46">
      <c r="A174" s="119">
        <v>172</v>
      </c>
      <c r="B174" s="113">
        <f t="shared" si="2"/>
        <v>45494</v>
      </c>
      <c r="C174" s="114">
        <f>YEAR(MC[[#This Row],[Date]])+IF(MONTH(MC[[#This Row],[Date]])&gt;=4,1,0)</f>
        <v>2025</v>
      </c>
      <c r="D174" s="115">
        <f>YEAR(MC[[#This Row],[Date]])</f>
        <v>2024</v>
      </c>
      <c r="E174" s="112" t="s">
        <v>340</v>
      </c>
      <c r="F174" s="112" t="s">
        <v>340</v>
      </c>
      <c r="G174" s="116" t="str">
        <f>TEXT(MC[[#This Row],[Date]],"mmm-yy")</f>
        <v>Jul-24</v>
      </c>
      <c r="H174" s="116">
        <f>DAY(EOMONTH(MC[[#This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SUM(MC[[#This Row],[IS1Inv1M1]:[IS4Inv10M2]])</f>
        <v>0</v>
      </c>
      <c r="AN174" s="119"/>
      <c r="AO174" s="119"/>
      <c r="AP174" s="119"/>
      <c r="AQ174" s="119"/>
      <c r="AR174" s="119"/>
      <c r="AS174" s="119"/>
      <c r="AT174" s="121"/>
    </row>
    <row r="175" spans="1:46">
      <c r="A175" s="119">
        <v>173</v>
      </c>
      <c r="B175" s="113">
        <f t="shared" si="2"/>
        <v>45495</v>
      </c>
      <c r="C175" s="114">
        <f>YEAR(MC[[#This Row],[Date]])+IF(MONTH(MC[[#This Row],[Date]])&gt;=4,1,0)</f>
        <v>2025</v>
      </c>
      <c r="D175" s="115">
        <f>YEAR(MC[[#This Row],[Date]])</f>
        <v>2024</v>
      </c>
      <c r="E175" s="112" t="s">
        <v>340</v>
      </c>
      <c r="F175" s="112" t="s">
        <v>340</v>
      </c>
      <c r="G175" s="116" t="str">
        <f>TEXT(MC[[#This Row],[Date]],"mmm-yy")</f>
        <v>Jul-24</v>
      </c>
      <c r="H175" s="116">
        <f>DAY(EOMONTH(MC[[#This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SUM(MC[[#This Row],[IS1Inv1M1]:[IS4Inv10M2]])</f>
        <v>0</v>
      </c>
      <c r="AN175" s="119"/>
      <c r="AO175" s="119"/>
      <c r="AP175" s="119"/>
      <c r="AQ175" s="119"/>
      <c r="AR175" s="119"/>
      <c r="AS175" s="119"/>
      <c r="AT175" s="121"/>
    </row>
    <row r="176" spans="1:46">
      <c r="A176" s="119">
        <v>174</v>
      </c>
      <c r="B176" s="113">
        <f t="shared" si="2"/>
        <v>45496</v>
      </c>
      <c r="C176" s="114">
        <f>YEAR(MC[[#This Row],[Date]])+IF(MONTH(MC[[#This Row],[Date]])&gt;=4,1,0)</f>
        <v>2025</v>
      </c>
      <c r="D176" s="115">
        <f>YEAR(MC[[#This Row],[Date]])</f>
        <v>2024</v>
      </c>
      <c r="E176" s="112" t="s">
        <v>340</v>
      </c>
      <c r="F176" s="112" t="s">
        <v>340</v>
      </c>
      <c r="G176" s="116" t="str">
        <f>TEXT(MC[[#This Row],[Date]],"mmm-yy")</f>
        <v>Jul-24</v>
      </c>
      <c r="H176" s="116">
        <f>DAY(EOMONTH(MC[[#This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SUM(MC[[#This Row],[IS1Inv1M1]:[IS4Inv10M2]])</f>
        <v>0</v>
      </c>
      <c r="AN176" s="119"/>
      <c r="AO176" s="119"/>
      <c r="AP176" s="119"/>
      <c r="AQ176" s="119"/>
      <c r="AR176" s="119"/>
      <c r="AS176" s="119"/>
      <c r="AT176" s="121"/>
    </row>
    <row r="177" spans="1:46">
      <c r="A177" s="119">
        <v>175</v>
      </c>
      <c r="B177" s="113">
        <f t="shared" si="2"/>
        <v>45497</v>
      </c>
      <c r="C177" s="114">
        <f>YEAR(MC[[#This Row],[Date]])+IF(MONTH(MC[[#This Row],[Date]])&gt;=4,1,0)</f>
        <v>2025</v>
      </c>
      <c r="D177" s="115">
        <f>YEAR(MC[[#This Row],[Date]])</f>
        <v>2024</v>
      </c>
      <c r="E177" s="112" t="s">
        <v>340</v>
      </c>
      <c r="F177" s="112" t="s">
        <v>340</v>
      </c>
      <c r="G177" s="116" t="str">
        <f>TEXT(MC[[#This Row],[Date]],"mmm-yy")</f>
        <v>Jul-24</v>
      </c>
      <c r="H177" s="116">
        <f>DAY(EOMONTH(MC[[#This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SUM(MC[[#This Row],[IS1Inv1M1]:[IS4Inv10M2]])</f>
        <v>0</v>
      </c>
      <c r="AN177" s="119"/>
      <c r="AO177" s="119"/>
      <c r="AP177" s="119"/>
      <c r="AQ177" s="119"/>
      <c r="AR177" s="119"/>
      <c r="AS177" s="119"/>
      <c r="AT177" s="121"/>
    </row>
    <row r="178" spans="1:46">
      <c r="A178" s="119">
        <v>176</v>
      </c>
      <c r="B178" s="113">
        <f t="shared" si="2"/>
        <v>45498</v>
      </c>
      <c r="C178" s="114">
        <f>YEAR(MC[[#This Row],[Date]])+IF(MONTH(MC[[#This Row],[Date]])&gt;=4,1,0)</f>
        <v>2025</v>
      </c>
      <c r="D178" s="115">
        <f>YEAR(MC[[#This Row],[Date]])</f>
        <v>2024</v>
      </c>
      <c r="E178" s="112" t="s">
        <v>340</v>
      </c>
      <c r="F178" s="112" t="s">
        <v>340</v>
      </c>
      <c r="G178" s="116" t="str">
        <f>TEXT(MC[[#This Row],[Date]],"mmm-yy")</f>
        <v>Jul-24</v>
      </c>
      <c r="H178" s="116">
        <f>DAY(EOMONTH(MC[[#This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SUM(MC[[#This Row],[IS1Inv1M1]:[IS4Inv10M2]])</f>
        <v>0</v>
      </c>
      <c r="AN178" s="119"/>
      <c r="AO178" s="119"/>
      <c r="AP178" s="119"/>
      <c r="AQ178" s="119"/>
      <c r="AR178" s="119"/>
      <c r="AS178" s="119"/>
      <c r="AT178" s="121"/>
    </row>
    <row r="179" spans="1:46">
      <c r="A179" s="119">
        <v>177</v>
      </c>
      <c r="B179" s="113">
        <f t="shared" si="2"/>
        <v>45499</v>
      </c>
      <c r="C179" s="114">
        <f>YEAR(MC[[#This Row],[Date]])+IF(MONTH(MC[[#This Row],[Date]])&gt;=4,1,0)</f>
        <v>2025</v>
      </c>
      <c r="D179" s="115">
        <f>YEAR(MC[[#This Row],[Date]])</f>
        <v>2024</v>
      </c>
      <c r="E179" s="112" t="s">
        <v>340</v>
      </c>
      <c r="F179" s="112" t="s">
        <v>340</v>
      </c>
      <c r="G179" s="116" t="str">
        <f>TEXT(MC[[#This Row],[Date]],"mmm-yy")</f>
        <v>Jul-24</v>
      </c>
      <c r="H179" s="116">
        <f>DAY(EOMONTH(MC[[#This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SUM(MC[[#This Row],[IS1Inv1M1]:[IS4Inv10M2]])</f>
        <v>0</v>
      </c>
      <c r="AN179" s="119"/>
      <c r="AO179" s="119"/>
      <c r="AP179" s="119"/>
      <c r="AQ179" s="119"/>
      <c r="AR179" s="119"/>
      <c r="AS179" s="119"/>
      <c r="AT179" s="121"/>
    </row>
    <row r="180" spans="1:46">
      <c r="A180" s="119">
        <v>177</v>
      </c>
      <c r="B180" s="113">
        <f t="shared" si="2"/>
        <v>45500</v>
      </c>
      <c r="C180" s="114">
        <f>YEAR(MC[[#This Row],[Date]])+IF(MONTH(MC[[#This Row],[Date]])&gt;=4,1,0)</f>
        <v>2025</v>
      </c>
      <c r="D180" s="115">
        <f>YEAR(MC[[#This Row],[Date]])</f>
        <v>2024</v>
      </c>
      <c r="E180" s="112" t="s">
        <v>340</v>
      </c>
      <c r="F180" s="112" t="s">
        <v>340</v>
      </c>
      <c r="G180" s="116" t="str">
        <f>TEXT(MC[[#This Row],[Date]],"mmm-yy")</f>
        <v>Jul-24</v>
      </c>
      <c r="H180" s="116">
        <f>DAY(EOMONTH(MC[[#This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SUM(MC[[#This Row],[IS1Inv1M1]:[IS4Inv10M2]])</f>
        <v>0</v>
      </c>
      <c r="AN180" s="119"/>
      <c r="AO180" s="119"/>
      <c r="AP180" s="119"/>
      <c r="AQ180" s="119"/>
      <c r="AR180" s="119"/>
      <c r="AS180" s="119"/>
      <c r="AT180" s="121"/>
    </row>
    <row r="181" spans="1:46">
      <c r="A181" s="119">
        <v>179</v>
      </c>
      <c r="B181" s="113">
        <f t="shared" si="2"/>
        <v>45501</v>
      </c>
      <c r="C181" s="114">
        <f>YEAR(MC[[#This Row],[Date]])+IF(MONTH(MC[[#This Row],[Date]])&gt;=4,1,0)</f>
        <v>2025</v>
      </c>
      <c r="D181" s="115">
        <f>YEAR(MC[[#This Row],[Date]])</f>
        <v>2024</v>
      </c>
      <c r="E181" s="112" t="s">
        <v>340</v>
      </c>
      <c r="F181" s="112" t="s">
        <v>340</v>
      </c>
      <c r="G181" s="116" t="str">
        <f>TEXT(MC[[#This Row],[Date]],"mmm-yy")</f>
        <v>Jul-24</v>
      </c>
      <c r="H181" s="116">
        <f>DAY(EOMONTH(MC[[#This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SUM(MC[[#This Row],[IS1Inv1M1]:[IS4Inv10M2]])</f>
        <v>0</v>
      </c>
      <c r="AN181" s="119"/>
      <c r="AO181" s="119"/>
      <c r="AP181" s="119"/>
      <c r="AQ181" s="119"/>
      <c r="AR181" s="119"/>
      <c r="AS181" s="119"/>
      <c r="AT181" s="121"/>
    </row>
    <row r="182" spans="1:46">
      <c r="A182" s="119">
        <v>180</v>
      </c>
      <c r="B182" s="113">
        <f t="shared" si="2"/>
        <v>45502</v>
      </c>
      <c r="C182" s="114">
        <f>YEAR(MC[[#This Row],[Date]])+IF(MONTH(MC[[#This Row],[Date]])&gt;=4,1,0)</f>
        <v>2025</v>
      </c>
      <c r="D182" s="115">
        <f>YEAR(MC[[#This Row],[Date]])</f>
        <v>2024</v>
      </c>
      <c r="E182" s="112" t="s">
        <v>340</v>
      </c>
      <c r="F182" s="112" t="s">
        <v>340</v>
      </c>
      <c r="G182" s="116" t="str">
        <f>TEXT(MC[[#This Row],[Date]],"mmm-yy")</f>
        <v>Jul-24</v>
      </c>
      <c r="H182" s="116">
        <f>DAY(EOMONTH(MC[[#This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SUM(MC[[#This Row],[IS1Inv1M1]:[IS4Inv10M2]])</f>
        <v>0</v>
      </c>
      <c r="AN182" s="119"/>
      <c r="AO182" s="119"/>
      <c r="AP182" s="119"/>
      <c r="AQ182" s="119"/>
      <c r="AR182" s="119"/>
      <c r="AS182" s="119"/>
      <c r="AT182" s="121"/>
    </row>
    <row r="183" spans="1:46">
      <c r="A183" s="119">
        <v>181</v>
      </c>
      <c r="B183" s="113">
        <f t="shared" si="2"/>
        <v>45503</v>
      </c>
      <c r="C183" s="114">
        <f>YEAR(MC[[#This Row],[Date]])+IF(MONTH(MC[[#This Row],[Date]])&gt;=4,1,0)</f>
        <v>2025</v>
      </c>
      <c r="D183" s="115">
        <f>YEAR(MC[[#This Row],[Date]])</f>
        <v>2024</v>
      </c>
      <c r="E183" s="112" t="s">
        <v>340</v>
      </c>
      <c r="F183" s="112" t="s">
        <v>340</v>
      </c>
      <c r="G183" s="116" t="str">
        <f>TEXT(MC[[#This Row],[Date]],"mmm-yy")</f>
        <v>Jul-24</v>
      </c>
      <c r="H183" s="116">
        <f>DAY(EOMONTH(MC[[#This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SUM(MC[[#This Row],[IS1Inv1M1]:[IS4Inv10M2]])</f>
        <v>0</v>
      </c>
      <c r="AN183" s="119"/>
      <c r="AO183" s="119"/>
      <c r="AP183" s="119"/>
      <c r="AQ183" s="119"/>
      <c r="AR183" s="119"/>
      <c r="AS183" s="119"/>
      <c r="AT183" s="121"/>
    </row>
    <row r="184" spans="1:46">
      <c r="A184" s="119">
        <v>182</v>
      </c>
      <c r="B184" s="113">
        <f t="shared" si="2"/>
        <v>45504</v>
      </c>
      <c r="C184" s="114">
        <f>YEAR(MC[[#This Row],[Date]])+IF(MONTH(MC[[#This Row],[Date]])&gt;=4,1,0)</f>
        <v>2025</v>
      </c>
      <c r="D184" s="115">
        <f>YEAR(MC[[#This Row],[Date]])</f>
        <v>2024</v>
      </c>
      <c r="E184" s="112" t="s">
        <v>340</v>
      </c>
      <c r="F184" s="112" t="s">
        <v>340</v>
      </c>
      <c r="G184" s="116" t="str">
        <f>TEXT(MC[[#This Row],[Date]],"mmm-yy")</f>
        <v>Jul-24</v>
      </c>
      <c r="H184" s="116">
        <f>DAY(EOMONTH(MC[[#This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SUM(MC[[#This Row],[IS1Inv1M1]:[IS4Inv10M2]])</f>
        <v>0</v>
      </c>
      <c r="AN184" s="119"/>
      <c r="AO184" s="119"/>
      <c r="AP184" s="119"/>
      <c r="AQ184" s="119"/>
      <c r="AR184" s="119"/>
      <c r="AS184" s="119"/>
      <c r="AT184" s="121"/>
    </row>
    <row r="185" spans="1:46">
      <c r="A185" s="119">
        <v>183</v>
      </c>
      <c r="B185" s="113">
        <f t="shared" si="2"/>
        <v>45505</v>
      </c>
      <c r="C185" s="114">
        <f>YEAR(MC[[#This Row],[Date]])+IF(MONTH(MC[[#This Row],[Date]])&gt;=4,1,0)</f>
        <v>2025</v>
      </c>
      <c r="D185" s="115">
        <f>YEAR(MC[[#This Row],[Date]])</f>
        <v>2024</v>
      </c>
      <c r="E185" s="112" t="s">
        <v>340</v>
      </c>
      <c r="F185" s="112" t="s">
        <v>340</v>
      </c>
      <c r="G185" s="116" t="str">
        <f>TEXT(MC[[#This Row],[Date]],"mmm-yy")</f>
        <v>Aug-24</v>
      </c>
      <c r="H185" s="116">
        <f>DAY(EOMONTH(MC[[#This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SUM(MC[[#This Row],[IS1Inv1M1]:[IS4Inv10M2]])</f>
        <v>0</v>
      </c>
      <c r="AN185" s="119"/>
      <c r="AO185" s="119"/>
      <c r="AP185" s="119"/>
      <c r="AQ185" s="119"/>
      <c r="AR185" s="119"/>
      <c r="AS185" s="119"/>
      <c r="AT185" s="121"/>
    </row>
  </sheetData>
  <phoneticPr fontId="79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502"/>
  <sheetViews>
    <sheetView topLeftCell="A2" zoomScale="97" zoomScaleNormal="97" workbookViewId="0">
      <pane xSplit="2" ySplit="1" topLeftCell="C471" activePane="bottomRight" state="frozen"/>
      <selection pane="bottomRight" activeCell="BC445" sqref="BC445"/>
      <selection pane="bottomLeft" activeCell="A3" sqref="A3"/>
      <selection pane="topRight" activeCell="C2" sqref="C2"/>
    </sheetView>
  </sheetViews>
  <sheetFormatPr defaultColWidth="8.875" defaultRowHeight="15"/>
  <cols>
    <col min="1" max="1" width="13.125" customWidth="1"/>
    <col min="2" max="2" width="11.125" customWidth="1"/>
    <col min="3" max="6" width="13.125" customWidth="1"/>
    <col min="7" max="7" width="10.875" style="5" customWidth="1"/>
    <col min="8" max="8" width="9.125" style="5"/>
    <col min="10" max="36" width="13.125" customWidth="1"/>
    <col min="37" max="38" width="11.875" bestFit="1" customWidth="1"/>
    <col min="39" max="56" width="11.875" customWidth="1"/>
    <col min="57" max="57" width="13.375" customWidth="1"/>
    <col min="58" max="58" width="11.125" style="5" customWidth="1"/>
    <col min="59" max="64" width="13.125" customWidth="1"/>
    <col min="65" max="65" width="48.1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1215</v>
      </c>
      <c r="F2" s="110" t="s">
        <v>323</v>
      </c>
      <c r="G2" s="110" t="s">
        <v>71</v>
      </c>
      <c r="H2" s="110" t="s">
        <v>47</v>
      </c>
      <c r="I2" s="110" t="s">
        <v>1216</v>
      </c>
      <c r="J2" s="110" t="s">
        <v>1217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1218</v>
      </c>
      <c r="T2" s="141" t="s">
        <v>1219</v>
      </c>
      <c r="U2" s="141" t="s">
        <v>1220</v>
      </c>
      <c r="V2" s="141" t="s">
        <v>1221</v>
      </c>
      <c r="W2" s="141" t="s">
        <v>1222</v>
      </c>
      <c r="X2" s="141" t="s">
        <v>1223</v>
      </c>
      <c r="Y2" s="141" t="s">
        <v>1224</v>
      </c>
      <c r="Z2" s="141" t="s">
        <v>1225</v>
      </c>
      <c r="AA2" s="49" t="s">
        <v>1226</v>
      </c>
      <c r="AB2" s="49" t="s">
        <v>1227</v>
      </c>
      <c r="AC2" s="49" t="s">
        <v>1228</v>
      </c>
      <c r="AD2" s="49" t="s">
        <v>1229</v>
      </c>
      <c r="AE2" s="49" t="s">
        <v>1230</v>
      </c>
      <c r="AF2" s="49" t="s">
        <v>1231</v>
      </c>
      <c r="AG2" s="49" t="s">
        <v>1232</v>
      </c>
      <c r="AH2" s="49" t="s">
        <v>1233</v>
      </c>
      <c r="AI2" s="49" t="s">
        <v>1234</v>
      </c>
      <c r="AJ2" s="49" t="s">
        <v>1235</v>
      </c>
      <c r="AK2" s="49" t="s">
        <v>1236</v>
      </c>
      <c r="AL2" s="49" t="s">
        <v>1237</v>
      </c>
      <c r="AM2" s="170" t="s">
        <v>1252</v>
      </c>
      <c r="AN2" s="170" t="s">
        <v>1253</v>
      </c>
      <c r="AO2" s="170" t="s">
        <v>1254</v>
      </c>
      <c r="AP2" s="170" t="s">
        <v>1255</v>
      </c>
      <c r="AQ2" s="170" t="s">
        <v>1256</v>
      </c>
      <c r="AR2" s="170" t="s">
        <v>1257</v>
      </c>
      <c r="AS2" s="170" t="s">
        <v>1258</v>
      </c>
      <c r="AT2" s="170" t="s">
        <v>1259</v>
      </c>
      <c r="AU2" s="170" t="s">
        <v>1260</v>
      </c>
      <c r="AV2" s="170" t="s">
        <v>1261</v>
      </c>
      <c r="AW2" s="170" t="s">
        <v>1262</v>
      </c>
      <c r="AX2" s="170" t="s">
        <v>1263</v>
      </c>
      <c r="AY2" s="170" t="s">
        <v>1264</v>
      </c>
      <c r="AZ2" s="170" t="s">
        <v>1265</v>
      </c>
      <c r="BA2" s="170" t="s">
        <v>1266</v>
      </c>
      <c r="BB2" s="170" t="s">
        <v>1267</v>
      </c>
      <c r="BC2" s="170" t="s">
        <v>1268</v>
      </c>
      <c r="BD2" s="170" t="s">
        <v>1269</v>
      </c>
      <c r="BE2" s="110" t="s">
        <v>1238</v>
      </c>
      <c r="BF2" s="110" t="s">
        <v>1239</v>
      </c>
      <c r="BG2" s="110" t="s">
        <v>1240</v>
      </c>
      <c r="BH2" s="110" t="s">
        <v>1241</v>
      </c>
      <c r="BI2" s="110" t="s">
        <v>1242</v>
      </c>
      <c r="BJ2" s="110" t="s">
        <v>1243</v>
      </c>
      <c r="BK2" s="110" t="s">
        <v>1244</v>
      </c>
      <c r="BL2" s="110" t="s">
        <v>1245</v>
      </c>
    </row>
    <row r="3" spans="1:64">
      <c r="A3" s="112">
        <v>1</v>
      </c>
      <c r="B3" s="113">
        <v>45323</v>
      </c>
      <c r="C3" s="114">
        <f>YEAR(MC_2[[#This Row],[Date]])+IF(MONTH(MC_2[[#This Row],[Date]])&gt;=4,1,0)</f>
        <v>2024</v>
      </c>
      <c r="D3" s="115">
        <f>YEAR(MC_2[[#This Row],[Date]])</f>
        <v>2024</v>
      </c>
      <c r="E3" s="112" t="s">
        <v>340</v>
      </c>
      <c r="F3" s="112" t="s">
        <v>340</v>
      </c>
      <c r="G3" s="116" t="str">
        <f>TEXT(MC_2[[#This Row],[Date]],"mmm-yy")</f>
        <v>Feb-24</v>
      </c>
      <c r="H3" s="116">
        <f>DAY(EOMONTH(MC_2[[#This Row],[Month Year]],0))</f>
        <v>29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45324</v>
      </c>
      <c r="C4" s="114">
        <f>YEAR(MC_2[[#This Row],[Date]])+IF(MONTH(MC_2[[#This Row],[Date]])&gt;=4,1,0)</f>
        <v>2024</v>
      </c>
      <c r="D4" s="115">
        <f>YEAR(MC_2[[#This Row],[Date]])</f>
        <v>2024</v>
      </c>
      <c r="E4" s="112" t="s">
        <v>340</v>
      </c>
      <c r="F4" s="112" t="s">
        <v>340</v>
      </c>
      <c r="G4" s="116" t="str">
        <f>TEXT(MC_2[[#This Row],[Date]],"mmm-yy")</f>
        <v>Feb-24</v>
      </c>
      <c r="H4" s="116">
        <f>DAY(EOMONTH(MC_2[[#This Row],[Month Year]],0))</f>
        <v>29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68" si="0">B4+1</f>
        <v>45325</v>
      </c>
      <c r="C5" s="114">
        <f>YEAR(MC_2[[#This Row],[Date]])+IF(MONTH(MC_2[[#This Row],[Date]])&gt;=4,1,0)</f>
        <v>2024</v>
      </c>
      <c r="D5" s="115">
        <f>YEAR(MC_2[[#This Row],[Date]])</f>
        <v>2024</v>
      </c>
      <c r="E5" s="112" t="s">
        <v>340</v>
      </c>
      <c r="F5" s="112" t="s">
        <v>340</v>
      </c>
      <c r="G5" s="116" t="str">
        <f>TEXT(MC_2[[#This Row],[Date]],"mmm-yy")</f>
        <v>Feb-24</v>
      </c>
      <c r="H5" s="116">
        <f>DAY(EOMONTH(MC_2[[#This Row],[Month Year]],0))</f>
        <v>29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45326</v>
      </c>
      <c r="C6" s="114">
        <f>YEAR(MC_2[[#This Row],[Date]])+IF(MONTH(MC_2[[#This Row],[Date]])&gt;=4,1,0)</f>
        <v>2024</v>
      </c>
      <c r="D6" s="115">
        <f>YEAR(MC_2[[#This Row],[Date]])</f>
        <v>2024</v>
      </c>
      <c r="E6" s="112" t="s">
        <v>340</v>
      </c>
      <c r="F6" s="112" t="s">
        <v>340</v>
      </c>
      <c r="G6" s="116" t="str">
        <f>TEXT(MC_2[[#This Row],[Date]],"mmm-yy")</f>
        <v>Feb-24</v>
      </c>
      <c r="H6" s="116">
        <f>DAY(EOMONTH(MC_2[[#This Row],[Month Year]],0))</f>
        <v>29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45327</v>
      </c>
      <c r="C7" s="114">
        <f>YEAR(MC_2[[#This Row],[Date]])+IF(MONTH(MC_2[[#This Row],[Date]])&gt;=4,1,0)</f>
        <v>2024</v>
      </c>
      <c r="D7" s="115">
        <f>YEAR(MC_2[[#This Row],[Date]])</f>
        <v>2024</v>
      </c>
      <c r="E7" s="112" t="s">
        <v>340</v>
      </c>
      <c r="F7" s="112" t="s">
        <v>340</v>
      </c>
      <c r="G7" s="116" t="str">
        <f>TEXT(MC_2[[#This Row],[Date]],"mmm-yy")</f>
        <v>Feb-24</v>
      </c>
      <c r="H7" s="116">
        <f>DAY(EOMONTH(MC_2[[#This Row],[Month Year]],0))</f>
        <v>29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45328</v>
      </c>
      <c r="C8" s="114">
        <f>YEAR(MC_2[[#This Row],[Date]])+IF(MONTH(MC_2[[#This Row],[Date]])&gt;=4,1,0)</f>
        <v>2024</v>
      </c>
      <c r="D8" s="115">
        <f>YEAR(MC_2[[#This Row],[Date]])</f>
        <v>2024</v>
      </c>
      <c r="E8" s="112" t="s">
        <v>340</v>
      </c>
      <c r="F8" s="112" t="s">
        <v>340</v>
      </c>
      <c r="G8" s="116" t="str">
        <f>TEXT(MC_2[[#This Row],[Date]],"mmm-yy")</f>
        <v>Feb-24</v>
      </c>
      <c r="H8" s="116">
        <f>DAY(EOMONTH(MC_2[[#This Row],[Month Year]],0))</f>
        <v>29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45329</v>
      </c>
      <c r="C9" s="114">
        <f>YEAR(MC_2[[#This Row],[Date]])+IF(MONTH(MC_2[[#This Row],[Date]])&gt;=4,1,0)</f>
        <v>2024</v>
      </c>
      <c r="D9" s="115">
        <f>YEAR(MC_2[[#This Row],[Date]])</f>
        <v>2024</v>
      </c>
      <c r="E9" s="112" t="s">
        <v>340</v>
      </c>
      <c r="F9" s="112" t="s">
        <v>340</v>
      </c>
      <c r="G9" s="116" t="str">
        <f>TEXT(MC_2[[#This Row],[Date]],"mmm-yy")</f>
        <v>Feb-24</v>
      </c>
      <c r="H9" s="116">
        <f>DAY(EOMONTH(MC_2[[#This Row],[Month Year]],0))</f>
        <v>29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45330</v>
      </c>
      <c r="C10" s="114">
        <f>YEAR(MC_2[[#This Row],[Date]])+IF(MONTH(MC_2[[#This Row],[Date]])&gt;=4,1,0)</f>
        <v>2024</v>
      </c>
      <c r="D10" s="115">
        <f>YEAR(MC_2[[#This Row],[Date]])</f>
        <v>2024</v>
      </c>
      <c r="E10" s="112" t="s">
        <v>340</v>
      </c>
      <c r="F10" s="112" t="s">
        <v>340</v>
      </c>
      <c r="G10" s="116" t="str">
        <f>TEXT(MC_2[[#This Row],[Date]],"mmm-yy")</f>
        <v>Feb-24</v>
      </c>
      <c r="H10" s="116">
        <f>DAY(EOMONTH(MC_2[[#This Row],[Month Year]],0))</f>
        <v>29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45331</v>
      </c>
      <c r="C11" s="114">
        <f>YEAR(MC_2[[#This Row],[Date]])+IF(MONTH(MC_2[[#This Row],[Date]])&gt;=4,1,0)</f>
        <v>2024</v>
      </c>
      <c r="D11" s="115">
        <f>YEAR(MC_2[[#This Row],[Date]])</f>
        <v>2024</v>
      </c>
      <c r="E11" s="112" t="s">
        <v>340</v>
      </c>
      <c r="F11" s="112" t="s">
        <v>340</v>
      </c>
      <c r="G11" s="116" t="str">
        <f>TEXT(MC_2[[#This Row],[Date]],"mmm-yy")</f>
        <v>Feb-24</v>
      </c>
      <c r="H11" s="116">
        <f>DAY(EOMONTH(MC_2[[#This Row],[Month Year]],0))</f>
        <v>29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45332</v>
      </c>
      <c r="C12" s="114">
        <f>YEAR(MC_2[[#This Row],[Date]])+IF(MONTH(MC_2[[#This Row],[Date]])&gt;=4,1,0)</f>
        <v>2024</v>
      </c>
      <c r="D12" s="115">
        <f>YEAR(MC_2[[#This Row],[Date]])</f>
        <v>2024</v>
      </c>
      <c r="E12" s="112" t="s">
        <v>340</v>
      </c>
      <c r="F12" s="112" t="s">
        <v>340</v>
      </c>
      <c r="G12" s="116" t="str">
        <f>TEXT(MC_2[[#This Row],[Date]],"mmm-yy")</f>
        <v>Feb-24</v>
      </c>
      <c r="H12" s="116">
        <f>DAY(EOMONTH(MC_2[[#This Row],[Month Year]],0))</f>
        <v>29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45333</v>
      </c>
      <c r="C13" s="114">
        <f>YEAR(MC_2[[#This Row],[Date]])+IF(MONTH(MC_2[[#This Row],[Date]])&gt;=4,1,0)</f>
        <v>2024</v>
      </c>
      <c r="D13" s="115">
        <f>YEAR(MC_2[[#This Row],[Date]])</f>
        <v>2024</v>
      </c>
      <c r="E13" s="112" t="s">
        <v>340</v>
      </c>
      <c r="F13" s="112" t="s">
        <v>340</v>
      </c>
      <c r="G13" s="116" t="str">
        <f>TEXT(MC_2[[#This Row],[Date]],"mmm-yy")</f>
        <v>Feb-24</v>
      </c>
      <c r="H13" s="116">
        <f>DAY(EOMONTH(MC_2[[#This Row],[Month Year]],0))</f>
        <v>29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45334</v>
      </c>
      <c r="C14" s="114">
        <f>YEAR(MC_2[[#This Row],[Date]])+IF(MONTH(MC_2[[#This Row],[Date]])&gt;=4,1,0)</f>
        <v>2024</v>
      </c>
      <c r="D14" s="115">
        <f>YEAR(MC_2[[#This Row],[Date]])</f>
        <v>2024</v>
      </c>
      <c r="E14" s="112" t="s">
        <v>340</v>
      </c>
      <c r="F14" s="112" t="s">
        <v>340</v>
      </c>
      <c r="G14" s="116" t="str">
        <f>TEXT(MC_2[[#This Row],[Date]],"mmm-yy")</f>
        <v>Feb-24</v>
      </c>
      <c r="H14" s="116">
        <f>DAY(EOMONTH(MC_2[[#This Row],[Month Year]],0))</f>
        <v>29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45335</v>
      </c>
      <c r="C15" s="114">
        <f>YEAR(MC_2[[#This Row],[Date]])+IF(MONTH(MC_2[[#This Row],[Date]])&gt;=4,1,0)</f>
        <v>2024</v>
      </c>
      <c r="D15" s="115">
        <f>YEAR(MC_2[[#This Row],[Date]])</f>
        <v>2024</v>
      </c>
      <c r="E15" s="112" t="s">
        <v>340</v>
      </c>
      <c r="F15" s="112" t="s">
        <v>340</v>
      </c>
      <c r="G15" s="116" t="str">
        <f>TEXT(MC_2[[#This Row],[Date]],"mmm-yy")</f>
        <v>Feb-24</v>
      </c>
      <c r="H15" s="116">
        <f>DAY(EOMONTH(MC_2[[#This Row],[Month Year]],0))</f>
        <v>29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45336</v>
      </c>
      <c r="C16" s="114">
        <f>YEAR(MC_2[[#This Row],[Date]])+IF(MONTH(MC_2[[#This Row],[Date]])&gt;=4,1,0)</f>
        <v>2024</v>
      </c>
      <c r="D16" s="115">
        <f>YEAR(MC_2[[#This Row],[Date]])</f>
        <v>2024</v>
      </c>
      <c r="E16" s="112" t="s">
        <v>340</v>
      </c>
      <c r="F16" s="112" t="s">
        <v>340</v>
      </c>
      <c r="G16" s="116" t="str">
        <f>TEXT(MC_2[[#This Row],[Date]],"mmm-yy")</f>
        <v>Feb-24</v>
      </c>
      <c r="H16" s="116">
        <f>DAY(EOMONTH(MC_2[[#This Row],[Month Year]],0))</f>
        <v>29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45337</v>
      </c>
      <c r="C17" s="114">
        <f>YEAR(MC_2[[#This Row],[Date]])+IF(MONTH(MC_2[[#This Row],[Date]])&gt;=4,1,0)</f>
        <v>2024</v>
      </c>
      <c r="D17" s="115">
        <f>YEAR(MC_2[[#This Row],[Date]])</f>
        <v>2024</v>
      </c>
      <c r="E17" s="112" t="s">
        <v>340</v>
      </c>
      <c r="F17" s="112" t="s">
        <v>340</v>
      </c>
      <c r="G17" s="116" t="str">
        <f>TEXT(MC_2[[#This Row],[Date]],"mmm-yy")</f>
        <v>Feb-24</v>
      </c>
      <c r="H17" s="116">
        <f>DAY(EOMONTH(MC_2[[#This Row],[Month Year]],0))</f>
        <v>29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45338</v>
      </c>
      <c r="C18" s="114">
        <f>YEAR(MC_2[[#This Row],[Date]])+IF(MONTH(MC_2[[#This Row],[Date]])&gt;=4,1,0)</f>
        <v>2024</v>
      </c>
      <c r="D18" s="115">
        <f>YEAR(MC_2[[#This Row],[Date]])</f>
        <v>2024</v>
      </c>
      <c r="E18" s="112" t="s">
        <v>340</v>
      </c>
      <c r="F18" s="112" t="s">
        <v>340</v>
      </c>
      <c r="G18" s="116" t="str">
        <f>TEXT(MC_2[[#This Row],[Date]],"mmm-yy")</f>
        <v>Feb-24</v>
      </c>
      <c r="H18" s="116">
        <f>DAY(EOMONTH(MC_2[[#This Row],[Month Year]],0))</f>
        <v>29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45339</v>
      </c>
      <c r="C19" s="114">
        <f>YEAR(MC_2[[#This Row],[Date]])+IF(MONTH(MC_2[[#This Row],[Date]])&gt;=4,1,0)</f>
        <v>2024</v>
      </c>
      <c r="D19" s="115">
        <f>YEAR(MC_2[[#This Row],[Date]])</f>
        <v>2024</v>
      </c>
      <c r="E19" s="112" t="s">
        <v>340</v>
      </c>
      <c r="F19" s="112" t="s">
        <v>340</v>
      </c>
      <c r="G19" s="116" t="str">
        <f>TEXT(MC_2[[#This Row],[Date]],"mmm-yy")</f>
        <v>Feb-24</v>
      </c>
      <c r="H19" s="116">
        <f>DAY(EOMONTH(MC_2[[#This Row],[Month Year]],0))</f>
        <v>29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45340</v>
      </c>
      <c r="C20" s="114">
        <f>YEAR(MC_2[[#This Row],[Date]])+IF(MONTH(MC_2[[#This Row],[Date]])&gt;=4,1,0)</f>
        <v>2024</v>
      </c>
      <c r="D20" s="115">
        <f>YEAR(MC_2[[#This Row],[Date]])</f>
        <v>2024</v>
      </c>
      <c r="E20" s="112" t="s">
        <v>340</v>
      </c>
      <c r="F20" s="112" t="s">
        <v>340</v>
      </c>
      <c r="G20" s="116" t="str">
        <f>TEXT(MC_2[[#This Row],[Date]],"mmm-yy")</f>
        <v>Feb-24</v>
      </c>
      <c r="H20" s="116">
        <f>DAY(EOMONTH(MC_2[[#This Row],[Month Year]],0))</f>
        <v>29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45341</v>
      </c>
      <c r="C21" s="114">
        <f>YEAR(MC_2[[#This Row],[Date]])+IF(MONTH(MC_2[[#This Row],[Date]])&gt;=4,1,0)</f>
        <v>2024</v>
      </c>
      <c r="D21" s="115">
        <f>YEAR(MC_2[[#This Row],[Date]])</f>
        <v>2024</v>
      </c>
      <c r="E21" s="112" t="s">
        <v>340</v>
      </c>
      <c r="F21" s="112" t="s">
        <v>340</v>
      </c>
      <c r="G21" s="116" t="str">
        <f>TEXT(MC_2[[#This Row],[Date]],"mmm-yy")</f>
        <v>Feb-24</v>
      </c>
      <c r="H21" s="116">
        <f>DAY(EOMONTH(MC_2[[#This Row],[Month Year]],0))</f>
        <v>29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45342</v>
      </c>
      <c r="C22" s="114">
        <f>YEAR(MC_2[[#This Row],[Date]])+IF(MONTH(MC_2[[#This Row],[Date]])&gt;=4,1,0)</f>
        <v>2024</v>
      </c>
      <c r="D22" s="115">
        <f>YEAR(MC_2[[#This Row],[Date]])</f>
        <v>2024</v>
      </c>
      <c r="E22" s="112" t="s">
        <v>340</v>
      </c>
      <c r="F22" s="112" t="s">
        <v>340</v>
      </c>
      <c r="G22" s="116" t="str">
        <f>TEXT(MC_2[[#This Row],[Date]],"mmm-yy")</f>
        <v>Feb-24</v>
      </c>
      <c r="H22" s="116">
        <f>DAY(EOMONTH(MC_2[[#This Row],[Month Year]],0))</f>
        <v>29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45343</v>
      </c>
      <c r="C23" s="114">
        <f>YEAR(MC_2[[#This Row],[Date]])+IF(MONTH(MC_2[[#This Row],[Date]])&gt;=4,1,0)</f>
        <v>2024</v>
      </c>
      <c r="D23" s="115">
        <f>YEAR(MC_2[[#This Row],[Date]])</f>
        <v>2024</v>
      </c>
      <c r="E23" s="112" t="s">
        <v>340</v>
      </c>
      <c r="F23" s="112" t="s">
        <v>340</v>
      </c>
      <c r="G23" s="116" t="str">
        <f>TEXT(MC_2[[#This Row],[Date]],"mmm-yy")</f>
        <v>Feb-24</v>
      </c>
      <c r="H23" s="116">
        <f>DAY(EOMONTH(MC_2[[#This Row],[Month Year]],0))</f>
        <v>29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45344</v>
      </c>
      <c r="C24" s="114">
        <f>YEAR(MC_2[[#This Row],[Date]])+IF(MONTH(MC_2[[#This Row],[Date]])&gt;=4,1,0)</f>
        <v>2024</v>
      </c>
      <c r="D24" s="115">
        <f>YEAR(MC_2[[#This Row],[Date]])</f>
        <v>2024</v>
      </c>
      <c r="E24" s="112" t="s">
        <v>340</v>
      </c>
      <c r="F24" s="112" t="s">
        <v>340</v>
      </c>
      <c r="G24" s="116" t="str">
        <f>TEXT(MC_2[[#This Row],[Date]],"mmm-yy")</f>
        <v>Feb-24</v>
      </c>
      <c r="H24" s="116">
        <f>DAY(EOMONTH(MC_2[[#This Row],[Month Year]],0))</f>
        <v>29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45345</v>
      </c>
      <c r="C25" s="114">
        <f>YEAR(MC_2[[#This Row],[Date]])+IF(MONTH(MC_2[[#This Row],[Date]])&gt;=4,1,0)</f>
        <v>2024</v>
      </c>
      <c r="D25" s="115">
        <f>YEAR(MC_2[[#This Row],[Date]])</f>
        <v>2024</v>
      </c>
      <c r="E25" s="112" t="s">
        <v>340</v>
      </c>
      <c r="F25" s="112" t="s">
        <v>340</v>
      </c>
      <c r="G25" s="116" t="str">
        <f>TEXT(MC_2[[#This Row],[Date]],"mmm-yy")</f>
        <v>Feb-24</v>
      </c>
      <c r="H25" s="116">
        <f>DAY(EOMONTH(MC_2[[#This Row],[Month Year]],0))</f>
        <v>29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45346</v>
      </c>
      <c r="C26" s="114">
        <f>YEAR(MC_2[[#This Row],[Date]])+IF(MONTH(MC_2[[#This Row],[Date]])&gt;=4,1,0)</f>
        <v>2024</v>
      </c>
      <c r="D26" s="115">
        <f>YEAR(MC_2[[#This Row],[Date]])</f>
        <v>2024</v>
      </c>
      <c r="E26" s="112" t="s">
        <v>340</v>
      </c>
      <c r="F26" s="112" t="s">
        <v>340</v>
      </c>
      <c r="G26" s="116" t="str">
        <f>TEXT(MC_2[[#This Row],[Date]],"mmm-yy")</f>
        <v>Feb-24</v>
      </c>
      <c r="H26" s="116">
        <f>DAY(EOMONTH(MC_2[[#This Row],[Month Year]],0))</f>
        <v>29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45347</v>
      </c>
      <c r="C27" s="114">
        <f>YEAR(MC_2[[#This Row],[Date]])+IF(MONTH(MC_2[[#This Row],[Date]])&gt;=4,1,0)</f>
        <v>2024</v>
      </c>
      <c r="D27" s="115">
        <f>YEAR(MC_2[[#This Row],[Date]])</f>
        <v>2024</v>
      </c>
      <c r="E27" s="112" t="s">
        <v>340</v>
      </c>
      <c r="F27" s="112" t="s">
        <v>340</v>
      </c>
      <c r="G27" s="116" t="str">
        <f>TEXT(MC_2[[#This Row],[Date]],"mmm-yy")</f>
        <v>Feb-24</v>
      </c>
      <c r="H27" s="116">
        <f>DAY(EOMONTH(MC_2[[#This Row],[Month Year]],0))</f>
        <v>29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45348</v>
      </c>
      <c r="C28" s="114">
        <f>YEAR(MC_2[[#This Row],[Date]])+IF(MONTH(MC_2[[#This Row],[Date]])&gt;=4,1,0)</f>
        <v>2024</v>
      </c>
      <c r="D28" s="115">
        <f>YEAR(MC_2[[#This Row],[Date]])</f>
        <v>2024</v>
      </c>
      <c r="E28" s="112" t="s">
        <v>340</v>
      </c>
      <c r="F28" s="112" t="s">
        <v>340</v>
      </c>
      <c r="G28" s="116" t="str">
        <f>TEXT(MC_2[[#This Row],[Date]],"mmm-yy")</f>
        <v>Feb-24</v>
      </c>
      <c r="H28" s="116">
        <f>DAY(EOMONTH(MC_2[[#This Row],[Month Year]],0))</f>
        <v>29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45349</v>
      </c>
      <c r="C29" s="114">
        <f>YEAR(MC_2[[#This Row],[Date]])+IF(MONTH(MC_2[[#This Row],[Date]])&gt;=4,1,0)</f>
        <v>2024</v>
      </c>
      <c r="D29" s="115">
        <f>YEAR(MC_2[[#This Row],[Date]])</f>
        <v>2024</v>
      </c>
      <c r="E29" s="112" t="s">
        <v>340</v>
      </c>
      <c r="F29" s="112" t="s">
        <v>340</v>
      </c>
      <c r="G29" s="116" t="str">
        <f>TEXT(MC_2[[#This Row],[Date]],"mmm-yy")</f>
        <v>Feb-24</v>
      </c>
      <c r="H29" s="116">
        <f>DAY(EOMONTH(MC_2[[#This Row],[Month Year]],0))</f>
        <v>29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45350</v>
      </c>
      <c r="C30" s="114">
        <f>YEAR(MC_2[[#This Row],[Date]])+IF(MONTH(MC_2[[#This Row],[Date]])&gt;=4,1,0)</f>
        <v>2024</v>
      </c>
      <c r="D30" s="115">
        <f>YEAR(MC_2[[#This Row],[Date]])</f>
        <v>2024</v>
      </c>
      <c r="E30" s="112" t="s">
        <v>340</v>
      </c>
      <c r="F30" s="112" t="s">
        <v>340</v>
      </c>
      <c r="G30" s="116" t="str">
        <f>TEXT(MC_2[[#This Row],[Date]],"mmm-yy")</f>
        <v>Feb-24</v>
      </c>
      <c r="H30" s="116">
        <f>DAY(EOMONTH(MC_2[[#This Row],[Month Year]],0))</f>
        <v>29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45351</v>
      </c>
      <c r="C31" s="114">
        <f>YEAR(MC_2[[#This Row],[Date]])+IF(MONTH(MC_2[[#This Row],[Date]])&gt;=4,1,0)</f>
        <v>2024</v>
      </c>
      <c r="D31" s="115">
        <f>YEAR(MC_2[[#This Row],[Date]])</f>
        <v>2024</v>
      </c>
      <c r="E31" s="112" t="s">
        <v>340</v>
      </c>
      <c r="F31" s="112" t="s">
        <v>340</v>
      </c>
      <c r="G31" s="116" t="str">
        <f>TEXT(MC_2[[#This Row],[Date]],"mmm-yy")</f>
        <v>Feb-24</v>
      </c>
      <c r="H31" s="116">
        <f>DAY(EOMONTH(MC_2[[#This Row],[Month Year]],0))</f>
        <v>29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45352</v>
      </c>
      <c r="C32" s="114">
        <f>YEAR(MC_2[[#This Row],[Date]])+IF(MONTH(MC_2[[#This Row],[Date]])&gt;=4,1,0)</f>
        <v>2024</v>
      </c>
      <c r="D32" s="115">
        <f>YEAR(MC_2[[#This Row],[Date]])</f>
        <v>2024</v>
      </c>
      <c r="E32" s="112" t="s">
        <v>340</v>
      </c>
      <c r="F32" s="112" t="s">
        <v>340</v>
      </c>
      <c r="G32" s="116" t="str">
        <f>TEXT(MC_2[[#This Row],[Date]],"mmm-yy")</f>
        <v>Mar-24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45353</v>
      </c>
      <c r="C33" s="114">
        <f>YEAR(MC_2[[#This Row],[Date]])+IF(MONTH(MC_2[[#This Row],[Date]])&gt;=4,1,0)</f>
        <v>2024</v>
      </c>
      <c r="D33" s="115">
        <f>YEAR(MC_2[[#This Row],[Date]])</f>
        <v>2024</v>
      </c>
      <c r="E33" s="112" t="s">
        <v>340</v>
      </c>
      <c r="F33" s="112" t="s">
        <v>340</v>
      </c>
      <c r="G33" s="116" t="str">
        <f>TEXT(MC_2[[#This Row],[Date]],"mmm-yy")</f>
        <v>Mar-24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  <row r="34" spans="1:64">
      <c r="A34" s="119">
        <v>32</v>
      </c>
      <c r="B34" s="113">
        <f t="shared" si="0"/>
        <v>45354</v>
      </c>
      <c r="C34" s="114">
        <f>YEAR(MC_2[[#This Row],[Date]])+IF(MONTH(MC_2[[#This Row],[Date]])&gt;=4,1,0)</f>
        <v>2024</v>
      </c>
      <c r="D34" s="115">
        <f>YEAR(MC_2[[#This Row],[Date]])</f>
        <v>2024</v>
      </c>
      <c r="E34" s="112" t="s">
        <v>340</v>
      </c>
      <c r="F34" s="112" t="s">
        <v>340</v>
      </c>
      <c r="G34" s="116" t="str">
        <f>TEXT(MC_2[[#This Row],[Date]],"mmm-yy")</f>
        <v>Mar-24</v>
      </c>
      <c r="H34" s="116">
        <f>DAY(EOMONTH(MC_2[[#This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9"/>
      <c r="BE34" s="5">
        <f>SUM(MC_2[[#This Row],[IS1Inv1M1]:[IS9Inv19M2]])</f>
        <v>0</v>
      </c>
      <c r="BF34" s="119"/>
      <c r="BG34" s="119"/>
      <c r="BH34" s="119"/>
      <c r="BI34" s="119"/>
      <c r="BJ34" s="119"/>
      <c r="BK34" s="119"/>
      <c r="BL34" s="119"/>
    </row>
    <row r="35" spans="1:64">
      <c r="A35" s="119">
        <v>33</v>
      </c>
      <c r="B35" s="113">
        <f t="shared" si="0"/>
        <v>45355</v>
      </c>
      <c r="C35" s="114">
        <f>YEAR(MC_2[[#This Row],[Date]])+IF(MONTH(MC_2[[#This Row],[Date]])&gt;=4,1,0)</f>
        <v>2024</v>
      </c>
      <c r="D35" s="115">
        <f>YEAR(MC_2[[#This Row],[Date]])</f>
        <v>2024</v>
      </c>
      <c r="E35" s="112" t="s">
        <v>340</v>
      </c>
      <c r="F35" s="112" t="s">
        <v>340</v>
      </c>
      <c r="G35" s="116" t="str">
        <f>TEXT(MC_2[[#This Row],[Date]],"mmm-yy")</f>
        <v>Mar-24</v>
      </c>
      <c r="H35" s="116">
        <f>DAY(EOMONTH(MC_2[[#This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5">
        <f>SUM(MC_2[[#This Row],[IS1Inv1M1]:[IS9Inv19M2]])</f>
        <v>0</v>
      </c>
      <c r="BF35" s="119"/>
      <c r="BG35" s="119"/>
      <c r="BH35" s="119"/>
      <c r="BI35" s="119"/>
      <c r="BJ35" s="119"/>
      <c r="BK35" s="119"/>
      <c r="BL35" s="119"/>
    </row>
    <row r="36" spans="1:64">
      <c r="A36" s="119">
        <v>34</v>
      </c>
      <c r="B36" s="113">
        <f t="shared" si="0"/>
        <v>45356</v>
      </c>
      <c r="C36" s="114">
        <f>YEAR(MC_2[[#This Row],[Date]])+IF(MONTH(MC_2[[#This Row],[Date]])&gt;=4,1,0)</f>
        <v>2024</v>
      </c>
      <c r="D36" s="115">
        <f>YEAR(MC_2[[#This Row],[Date]])</f>
        <v>2024</v>
      </c>
      <c r="E36" s="112" t="s">
        <v>340</v>
      </c>
      <c r="F36" s="112" t="s">
        <v>340</v>
      </c>
      <c r="G36" s="116" t="str">
        <f>TEXT(MC_2[[#This Row],[Date]],"mmm-yy")</f>
        <v>Mar-24</v>
      </c>
      <c r="H36" s="116">
        <f>DAY(EOMONTH(MC_2[[#This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119"/>
      <c r="BE36" s="5">
        <f>SUM(MC_2[[#This Row],[IS1Inv1M1]:[IS9Inv19M2]])</f>
        <v>0</v>
      </c>
      <c r="BF36" s="119"/>
      <c r="BG36" s="119"/>
      <c r="BH36" s="119"/>
      <c r="BI36" s="119"/>
      <c r="BJ36" s="119"/>
      <c r="BK36" s="119"/>
      <c r="BL36" s="119"/>
    </row>
    <row r="37" spans="1:64">
      <c r="A37" s="119">
        <v>35</v>
      </c>
      <c r="B37" s="113">
        <f t="shared" si="0"/>
        <v>45357</v>
      </c>
      <c r="C37" s="114">
        <f>YEAR(MC_2[[#This Row],[Date]])+IF(MONTH(MC_2[[#This Row],[Date]])&gt;=4,1,0)</f>
        <v>2024</v>
      </c>
      <c r="D37" s="115">
        <f>YEAR(MC_2[[#This Row],[Date]])</f>
        <v>2024</v>
      </c>
      <c r="E37" s="112" t="s">
        <v>340</v>
      </c>
      <c r="F37" s="112" t="s">
        <v>340</v>
      </c>
      <c r="G37" s="116" t="str">
        <f>TEXT(MC_2[[#This Row],[Date]],"mmm-yy")</f>
        <v>Mar-24</v>
      </c>
      <c r="H37" s="116">
        <f>DAY(EOMONTH(MC_2[[#This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112"/>
      <c r="BE37" s="5">
        <f>SUM(MC_2[[#This Row],[IS1Inv1M1]:[IS9Inv19M2]])</f>
        <v>0</v>
      </c>
      <c r="BF37" s="119"/>
      <c r="BG37" s="119"/>
      <c r="BH37" s="119"/>
      <c r="BI37" s="119"/>
      <c r="BJ37" s="119"/>
      <c r="BK37" s="119"/>
      <c r="BL37" s="119"/>
    </row>
    <row r="38" spans="1:64">
      <c r="A38" s="119">
        <v>36</v>
      </c>
      <c r="B38" s="113">
        <f t="shared" si="0"/>
        <v>45358</v>
      </c>
      <c r="C38" s="114">
        <f>YEAR(MC_2[[#This Row],[Date]])+IF(MONTH(MC_2[[#This Row],[Date]])&gt;=4,1,0)</f>
        <v>2024</v>
      </c>
      <c r="D38" s="115">
        <f>YEAR(MC_2[[#This Row],[Date]])</f>
        <v>2024</v>
      </c>
      <c r="E38" s="112" t="s">
        <v>340</v>
      </c>
      <c r="F38" s="112" t="s">
        <v>340</v>
      </c>
      <c r="G38" s="116" t="str">
        <f>TEXT(MC_2[[#This Row],[Date]],"mmm-yy")</f>
        <v>Mar-24</v>
      </c>
      <c r="H38" s="116">
        <f>DAY(EOMONTH(MC_2[[#This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9"/>
      <c r="BE38" s="5">
        <f>SUM(MC_2[[#This Row],[IS1Inv1M1]:[IS9Inv19M2]])</f>
        <v>0</v>
      </c>
      <c r="BF38" s="120"/>
      <c r="BG38" s="120"/>
      <c r="BH38" s="119"/>
      <c r="BI38" s="120"/>
      <c r="BJ38" s="119"/>
      <c r="BK38" s="119"/>
      <c r="BL38" s="119"/>
    </row>
    <row r="39" spans="1:64">
      <c r="A39" s="119">
        <v>37</v>
      </c>
      <c r="B39" s="113">
        <f t="shared" si="0"/>
        <v>45359</v>
      </c>
      <c r="C39" s="114">
        <f>YEAR(MC_2[[#This Row],[Date]])+IF(MONTH(MC_2[[#This Row],[Date]])&gt;=4,1,0)</f>
        <v>2024</v>
      </c>
      <c r="D39" s="115">
        <f>YEAR(MC_2[[#This Row],[Date]])</f>
        <v>2024</v>
      </c>
      <c r="E39" s="112" t="s">
        <v>340</v>
      </c>
      <c r="F39" s="112" t="s">
        <v>340</v>
      </c>
      <c r="G39" s="116" t="str">
        <f>TEXT(MC_2[[#This Row],[Date]],"mmm-yy")</f>
        <v>Mar-24</v>
      </c>
      <c r="H39" s="116">
        <f>DAY(EOMONTH(MC_2[[#This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5">
        <f>SUM(MC_2[[#This Row],[IS1Inv1M1]:[IS9Inv19M2]])</f>
        <v>0</v>
      </c>
      <c r="BF39" s="120"/>
      <c r="BG39" s="119"/>
      <c r="BH39" s="119"/>
      <c r="BI39" s="120"/>
      <c r="BJ39" s="119"/>
      <c r="BK39" s="119"/>
      <c r="BL39" s="119"/>
    </row>
    <row r="40" spans="1:64">
      <c r="A40" s="119">
        <v>38</v>
      </c>
      <c r="B40" s="113">
        <f t="shared" si="0"/>
        <v>45360</v>
      </c>
      <c r="C40" s="114">
        <f>YEAR(MC_2[[#This Row],[Date]])+IF(MONTH(MC_2[[#This Row],[Date]])&gt;=4,1,0)</f>
        <v>2024</v>
      </c>
      <c r="D40" s="115">
        <f>YEAR(MC_2[[#This Row],[Date]])</f>
        <v>2024</v>
      </c>
      <c r="E40" s="112" t="s">
        <v>340</v>
      </c>
      <c r="F40" s="112" t="s">
        <v>340</v>
      </c>
      <c r="G40" s="116" t="str">
        <f>TEXT(MC_2[[#This Row],[Date]],"mmm-yy")</f>
        <v>Mar-24</v>
      </c>
      <c r="H40" s="116">
        <f>DAY(EOMONTH(MC_2[[#This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9"/>
      <c r="BE40" s="5">
        <f>SUM(MC_2[[#This Row],[IS1Inv1M1]:[IS9Inv19M2]])</f>
        <v>0</v>
      </c>
      <c r="BF40" s="120"/>
      <c r="BG40" s="120"/>
      <c r="BH40" s="119"/>
      <c r="BI40" s="119"/>
      <c r="BJ40" s="119"/>
      <c r="BK40" s="119"/>
      <c r="BL40" s="119"/>
    </row>
    <row r="41" spans="1:64">
      <c r="A41" s="119">
        <v>39</v>
      </c>
      <c r="B41" s="113">
        <f t="shared" si="0"/>
        <v>45361</v>
      </c>
      <c r="C41" s="114">
        <f>YEAR(MC_2[[#This Row],[Date]])+IF(MONTH(MC_2[[#This Row],[Date]])&gt;=4,1,0)</f>
        <v>2024</v>
      </c>
      <c r="D41" s="115">
        <f>YEAR(MC_2[[#This Row],[Date]])</f>
        <v>2024</v>
      </c>
      <c r="E41" s="112" t="s">
        <v>340</v>
      </c>
      <c r="F41" s="112" t="s">
        <v>340</v>
      </c>
      <c r="G41" s="116" t="str">
        <f>TEXT(MC_2[[#This Row],[Date]],"mmm-yy")</f>
        <v>Mar-24</v>
      </c>
      <c r="H41" s="116">
        <f>DAY(EOMONTH(MC_2[[#This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5">
        <f>SUM(MC_2[[#This Row],[IS1Inv1M1]:[IS9Inv19M2]])</f>
        <v>0</v>
      </c>
      <c r="BF41" s="119"/>
      <c r="BG41" s="119"/>
      <c r="BH41" s="119"/>
      <c r="BI41" s="119"/>
      <c r="BJ41" s="119"/>
      <c r="BK41" s="119"/>
      <c r="BL41" s="119"/>
    </row>
    <row r="42" spans="1:64">
      <c r="A42" s="119">
        <v>40</v>
      </c>
      <c r="B42" s="113">
        <f t="shared" si="0"/>
        <v>45362</v>
      </c>
      <c r="C42" s="114">
        <f>YEAR(MC_2[[#This Row],[Date]])+IF(MONTH(MC_2[[#This Row],[Date]])&gt;=4,1,0)</f>
        <v>2024</v>
      </c>
      <c r="D42" s="115">
        <f>YEAR(MC_2[[#This Row],[Date]])</f>
        <v>2024</v>
      </c>
      <c r="E42" s="112" t="s">
        <v>340</v>
      </c>
      <c r="F42" s="112" t="s">
        <v>340</v>
      </c>
      <c r="G42" s="116" t="str">
        <f>TEXT(MC_2[[#This Row],[Date]],"mmm-yy")</f>
        <v>Mar-24</v>
      </c>
      <c r="H42" s="116">
        <f>DAY(EOMONTH(MC_2[[#This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9"/>
      <c r="BE42" s="5">
        <f>SUM(MC_2[[#This Row],[IS1Inv1M1]:[IS9Inv19M2]])</f>
        <v>0</v>
      </c>
      <c r="BF42" s="120"/>
      <c r="BG42" s="120"/>
      <c r="BH42" s="119"/>
      <c r="BI42" s="119"/>
      <c r="BJ42" s="119"/>
      <c r="BK42" s="119"/>
      <c r="BL42" s="119"/>
    </row>
    <row r="43" spans="1:64">
      <c r="A43" s="119">
        <v>41</v>
      </c>
      <c r="B43" s="113">
        <f t="shared" si="0"/>
        <v>45363</v>
      </c>
      <c r="C43" s="114">
        <f>YEAR(MC_2[[#This Row],[Date]])+IF(MONTH(MC_2[[#This Row],[Date]])&gt;=4,1,0)</f>
        <v>2024</v>
      </c>
      <c r="D43" s="115">
        <f>YEAR(MC_2[[#This Row],[Date]])</f>
        <v>2024</v>
      </c>
      <c r="E43" s="112" t="s">
        <v>340</v>
      </c>
      <c r="F43" s="112" t="s">
        <v>340</v>
      </c>
      <c r="G43" s="116" t="str">
        <f>TEXT(MC_2[[#This Row],[Date]],"mmm-yy")</f>
        <v>Mar-24</v>
      </c>
      <c r="H43" s="116">
        <f>DAY(EOMONTH(MC_2[[#This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  <c r="AU43" s="119"/>
      <c r="AV43" s="119"/>
      <c r="AW43" s="119"/>
      <c r="AX43" s="119"/>
      <c r="AY43" s="119"/>
      <c r="AZ43" s="119"/>
      <c r="BA43" s="119"/>
      <c r="BB43" s="119"/>
      <c r="BC43" s="119"/>
      <c r="BD43" s="119"/>
      <c r="BE43" s="5">
        <f>SUM(MC_2[[#This Row],[IS1Inv1M1]:[IS9Inv19M2]])</f>
        <v>0</v>
      </c>
      <c r="BF43" s="119"/>
      <c r="BG43" s="119"/>
      <c r="BH43" s="119"/>
      <c r="BI43" s="119"/>
      <c r="BJ43" s="119"/>
      <c r="BK43" s="119"/>
      <c r="BL43" s="119"/>
    </row>
    <row r="44" spans="1:64">
      <c r="A44" s="119">
        <v>42</v>
      </c>
      <c r="B44" s="113">
        <f t="shared" si="0"/>
        <v>45364</v>
      </c>
      <c r="C44" s="114">
        <f>YEAR(MC_2[[#This Row],[Date]])+IF(MONTH(MC_2[[#This Row],[Date]])&gt;=4,1,0)</f>
        <v>2024</v>
      </c>
      <c r="D44" s="115">
        <f>YEAR(MC_2[[#This Row],[Date]])</f>
        <v>2024</v>
      </c>
      <c r="E44" s="112" t="s">
        <v>340</v>
      </c>
      <c r="F44" s="112" t="s">
        <v>340</v>
      </c>
      <c r="G44" s="116" t="str">
        <f>TEXT(MC_2[[#This Row],[Date]],"mmm-yy")</f>
        <v>Mar-24</v>
      </c>
      <c r="H44" s="116">
        <f>DAY(EOMONTH(MC_2[[#This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19"/>
      <c r="BD44" s="119"/>
      <c r="BE44" s="5">
        <f>SUM(MC_2[[#This Row],[IS1Inv1M1]:[IS9Inv19M2]])</f>
        <v>0</v>
      </c>
      <c r="BF44" s="119"/>
      <c r="BG44" s="119"/>
      <c r="BH44" s="119"/>
      <c r="BI44" s="119"/>
      <c r="BJ44" s="119"/>
      <c r="BK44" s="119"/>
      <c r="BL44" s="119"/>
    </row>
    <row r="45" spans="1:64">
      <c r="A45" s="119">
        <v>43</v>
      </c>
      <c r="B45" s="113">
        <f t="shared" si="0"/>
        <v>45365</v>
      </c>
      <c r="C45" s="114">
        <f>YEAR(MC_2[[#This Row],[Date]])+IF(MONTH(MC_2[[#This Row],[Date]])&gt;=4,1,0)</f>
        <v>2024</v>
      </c>
      <c r="D45" s="115">
        <f>YEAR(MC_2[[#This Row],[Date]])</f>
        <v>2024</v>
      </c>
      <c r="E45" s="112" t="s">
        <v>340</v>
      </c>
      <c r="F45" s="112" t="s">
        <v>340</v>
      </c>
      <c r="G45" s="116" t="str">
        <f>TEXT(MC_2[[#This Row],[Date]],"mmm-yy")</f>
        <v>Mar-24</v>
      </c>
      <c r="H45" s="116">
        <f>DAY(EOMONTH(MC_2[[#This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  <c r="AU45" s="119"/>
      <c r="AV45" s="119"/>
      <c r="AW45" s="119"/>
      <c r="AX45" s="119"/>
      <c r="AY45" s="119"/>
      <c r="AZ45" s="119"/>
      <c r="BA45" s="119"/>
      <c r="BB45" s="119"/>
      <c r="BC45" s="119"/>
      <c r="BD45" s="119"/>
      <c r="BE45" s="5">
        <f>SUM(MC_2[[#This Row],[IS1Inv1M1]:[IS9Inv19M2]])</f>
        <v>0</v>
      </c>
      <c r="BF45" s="120"/>
      <c r="BG45" s="120"/>
      <c r="BH45" s="119"/>
      <c r="BI45" s="119"/>
      <c r="BJ45" s="119"/>
      <c r="BK45" s="119"/>
      <c r="BL45" s="119"/>
    </row>
    <row r="46" spans="1:64">
      <c r="A46" s="119">
        <v>44</v>
      </c>
      <c r="B46" s="113">
        <f t="shared" si="0"/>
        <v>45366</v>
      </c>
      <c r="C46" s="114">
        <f>YEAR(MC_2[[#This Row],[Date]])+IF(MONTH(MC_2[[#This Row],[Date]])&gt;=4,1,0)</f>
        <v>2024</v>
      </c>
      <c r="D46" s="115">
        <f>YEAR(MC_2[[#This Row],[Date]])</f>
        <v>2024</v>
      </c>
      <c r="E46" s="112" t="s">
        <v>340</v>
      </c>
      <c r="F46" s="112" t="s">
        <v>340</v>
      </c>
      <c r="G46" s="116" t="str">
        <f>TEXT(MC_2[[#This Row],[Date]],"mmm-yy")</f>
        <v>Mar-24</v>
      </c>
      <c r="H46" s="116">
        <f>DAY(EOMONTH(MC_2[[#This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19"/>
      <c r="BD46" s="119"/>
      <c r="BE46" s="5">
        <f>SUM(MC_2[[#This Row],[IS1Inv1M1]:[IS9Inv19M2]])</f>
        <v>0</v>
      </c>
      <c r="BF46" s="119"/>
      <c r="BG46" s="119"/>
      <c r="BH46" s="119"/>
      <c r="BI46" s="119"/>
      <c r="BJ46" s="119"/>
      <c r="BK46" s="119"/>
      <c r="BL46" s="119"/>
    </row>
    <row r="47" spans="1:64">
      <c r="A47" s="119">
        <v>45</v>
      </c>
      <c r="B47" s="113">
        <f t="shared" si="0"/>
        <v>45367</v>
      </c>
      <c r="C47" s="114">
        <f>YEAR(MC_2[[#This Row],[Date]])+IF(MONTH(MC_2[[#This Row],[Date]])&gt;=4,1,0)</f>
        <v>2024</v>
      </c>
      <c r="D47" s="115">
        <f>YEAR(MC_2[[#This Row],[Date]])</f>
        <v>2024</v>
      </c>
      <c r="E47" s="112" t="s">
        <v>340</v>
      </c>
      <c r="F47" s="112" t="s">
        <v>340</v>
      </c>
      <c r="G47" s="116" t="str">
        <f>TEXT(MC_2[[#This Row],[Date]],"mmm-yy")</f>
        <v>Mar-24</v>
      </c>
      <c r="H47" s="116">
        <f>DAY(EOMONTH(MC_2[[#This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5">
        <f>SUM(MC_2[[#This Row],[IS1Inv1M1]:[IS9Inv19M2]])</f>
        <v>0</v>
      </c>
      <c r="BF47" s="119"/>
      <c r="BG47" s="119"/>
      <c r="BH47" s="119"/>
      <c r="BI47" s="119"/>
      <c r="BJ47" s="119"/>
      <c r="BK47" s="119"/>
      <c r="BL47" s="119"/>
    </row>
    <row r="48" spans="1:64">
      <c r="A48" s="119">
        <v>46</v>
      </c>
      <c r="B48" s="113">
        <f t="shared" si="0"/>
        <v>45368</v>
      </c>
      <c r="C48" s="114">
        <f>YEAR(MC_2[[#This Row],[Date]])+IF(MONTH(MC_2[[#This Row],[Date]])&gt;=4,1,0)</f>
        <v>2024</v>
      </c>
      <c r="D48" s="115">
        <f>YEAR(MC_2[[#This Row],[Date]])</f>
        <v>2024</v>
      </c>
      <c r="E48" s="112" t="s">
        <v>340</v>
      </c>
      <c r="F48" s="112" t="s">
        <v>340</v>
      </c>
      <c r="G48" s="116" t="str">
        <f>TEXT(MC_2[[#This Row],[Date]],"mmm-yy")</f>
        <v>Mar-24</v>
      </c>
      <c r="H48" s="116">
        <f>DAY(EOMONTH(MC_2[[#This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5">
        <f>SUM(MC_2[[#This Row],[IS1Inv1M1]:[IS9Inv19M2]])</f>
        <v>0</v>
      </c>
      <c r="BF48" s="119"/>
      <c r="BG48" s="119"/>
      <c r="BH48" s="119"/>
      <c r="BI48" s="119"/>
      <c r="BJ48" s="119"/>
      <c r="BK48" s="119"/>
      <c r="BL48" s="119"/>
    </row>
    <row r="49" spans="1:64">
      <c r="A49" s="119">
        <v>47</v>
      </c>
      <c r="B49" s="113">
        <f t="shared" si="0"/>
        <v>45369</v>
      </c>
      <c r="C49" s="114">
        <f>YEAR(MC_2[[#This Row],[Date]])+IF(MONTH(MC_2[[#This Row],[Date]])&gt;=4,1,0)</f>
        <v>2024</v>
      </c>
      <c r="D49" s="115">
        <f>YEAR(MC_2[[#This Row],[Date]])</f>
        <v>2024</v>
      </c>
      <c r="E49" s="112" t="s">
        <v>340</v>
      </c>
      <c r="F49" s="112" t="s">
        <v>340</v>
      </c>
      <c r="G49" s="116" t="str">
        <f>TEXT(MC_2[[#This Row],[Date]],"mmm-yy")</f>
        <v>Mar-24</v>
      </c>
      <c r="H49" s="116">
        <f>DAY(EOMONTH(MC_2[[#This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5">
        <f>SUM(MC_2[[#This Row],[IS1Inv1M1]:[IS9Inv19M2]])</f>
        <v>0</v>
      </c>
      <c r="BF49" s="119"/>
      <c r="BG49" s="119"/>
      <c r="BH49" s="119"/>
      <c r="BI49" s="119"/>
      <c r="BJ49" s="119"/>
      <c r="BK49" s="119"/>
      <c r="BL49" s="119"/>
    </row>
    <row r="50" spans="1:64">
      <c r="A50" s="119">
        <v>48</v>
      </c>
      <c r="B50" s="113">
        <f t="shared" si="0"/>
        <v>45370</v>
      </c>
      <c r="C50" s="114">
        <f>YEAR(MC_2[[#This Row],[Date]])+IF(MONTH(MC_2[[#This Row],[Date]])&gt;=4,1,0)</f>
        <v>2024</v>
      </c>
      <c r="D50" s="115">
        <f>YEAR(MC_2[[#This Row],[Date]])</f>
        <v>2024</v>
      </c>
      <c r="E50" s="112" t="s">
        <v>340</v>
      </c>
      <c r="F50" s="112" t="s">
        <v>340</v>
      </c>
      <c r="G50" s="116" t="str">
        <f>TEXT(MC_2[[#This Row],[Date]],"mmm-yy")</f>
        <v>Mar-24</v>
      </c>
      <c r="H50" s="116">
        <f>DAY(EOMONTH(MC_2[[#This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5">
        <f>SUM(MC_2[[#This Row],[IS1Inv1M1]:[IS9Inv19M2]])</f>
        <v>0</v>
      </c>
      <c r="BF50" s="119"/>
      <c r="BG50" s="119"/>
      <c r="BH50" s="119"/>
      <c r="BI50" s="119"/>
      <c r="BJ50" s="119"/>
      <c r="BK50" s="119"/>
      <c r="BL50" s="119"/>
    </row>
    <row r="51" spans="1:64">
      <c r="A51" s="119">
        <v>49</v>
      </c>
      <c r="B51" s="113">
        <f t="shared" si="0"/>
        <v>45371</v>
      </c>
      <c r="C51" s="114">
        <f>YEAR(MC_2[[#This Row],[Date]])+IF(MONTH(MC_2[[#This Row],[Date]])&gt;=4,1,0)</f>
        <v>2024</v>
      </c>
      <c r="D51" s="115">
        <f>YEAR(MC_2[[#This Row],[Date]])</f>
        <v>2024</v>
      </c>
      <c r="E51" s="112" t="s">
        <v>340</v>
      </c>
      <c r="F51" s="112" t="s">
        <v>340</v>
      </c>
      <c r="G51" s="116" t="str">
        <f>TEXT(MC_2[[#This Row],[Date]],"mmm-yy")</f>
        <v>Mar-24</v>
      </c>
      <c r="H51" s="116">
        <f>DAY(EOMONTH(MC_2[[#This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5">
        <f>SUM(MC_2[[#This Row],[IS1Inv1M1]:[IS9Inv19M2]])</f>
        <v>0</v>
      </c>
      <c r="BF51" s="119"/>
      <c r="BG51" s="119"/>
      <c r="BH51" s="119"/>
      <c r="BI51" s="119"/>
      <c r="BJ51" s="119"/>
      <c r="BK51" s="119"/>
      <c r="BL51" s="119"/>
    </row>
    <row r="52" spans="1:64">
      <c r="A52" s="119">
        <v>50</v>
      </c>
      <c r="B52" s="113">
        <f t="shared" si="0"/>
        <v>45372</v>
      </c>
      <c r="C52" s="114">
        <f>YEAR(MC_2[[#This Row],[Date]])+IF(MONTH(MC_2[[#This Row],[Date]])&gt;=4,1,0)</f>
        <v>2024</v>
      </c>
      <c r="D52" s="115">
        <f>YEAR(MC_2[[#This Row],[Date]])</f>
        <v>2024</v>
      </c>
      <c r="E52" s="112" t="s">
        <v>340</v>
      </c>
      <c r="F52" s="112" t="s">
        <v>340</v>
      </c>
      <c r="G52" s="116" t="str">
        <f>TEXT(MC_2[[#This Row],[Date]],"mmm-yy")</f>
        <v>Mar-24</v>
      </c>
      <c r="H52" s="116">
        <f>DAY(EOMONTH(MC_2[[#This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9"/>
      <c r="BC52" s="119"/>
      <c r="BD52" s="119"/>
      <c r="BE52" s="5">
        <f>SUM(MC_2[[#This Row],[IS1Inv1M1]:[IS9Inv19M2]])</f>
        <v>0</v>
      </c>
      <c r="BF52" s="119"/>
      <c r="BG52" s="119"/>
      <c r="BH52" s="119"/>
      <c r="BI52" s="119"/>
      <c r="BJ52" s="119"/>
      <c r="BK52" s="119"/>
      <c r="BL52" s="119"/>
    </row>
    <row r="53" spans="1:64">
      <c r="A53" s="119">
        <v>51</v>
      </c>
      <c r="B53" s="113">
        <f t="shared" si="0"/>
        <v>45373</v>
      </c>
      <c r="C53" s="114">
        <f>YEAR(MC_2[[#This Row],[Date]])+IF(MONTH(MC_2[[#This Row],[Date]])&gt;=4,1,0)</f>
        <v>2024</v>
      </c>
      <c r="D53" s="115">
        <f>YEAR(MC_2[[#This Row],[Date]])</f>
        <v>2024</v>
      </c>
      <c r="E53" s="112" t="s">
        <v>340</v>
      </c>
      <c r="F53" s="112" t="s">
        <v>340</v>
      </c>
      <c r="G53" s="116" t="str">
        <f>TEXT(MC_2[[#This Row],[Date]],"mmm-yy")</f>
        <v>Mar-24</v>
      </c>
      <c r="H53" s="116">
        <f>DAY(EOMONTH(MC_2[[#This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5">
        <f>SUM(MC_2[[#This Row],[IS1Inv1M1]:[IS9Inv19M2]])</f>
        <v>0</v>
      </c>
      <c r="BF53" s="119"/>
      <c r="BG53" s="119"/>
      <c r="BH53" s="119"/>
      <c r="BI53" s="119"/>
      <c r="BJ53" s="119"/>
      <c r="BK53" s="119"/>
      <c r="BL53" s="119"/>
    </row>
    <row r="54" spans="1:64">
      <c r="A54" s="119">
        <v>52</v>
      </c>
      <c r="B54" s="113">
        <f t="shared" si="0"/>
        <v>45374</v>
      </c>
      <c r="C54" s="114">
        <f>YEAR(MC_2[[#This Row],[Date]])+IF(MONTH(MC_2[[#This Row],[Date]])&gt;=4,1,0)</f>
        <v>2024</v>
      </c>
      <c r="D54" s="115">
        <f>YEAR(MC_2[[#This Row],[Date]])</f>
        <v>2024</v>
      </c>
      <c r="E54" s="112" t="s">
        <v>340</v>
      </c>
      <c r="F54" s="112" t="s">
        <v>340</v>
      </c>
      <c r="G54" s="116" t="str">
        <f>TEXT(MC_2[[#This Row],[Date]],"mmm-yy")</f>
        <v>Mar-24</v>
      </c>
      <c r="H54" s="116">
        <f>DAY(EOMONTH(MC_2[[#This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  <c r="AW54" s="112"/>
      <c r="AX54" s="112"/>
      <c r="AY54" s="112"/>
      <c r="AZ54" s="112"/>
      <c r="BA54" s="112"/>
      <c r="BB54" s="112"/>
      <c r="BC54" s="112"/>
      <c r="BD54" s="112"/>
      <c r="BE54" s="5">
        <f>SUM(MC_2[[#This Row],[IS1Inv1M1]:[IS9Inv19M2]])</f>
        <v>0</v>
      </c>
      <c r="BF54" s="119"/>
      <c r="BG54" s="119"/>
      <c r="BH54" s="119"/>
      <c r="BI54" s="119"/>
      <c r="BJ54" s="119"/>
      <c r="BK54" s="119"/>
      <c r="BL54" s="119"/>
    </row>
    <row r="55" spans="1:64">
      <c r="A55" s="119">
        <v>53</v>
      </c>
      <c r="B55" s="113">
        <f t="shared" si="0"/>
        <v>45375</v>
      </c>
      <c r="C55" s="114">
        <f>YEAR(MC_2[[#This Row],[Date]])+IF(MONTH(MC_2[[#This Row],[Date]])&gt;=4,1,0)</f>
        <v>2024</v>
      </c>
      <c r="D55" s="115">
        <f>YEAR(MC_2[[#This Row],[Date]])</f>
        <v>2024</v>
      </c>
      <c r="E55" s="112" t="s">
        <v>340</v>
      </c>
      <c r="F55" s="112" t="s">
        <v>340</v>
      </c>
      <c r="G55" s="116" t="str">
        <f>TEXT(MC_2[[#This Row],[Date]],"mmm-yy")</f>
        <v>Mar-24</v>
      </c>
      <c r="H55" s="116">
        <f>DAY(EOMONTH(MC_2[[#This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5">
        <f>SUM(MC_2[[#This Row],[IS1Inv1M1]:[IS9Inv19M2]])</f>
        <v>0</v>
      </c>
      <c r="BF55" s="120"/>
      <c r="BG55" s="119"/>
      <c r="BH55" s="119"/>
      <c r="BI55" s="120"/>
      <c r="BJ55" s="119"/>
      <c r="BK55" s="119"/>
      <c r="BL55" s="119"/>
    </row>
    <row r="56" spans="1:64">
      <c r="A56" s="119">
        <v>54</v>
      </c>
      <c r="B56" s="113">
        <f t="shared" si="0"/>
        <v>45376</v>
      </c>
      <c r="C56" s="114">
        <f>YEAR(MC_2[[#This Row],[Date]])+IF(MONTH(MC_2[[#This Row],[Date]])&gt;=4,1,0)</f>
        <v>2024</v>
      </c>
      <c r="D56" s="115">
        <f>YEAR(MC_2[[#This Row],[Date]])</f>
        <v>2024</v>
      </c>
      <c r="E56" s="112" t="s">
        <v>340</v>
      </c>
      <c r="F56" s="112" t="s">
        <v>340</v>
      </c>
      <c r="G56" s="116" t="str">
        <f>TEXT(MC_2[[#This Row],[Date]],"mmm-yy")</f>
        <v>Mar-24</v>
      </c>
      <c r="H56" s="116">
        <f>DAY(EOMONTH(MC_2[[#This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5">
        <f>SUM(MC_2[[#This Row],[IS1Inv1M1]:[IS9Inv19M2]])</f>
        <v>0</v>
      </c>
      <c r="BF56" s="120"/>
      <c r="BG56" s="119"/>
      <c r="BH56" s="119"/>
      <c r="BI56" s="120"/>
      <c r="BJ56" s="119"/>
      <c r="BK56" s="119"/>
      <c r="BL56" s="119"/>
    </row>
    <row r="57" spans="1:64">
      <c r="A57" s="119">
        <v>55</v>
      </c>
      <c r="B57" s="113">
        <f t="shared" si="0"/>
        <v>45377</v>
      </c>
      <c r="C57" s="114">
        <f>YEAR(MC_2[[#This Row],[Date]])+IF(MONTH(MC_2[[#This Row],[Date]])&gt;=4,1,0)</f>
        <v>2024</v>
      </c>
      <c r="D57" s="115">
        <f>YEAR(MC_2[[#This Row],[Date]])</f>
        <v>2024</v>
      </c>
      <c r="E57" s="112" t="s">
        <v>340</v>
      </c>
      <c r="F57" s="112" t="s">
        <v>340</v>
      </c>
      <c r="G57" s="116" t="str">
        <f>TEXT(MC_2[[#This Row],[Date]],"mmm-yy")</f>
        <v>Mar-24</v>
      </c>
      <c r="H57" s="116">
        <f>DAY(EOMONTH(MC_2[[#This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5">
        <f>SUM(MC_2[[#This Row],[IS1Inv1M1]:[IS9Inv19M2]])</f>
        <v>0</v>
      </c>
      <c r="BF57" s="120"/>
      <c r="BG57" s="119"/>
      <c r="BH57" s="119"/>
      <c r="BI57" s="120"/>
      <c r="BJ57" s="119"/>
      <c r="BK57" s="119"/>
      <c r="BL57" s="119"/>
    </row>
    <row r="58" spans="1:64">
      <c r="A58" s="119">
        <v>56</v>
      </c>
      <c r="B58" s="113">
        <f t="shared" si="0"/>
        <v>45378</v>
      </c>
      <c r="C58" s="114">
        <f>YEAR(MC_2[[#This Row],[Date]])+IF(MONTH(MC_2[[#This Row],[Date]])&gt;=4,1,0)</f>
        <v>2024</v>
      </c>
      <c r="D58" s="115">
        <f>YEAR(MC_2[[#This Row],[Date]])</f>
        <v>2024</v>
      </c>
      <c r="E58" s="112" t="s">
        <v>340</v>
      </c>
      <c r="F58" s="112" t="s">
        <v>340</v>
      </c>
      <c r="G58" s="116" t="str">
        <f>TEXT(MC_2[[#This Row],[Date]],"mmm-yy")</f>
        <v>Mar-24</v>
      </c>
      <c r="H58" s="116">
        <f>DAY(EOMONTH(MC_2[[#This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5">
        <f>SUM(MC_2[[#This Row],[IS1Inv1M1]:[IS9Inv19M2]])</f>
        <v>0</v>
      </c>
      <c r="BF58" s="120"/>
      <c r="BG58" s="119"/>
      <c r="BH58" s="119"/>
      <c r="BI58" s="120"/>
      <c r="BJ58" s="119"/>
      <c r="BK58" s="119"/>
      <c r="BL58" s="119"/>
    </row>
    <row r="59" spans="1:64">
      <c r="A59" s="119">
        <v>57</v>
      </c>
      <c r="B59" s="113">
        <f t="shared" si="0"/>
        <v>45379</v>
      </c>
      <c r="C59" s="114">
        <f>YEAR(MC_2[[#This Row],[Date]])+IF(MONTH(MC_2[[#This Row],[Date]])&gt;=4,1,0)</f>
        <v>2024</v>
      </c>
      <c r="D59" s="115">
        <f>YEAR(MC_2[[#This Row],[Date]])</f>
        <v>2024</v>
      </c>
      <c r="E59" s="112" t="s">
        <v>340</v>
      </c>
      <c r="F59" s="112" t="s">
        <v>340</v>
      </c>
      <c r="G59" s="116" t="str">
        <f>TEXT(MC_2[[#This Row],[Date]],"mmm-yy")</f>
        <v>Mar-24</v>
      </c>
      <c r="H59" s="116">
        <f>DAY(EOMONTH(MC_2[[#This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5">
        <f>SUM(MC_2[[#This Row],[IS1Inv1M1]:[IS9Inv19M2]])</f>
        <v>0</v>
      </c>
      <c r="BF59" s="120"/>
      <c r="BG59" s="119"/>
      <c r="BH59" s="119"/>
      <c r="BI59" s="120"/>
      <c r="BJ59" s="119"/>
      <c r="BK59" s="119"/>
      <c r="BL59" s="119"/>
    </row>
    <row r="60" spans="1:64">
      <c r="A60" s="119">
        <v>58</v>
      </c>
      <c r="B60" s="113">
        <f t="shared" si="0"/>
        <v>45380</v>
      </c>
      <c r="C60" s="114">
        <f>YEAR(MC_2[[#This Row],[Date]])+IF(MONTH(MC_2[[#This Row],[Date]])&gt;=4,1,0)</f>
        <v>2024</v>
      </c>
      <c r="D60" s="115">
        <f>YEAR(MC_2[[#This Row],[Date]])</f>
        <v>2024</v>
      </c>
      <c r="E60" s="112" t="s">
        <v>340</v>
      </c>
      <c r="F60" s="112" t="s">
        <v>340</v>
      </c>
      <c r="G60" s="116" t="str">
        <f>TEXT(MC_2[[#This Row],[Date]],"mmm-yy")</f>
        <v>Mar-24</v>
      </c>
      <c r="H60" s="116">
        <f>DAY(EOMONTH(MC_2[[#This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5">
        <f>SUM(MC_2[[#This Row],[IS1Inv1M1]:[IS9Inv19M2]])</f>
        <v>0</v>
      </c>
      <c r="BF60" s="120"/>
      <c r="BG60" s="119"/>
      <c r="BH60" s="119"/>
      <c r="BI60" s="120"/>
      <c r="BJ60" s="119"/>
      <c r="BK60" s="119"/>
      <c r="BL60" s="119"/>
    </row>
    <row r="61" spans="1:64">
      <c r="A61" s="119">
        <v>59</v>
      </c>
      <c r="B61" s="113">
        <f t="shared" si="0"/>
        <v>45381</v>
      </c>
      <c r="C61" s="114">
        <f>YEAR(MC_2[[#This Row],[Date]])+IF(MONTH(MC_2[[#This Row],[Date]])&gt;=4,1,0)</f>
        <v>2024</v>
      </c>
      <c r="D61" s="115">
        <f>YEAR(MC_2[[#This Row],[Date]])</f>
        <v>2024</v>
      </c>
      <c r="E61" s="112" t="s">
        <v>340</v>
      </c>
      <c r="F61" s="112" t="s">
        <v>340</v>
      </c>
      <c r="G61" s="116" t="str">
        <f>TEXT(MC_2[[#This Row],[Date]],"mmm-yy")</f>
        <v>Mar-24</v>
      </c>
      <c r="H61" s="116">
        <f>DAY(EOMONTH(MC_2[[#This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5">
        <f>SUM(MC_2[[#This Row],[IS1Inv1M1]:[IS9Inv19M2]])</f>
        <v>0</v>
      </c>
      <c r="BF61" s="120"/>
      <c r="BG61" s="119"/>
      <c r="BH61" s="119"/>
      <c r="BI61" s="120"/>
      <c r="BJ61" s="119"/>
      <c r="BK61" s="119"/>
      <c r="BL61" s="119"/>
    </row>
    <row r="62" spans="1:64">
      <c r="A62" s="119">
        <v>60</v>
      </c>
      <c r="B62" s="113">
        <f t="shared" si="0"/>
        <v>45382</v>
      </c>
      <c r="C62" s="114">
        <f>YEAR(MC_2[[#This Row],[Date]])+IF(MONTH(MC_2[[#This Row],[Date]])&gt;=4,1,0)</f>
        <v>2024</v>
      </c>
      <c r="D62" s="115">
        <f>YEAR(MC_2[[#This Row],[Date]])</f>
        <v>2024</v>
      </c>
      <c r="E62" s="112" t="s">
        <v>340</v>
      </c>
      <c r="F62" s="112" t="s">
        <v>340</v>
      </c>
      <c r="G62" s="116" t="str">
        <f>TEXT(MC_2[[#This Row],[Date]],"mmm-yy")</f>
        <v>Mar-24</v>
      </c>
      <c r="H62" s="116">
        <f>DAY(EOMONTH(MC_2[[#This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5">
        <f>SUM(MC_2[[#This Row],[IS1Inv1M1]:[IS9Inv19M2]])</f>
        <v>0</v>
      </c>
      <c r="BF62" s="120"/>
      <c r="BG62" s="119"/>
      <c r="BH62" s="119"/>
      <c r="BI62" s="120"/>
      <c r="BJ62" s="119"/>
      <c r="BK62" s="119"/>
      <c r="BL62" s="119"/>
    </row>
    <row r="63" spans="1:64">
      <c r="A63" s="119">
        <v>61</v>
      </c>
      <c r="B63" s="113">
        <f t="shared" si="0"/>
        <v>45383</v>
      </c>
      <c r="C63" s="114">
        <f>YEAR(MC_2[[#This Row],[Date]])+IF(MONTH(MC_2[[#This Row],[Date]])&gt;=4,1,0)</f>
        <v>2025</v>
      </c>
      <c r="D63" s="115">
        <f>YEAR(MC_2[[#This Row],[Date]])</f>
        <v>2024</v>
      </c>
      <c r="E63" s="112" t="s">
        <v>340</v>
      </c>
      <c r="F63" s="112" t="s">
        <v>340</v>
      </c>
      <c r="G63" s="116" t="str">
        <f>TEXT(MC_2[[#This Row],[Date]],"mmm-yy")</f>
        <v>Apr-24</v>
      </c>
      <c r="H63" s="116">
        <f>DAY(EOMONTH(MC_2[[#This Row],[Month Year]],0))</f>
        <v>30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5">
        <f>SUM(MC_2[[#This Row],[IS1Inv1M1]:[IS9Inv19M2]])</f>
        <v>0</v>
      </c>
      <c r="BF63" s="119"/>
      <c r="BG63" s="119"/>
      <c r="BH63" s="119"/>
      <c r="BI63" s="119"/>
      <c r="BJ63" s="119"/>
      <c r="BK63" s="119"/>
      <c r="BL63" s="119"/>
    </row>
    <row r="64" spans="1:64">
      <c r="A64" s="119">
        <v>62</v>
      </c>
      <c r="B64" s="113">
        <f t="shared" si="0"/>
        <v>45384</v>
      </c>
      <c r="C64" s="114">
        <f>YEAR(MC_2[[#This Row],[Date]])+IF(MONTH(MC_2[[#This Row],[Date]])&gt;=4,1,0)</f>
        <v>2025</v>
      </c>
      <c r="D64" s="115">
        <f>YEAR(MC_2[[#This Row],[Date]])</f>
        <v>2024</v>
      </c>
      <c r="E64" s="112" t="s">
        <v>340</v>
      </c>
      <c r="F64" s="112" t="s">
        <v>340</v>
      </c>
      <c r="G64" s="116" t="str">
        <f>TEXT(MC_2[[#This Row],[Date]],"mmm-yy")</f>
        <v>Apr-24</v>
      </c>
      <c r="H64" s="116">
        <f>DAY(EOMONTH(MC_2[[#This Row],[Month Year]],0))</f>
        <v>30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5">
        <f>SUM(MC_2[[#This Row],[IS1Inv1M1]:[IS9Inv19M2]])</f>
        <v>0</v>
      </c>
      <c r="BF64" s="120"/>
      <c r="BG64" s="119"/>
      <c r="BH64" s="119"/>
      <c r="BI64" s="120"/>
      <c r="BJ64" s="119"/>
      <c r="BK64" s="119"/>
      <c r="BL64" s="119"/>
    </row>
    <row r="65" spans="1:64">
      <c r="A65" s="119">
        <v>63</v>
      </c>
      <c r="B65" s="113">
        <f t="shared" si="0"/>
        <v>45385</v>
      </c>
      <c r="C65" s="114">
        <f>YEAR(MC_2[[#This Row],[Date]])+IF(MONTH(MC_2[[#This Row],[Date]])&gt;=4,1,0)</f>
        <v>2025</v>
      </c>
      <c r="D65" s="115">
        <f>YEAR(MC_2[[#This Row],[Date]])</f>
        <v>2024</v>
      </c>
      <c r="E65" s="112" t="s">
        <v>340</v>
      </c>
      <c r="F65" s="112" t="s">
        <v>340</v>
      </c>
      <c r="G65" s="116" t="str">
        <f>TEXT(MC_2[[#This Row],[Date]],"mmm-yy")</f>
        <v>Apr-24</v>
      </c>
      <c r="H65" s="116">
        <f>DAY(EOMONTH(MC_2[[#This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  <c r="AU65" s="119"/>
      <c r="AV65" s="119"/>
      <c r="AW65" s="119"/>
      <c r="AX65" s="119"/>
      <c r="AY65" s="119"/>
      <c r="AZ65" s="119"/>
      <c r="BA65" s="119"/>
      <c r="BB65" s="119"/>
      <c r="BC65" s="119"/>
      <c r="BD65" s="119"/>
      <c r="BE65" s="5">
        <f>SUM(MC_2[[#This Row],[IS1Inv1M1]:[IS9Inv19M2]])</f>
        <v>0</v>
      </c>
      <c r="BF65" s="120"/>
      <c r="BG65" s="119"/>
      <c r="BH65" s="119"/>
      <c r="BI65" s="120"/>
      <c r="BJ65" s="119"/>
      <c r="BK65" s="119"/>
      <c r="BL65" s="119"/>
    </row>
    <row r="66" spans="1:64">
      <c r="A66" s="119">
        <v>64</v>
      </c>
      <c r="B66" s="113">
        <f t="shared" si="0"/>
        <v>45386</v>
      </c>
      <c r="C66" s="114">
        <f>YEAR(MC_2[[#This Row],[Date]])+IF(MONTH(MC_2[[#This Row],[Date]])&gt;=4,1,0)</f>
        <v>2025</v>
      </c>
      <c r="D66" s="115">
        <f>YEAR(MC_2[[#This Row],[Date]])</f>
        <v>2024</v>
      </c>
      <c r="E66" s="112" t="s">
        <v>340</v>
      </c>
      <c r="F66" s="112" t="s">
        <v>340</v>
      </c>
      <c r="G66" s="116" t="str">
        <f>TEXT(MC_2[[#This Row],[Date]],"mmm-yy")</f>
        <v>Apr-24</v>
      </c>
      <c r="H66" s="116">
        <f>DAY(EOMONTH(MC_2[[#This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5">
        <f>SUM(MC_2[[#This Row],[IS1Inv1M1]:[IS9Inv19M2]])</f>
        <v>0</v>
      </c>
      <c r="BF66" s="120"/>
      <c r="BG66" s="119"/>
      <c r="BH66" s="119"/>
      <c r="BI66" s="120"/>
      <c r="BJ66" s="119"/>
      <c r="BK66" s="119"/>
      <c r="BL66" s="119"/>
    </row>
    <row r="67" spans="1:64">
      <c r="A67" s="119">
        <v>65</v>
      </c>
      <c r="B67" s="113">
        <f t="shared" si="0"/>
        <v>45387</v>
      </c>
      <c r="C67" s="114">
        <f>YEAR(MC_2[[#This Row],[Date]])+IF(MONTH(MC_2[[#This Row],[Date]])&gt;=4,1,0)</f>
        <v>2025</v>
      </c>
      <c r="D67" s="115">
        <f>YEAR(MC_2[[#This Row],[Date]])</f>
        <v>2024</v>
      </c>
      <c r="E67" s="112" t="s">
        <v>340</v>
      </c>
      <c r="F67" s="112" t="s">
        <v>340</v>
      </c>
      <c r="G67" s="116" t="str">
        <f>TEXT(MC_2[[#This Row],[Date]],"mmm-yy")</f>
        <v>Apr-24</v>
      </c>
      <c r="H67" s="116">
        <f>DAY(EOMONTH(MC_2[[#This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5">
        <f>SUM(MC_2[[#This Row],[IS1Inv1M1]:[IS9Inv19M2]])</f>
        <v>0</v>
      </c>
      <c r="BF67" s="120"/>
      <c r="BG67" s="119"/>
      <c r="BH67" s="119"/>
      <c r="BI67" s="120"/>
      <c r="BJ67" s="119"/>
      <c r="BK67" s="119"/>
      <c r="BL67" s="119"/>
    </row>
    <row r="68" spans="1:64">
      <c r="A68" s="119">
        <v>66</v>
      </c>
      <c r="B68" s="113">
        <f t="shared" si="0"/>
        <v>45388</v>
      </c>
      <c r="C68" s="114">
        <f>YEAR(MC_2[[#This Row],[Date]])+IF(MONTH(MC_2[[#This Row],[Date]])&gt;=4,1,0)</f>
        <v>2025</v>
      </c>
      <c r="D68" s="115">
        <f>YEAR(MC_2[[#This Row],[Date]])</f>
        <v>2024</v>
      </c>
      <c r="E68" s="112" t="s">
        <v>340</v>
      </c>
      <c r="F68" s="112" t="s">
        <v>340</v>
      </c>
      <c r="G68" s="116" t="str">
        <f>TEXT(MC_2[[#This Row],[Date]],"mmm-yy")</f>
        <v>Apr-24</v>
      </c>
      <c r="H68" s="116">
        <f>DAY(EOMONTH(MC_2[[#This Row],[Month Year]],0))</f>
        <v>30</v>
      </c>
      <c r="I68" s="119">
        <v>1</v>
      </c>
      <c r="J68" s="119">
        <v>4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5">
        <f>SUM(MC_2[[#This Row],[IS1Inv1M1]:[IS9Inv19M2]])</f>
        <v>0</v>
      </c>
      <c r="BF68" s="120">
        <v>0.35416666666666669</v>
      </c>
      <c r="BG68" s="120">
        <v>0.41666666666666669</v>
      </c>
      <c r="BH68" s="120">
        <v>0.66666666666666663</v>
      </c>
      <c r="BI68" s="120">
        <v>0.77083333333333337</v>
      </c>
      <c r="BJ68" s="119"/>
      <c r="BK68" s="119"/>
      <c r="BL68" s="119"/>
    </row>
    <row r="69" spans="1:64">
      <c r="A69" s="119">
        <v>67</v>
      </c>
      <c r="B69" s="113">
        <f t="shared" ref="B69:B132" si="1">B68+1</f>
        <v>45389</v>
      </c>
      <c r="C69" s="114">
        <f>YEAR(MC_2[[#This Row],[Date]])+IF(MONTH(MC_2[[#This Row],[Date]])&gt;=4,1,0)</f>
        <v>2025</v>
      </c>
      <c r="D69" s="115">
        <f>YEAR(MC_2[[#This Row],[Date]])</f>
        <v>2024</v>
      </c>
      <c r="E69" s="112" t="s">
        <v>340</v>
      </c>
      <c r="F69" s="112" t="s">
        <v>340</v>
      </c>
      <c r="G69" s="116" t="str">
        <f>TEXT(MC_2[[#This Row],[Date]],"mmm-yy")</f>
        <v>Apr-24</v>
      </c>
      <c r="H69" s="116">
        <f>DAY(EOMONTH(MC_2[[#This Row],[Month Year]],0))</f>
        <v>30</v>
      </c>
      <c r="I69" s="119">
        <v>1</v>
      </c>
      <c r="J69" s="119">
        <v>4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5">
        <f>SUM(MC_2[[#This Row],[IS1Inv1M1]:[IS9Inv19M2]])</f>
        <v>0</v>
      </c>
      <c r="BF69" s="120">
        <v>0.28125</v>
      </c>
      <c r="BG69" s="120">
        <v>0.40625</v>
      </c>
      <c r="BH69" s="120">
        <v>0.6875</v>
      </c>
      <c r="BI69" s="120">
        <v>0.79166666666666663</v>
      </c>
      <c r="BJ69" s="119"/>
      <c r="BK69" s="119"/>
      <c r="BL69" s="119"/>
    </row>
    <row r="70" spans="1:64">
      <c r="A70" s="119">
        <v>68</v>
      </c>
      <c r="B70" s="113">
        <f t="shared" si="1"/>
        <v>45390</v>
      </c>
      <c r="C70" s="114">
        <f>YEAR(MC_2[[#This Row],[Date]])+IF(MONTH(MC_2[[#This Row],[Date]])&gt;=4,1,0)</f>
        <v>2025</v>
      </c>
      <c r="D70" s="115">
        <f>YEAR(MC_2[[#This Row],[Date]])</f>
        <v>2024</v>
      </c>
      <c r="E70" s="112" t="s">
        <v>340</v>
      </c>
      <c r="F70" s="112" t="s">
        <v>340</v>
      </c>
      <c r="G70" s="116" t="str">
        <f>TEXT(MC_2[[#This Row],[Date]],"mmm-yy")</f>
        <v>Apr-24</v>
      </c>
      <c r="H70" s="116">
        <f>DAY(EOMONTH(MC_2[[#This Row],[Month Year]],0))</f>
        <v>30</v>
      </c>
      <c r="I70" s="119">
        <v>1</v>
      </c>
      <c r="J70" s="119">
        <v>4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5">
        <f>SUM(MC_2[[#This Row],[IS1Inv1M1]:[IS9Inv19M2]])</f>
        <v>0</v>
      </c>
      <c r="BF70" s="120">
        <v>0.23958333333333334</v>
      </c>
      <c r="BG70" s="120">
        <v>0.39583333333333331</v>
      </c>
      <c r="BH70" s="120">
        <v>0.64583333333333337</v>
      </c>
      <c r="BI70" s="120">
        <v>0.77083333333333337</v>
      </c>
      <c r="BJ70" s="119"/>
      <c r="BK70" s="119"/>
      <c r="BL70" s="119"/>
    </row>
    <row r="71" spans="1:64">
      <c r="A71" s="119">
        <v>69</v>
      </c>
      <c r="B71" s="113">
        <f t="shared" si="1"/>
        <v>45391</v>
      </c>
      <c r="C71" s="114">
        <f>YEAR(MC_2[[#This Row],[Date]])+IF(MONTH(MC_2[[#This Row],[Date]])&gt;=4,1,0)</f>
        <v>2025</v>
      </c>
      <c r="D71" s="115">
        <f>YEAR(MC_2[[#This Row],[Date]])</f>
        <v>2024</v>
      </c>
      <c r="E71" s="112" t="s">
        <v>340</v>
      </c>
      <c r="F71" s="112" t="s">
        <v>340</v>
      </c>
      <c r="G71" s="116" t="str">
        <f>TEXT(MC_2[[#This Row],[Date]],"mmm-yy")</f>
        <v>Apr-24</v>
      </c>
      <c r="H71" s="116">
        <f>DAY(EOMONTH(MC_2[[#This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  <c r="AW71" s="112"/>
      <c r="AX71" s="112"/>
      <c r="AY71" s="112"/>
      <c r="AZ71" s="112"/>
      <c r="BA71" s="112"/>
      <c r="BB71" s="112"/>
      <c r="BC71" s="112"/>
      <c r="BD71" s="112"/>
      <c r="BE71" s="5">
        <f>SUM(MC_2[[#This Row],[IS1Inv1M1]:[IS9Inv19M2]])</f>
        <v>0</v>
      </c>
      <c r="BF71" s="119"/>
      <c r="BG71" s="119"/>
      <c r="BH71" s="119"/>
      <c r="BI71" s="119"/>
      <c r="BJ71" s="119"/>
      <c r="BK71" s="119"/>
      <c r="BL71" s="119"/>
    </row>
    <row r="72" spans="1:64">
      <c r="A72" s="119">
        <v>70</v>
      </c>
      <c r="B72" s="113">
        <f t="shared" si="1"/>
        <v>45392</v>
      </c>
      <c r="C72" s="114">
        <f>YEAR(MC_2[[#This Row],[Date]])+IF(MONTH(MC_2[[#This Row],[Date]])&gt;=4,1,0)</f>
        <v>2025</v>
      </c>
      <c r="D72" s="115">
        <f>YEAR(MC_2[[#This Row],[Date]])</f>
        <v>2024</v>
      </c>
      <c r="E72" s="112" t="s">
        <v>340</v>
      </c>
      <c r="F72" s="112" t="s">
        <v>340</v>
      </c>
      <c r="G72" s="116" t="str">
        <f>TEXT(MC_2[[#This Row],[Date]],"mmm-yy")</f>
        <v>Apr-24</v>
      </c>
      <c r="H72" s="116">
        <f>DAY(EOMONTH(MC_2[[#This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9"/>
      <c r="BC72" s="119"/>
      <c r="BD72" s="119"/>
      <c r="BE72" s="5">
        <f>SUM(MC_2[[#This Row],[IS1Inv1M1]:[IS9Inv19M2]])</f>
        <v>0</v>
      </c>
      <c r="BF72" s="119"/>
      <c r="BG72" s="119"/>
      <c r="BH72" s="119"/>
      <c r="BI72" s="119"/>
      <c r="BJ72" s="119"/>
      <c r="BK72" s="119"/>
      <c r="BL72" s="119"/>
    </row>
    <row r="73" spans="1:64">
      <c r="A73" s="119">
        <v>71</v>
      </c>
      <c r="B73" s="113">
        <f t="shared" si="1"/>
        <v>45393</v>
      </c>
      <c r="C73" s="114">
        <f>YEAR(MC_2[[#This Row],[Date]])+IF(MONTH(MC_2[[#This Row],[Date]])&gt;=4,1,0)</f>
        <v>2025</v>
      </c>
      <c r="D73" s="115">
        <f>YEAR(MC_2[[#This Row],[Date]])</f>
        <v>2024</v>
      </c>
      <c r="E73" s="112" t="s">
        <v>340</v>
      </c>
      <c r="F73" s="112" t="s">
        <v>340</v>
      </c>
      <c r="G73" s="116" t="str">
        <f>TEXT(MC_2[[#This Row],[Date]],"mmm-yy")</f>
        <v>Apr-24</v>
      </c>
      <c r="H73" s="116">
        <f>DAY(EOMONTH(MC_2[[#This Row],[Month Year]],0))</f>
        <v>30</v>
      </c>
      <c r="I73" s="119">
        <v>1</v>
      </c>
      <c r="J73" s="119">
        <v>4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  <c r="AU73" s="119"/>
      <c r="AV73" s="119"/>
      <c r="AW73" s="119"/>
      <c r="AX73" s="119"/>
      <c r="AY73" s="119"/>
      <c r="AZ73" s="119"/>
      <c r="BA73" s="119"/>
      <c r="BB73" s="119"/>
      <c r="BC73" s="119"/>
      <c r="BD73" s="119"/>
      <c r="BE73" s="5">
        <f>SUM(MC_2[[#This Row],[IS1Inv1M1]:[IS9Inv19M2]])</f>
        <v>0</v>
      </c>
      <c r="BF73" s="120">
        <v>0.23958333333333334</v>
      </c>
      <c r="BG73" s="120">
        <v>0.39583333333333331</v>
      </c>
      <c r="BH73" s="120">
        <v>0.64583333333333337</v>
      </c>
      <c r="BI73" s="120">
        <v>0.77083333333333337</v>
      </c>
      <c r="BJ73" s="119"/>
      <c r="BK73" s="119"/>
      <c r="BL73" s="119"/>
    </row>
    <row r="74" spans="1:64">
      <c r="A74" s="119">
        <v>72</v>
      </c>
      <c r="B74" s="113">
        <f t="shared" si="1"/>
        <v>45394</v>
      </c>
      <c r="C74" s="114">
        <f>YEAR(MC_2[[#This Row],[Date]])+IF(MONTH(MC_2[[#This Row],[Date]])&gt;=4,1,0)</f>
        <v>2025</v>
      </c>
      <c r="D74" s="115">
        <f>YEAR(MC_2[[#This Row],[Date]])</f>
        <v>2024</v>
      </c>
      <c r="E74" s="112" t="s">
        <v>340</v>
      </c>
      <c r="F74" s="112" t="s">
        <v>340</v>
      </c>
      <c r="G74" s="116" t="str">
        <f>TEXT(MC_2[[#This Row],[Date]],"mmm-yy")</f>
        <v>Apr-24</v>
      </c>
      <c r="H74" s="116">
        <f>DAY(EOMONTH(MC_2[[#This Row],[Month Year]],0))</f>
        <v>30</v>
      </c>
      <c r="I74" s="119">
        <v>1</v>
      </c>
      <c r="J74" s="119">
        <v>4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19"/>
      <c r="BD74" s="119"/>
      <c r="BE74" s="5">
        <f>SUM(MC_2[[#This Row],[IS1Inv1M1]:[IS9Inv19M2]])</f>
        <v>0</v>
      </c>
      <c r="BF74" s="120">
        <v>0.22916666666666666</v>
      </c>
      <c r="BG74" s="120">
        <v>0.39583333333333331</v>
      </c>
      <c r="BH74" s="120">
        <v>0.60416666666666663</v>
      </c>
      <c r="BI74" s="120">
        <v>0.6875</v>
      </c>
      <c r="BJ74" s="119"/>
      <c r="BK74" s="119"/>
      <c r="BL74" s="119"/>
    </row>
    <row r="75" spans="1:64">
      <c r="A75" s="119">
        <v>73</v>
      </c>
      <c r="B75" s="113">
        <f t="shared" si="1"/>
        <v>45395</v>
      </c>
      <c r="C75" s="114">
        <f>YEAR(MC_2[[#This Row],[Date]])+IF(MONTH(MC_2[[#This Row],[Date]])&gt;=4,1,0)</f>
        <v>2025</v>
      </c>
      <c r="D75" s="115">
        <f>YEAR(MC_2[[#This Row],[Date]])</f>
        <v>2024</v>
      </c>
      <c r="E75" s="112" t="s">
        <v>340</v>
      </c>
      <c r="F75" s="112" t="s">
        <v>340</v>
      </c>
      <c r="G75" s="116" t="str">
        <f>TEXT(MC_2[[#This Row],[Date]],"mmm-yy")</f>
        <v>Apr-24</v>
      </c>
      <c r="H75" s="116">
        <f>DAY(EOMONTH(MC_2[[#This Row],[Month Year]],0))</f>
        <v>30</v>
      </c>
      <c r="I75" s="119">
        <v>1</v>
      </c>
      <c r="J75" s="119">
        <v>4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  <c r="AU75" s="119"/>
      <c r="AV75" s="119"/>
      <c r="AW75" s="119"/>
      <c r="AX75" s="119"/>
      <c r="AY75" s="119"/>
      <c r="AZ75" s="119"/>
      <c r="BA75" s="119"/>
      <c r="BB75" s="119"/>
      <c r="BC75" s="119"/>
      <c r="BD75" s="119"/>
      <c r="BE75" s="5">
        <f>SUM(MC_2[[#This Row],[IS1Inv1M1]:[IS9Inv19M2]])</f>
        <v>0</v>
      </c>
      <c r="BF75" s="120">
        <v>0.21875</v>
      </c>
      <c r="BG75" s="120">
        <v>0.39583333333333331</v>
      </c>
      <c r="BH75" s="120">
        <v>0.625</v>
      </c>
      <c r="BI75" s="120">
        <v>0.6875</v>
      </c>
      <c r="BJ75" s="119"/>
      <c r="BK75" s="119"/>
      <c r="BL75" s="119"/>
    </row>
    <row r="76" spans="1:64">
      <c r="A76" s="119">
        <v>74</v>
      </c>
      <c r="B76" s="113">
        <f t="shared" si="1"/>
        <v>45396</v>
      </c>
      <c r="C76" s="114">
        <f>YEAR(MC_2[[#This Row],[Date]])+IF(MONTH(MC_2[[#This Row],[Date]])&gt;=4,1,0)</f>
        <v>2025</v>
      </c>
      <c r="D76" s="115">
        <f>YEAR(MC_2[[#This Row],[Date]])</f>
        <v>2024</v>
      </c>
      <c r="E76" s="112" t="s">
        <v>340</v>
      </c>
      <c r="F76" s="112" t="s">
        <v>340</v>
      </c>
      <c r="G76" s="116" t="str">
        <f>TEXT(MC_2[[#This Row],[Date]],"mmm-yy")</f>
        <v>Apr-24</v>
      </c>
      <c r="H76" s="116">
        <f>DAY(EOMONTH(MC_2[[#This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5">
        <f>SUM(MC_2[[#This Row],[IS1Inv1M1]:[IS9Inv19M2]])</f>
        <v>0</v>
      </c>
      <c r="BF76" s="120"/>
      <c r="BG76" s="119"/>
      <c r="BH76" s="119"/>
      <c r="BI76" s="120"/>
      <c r="BJ76" s="119"/>
      <c r="BK76" s="119"/>
      <c r="BL76" s="119"/>
    </row>
    <row r="77" spans="1:64">
      <c r="A77" s="119">
        <v>75</v>
      </c>
      <c r="B77" s="113">
        <f t="shared" si="1"/>
        <v>45397</v>
      </c>
      <c r="C77" s="114">
        <f>YEAR(MC_2[[#This Row],[Date]])+IF(MONTH(MC_2[[#This Row],[Date]])&gt;=4,1,0)</f>
        <v>2025</v>
      </c>
      <c r="D77" s="115">
        <f>YEAR(MC_2[[#This Row],[Date]])</f>
        <v>2024</v>
      </c>
      <c r="E77" s="112" t="s">
        <v>340</v>
      </c>
      <c r="F77" s="112" t="s">
        <v>340</v>
      </c>
      <c r="G77" s="116" t="str">
        <f>TEXT(MC_2[[#This Row],[Date]],"mmm-yy")</f>
        <v>Apr-24</v>
      </c>
      <c r="H77" s="116">
        <f>DAY(EOMONTH(MC_2[[#This Row],[Month Year]],0))</f>
        <v>30</v>
      </c>
      <c r="I77" s="119">
        <v>1</v>
      </c>
      <c r="J77" s="119">
        <v>4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5">
        <f>SUM(MC_2[[#This Row],[IS1Inv1M1]:[IS9Inv19M2]])</f>
        <v>0</v>
      </c>
      <c r="BF77" s="120">
        <v>0.22916666666666666</v>
      </c>
      <c r="BG77" s="120">
        <v>0.39583333333333331</v>
      </c>
      <c r="BH77" s="120">
        <v>0.60416666666666663</v>
      </c>
      <c r="BI77" s="120">
        <v>0.6875</v>
      </c>
      <c r="BJ77" s="119"/>
      <c r="BK77" s="119"/>
      <c r="BL77" s="119"/>
    </row>
    <row r="78" spans="1:64">
      <c r="A78" s="119">
        <v>76</v>
      </c>
      <c r="B78" s="113">
        <f t="shared" si="1"/>
        <v>45398</v>
      </c>
      <c r="C78" s="114">
        <f>YEAR(MC_2[[#This Row],[Date]])+IF(MONTH(MC_2[[#This Row],[Date]])&gt;=4,1,0)</f>
        <v>2025</v>
      </c>
      <c r="D78" s="115">
        <f>YEAR(MC_2[[#This Row],[Date]])</f>
        <v>2024</v>
      </c>
      <c r="E78" s="112" t="s">
        <v>340</v>
      </c>
      <c r="F78" s="112" t="s">
        <v>340</v>
      </c>
      <c r="G78" s="116" t="str">
        <f>TEXT(MC_2[[#This Row],[Date]],"mmm-yy")</f>
        <v>Apr-24</v>
      </c>
      <c r="H78" s="116">
        <f>DAY(EOMONTH(MC_2[[#This Row],[Month Year]],0))</f>
        <v>30</v>
      </c>
      <c r="I78" s="119">
        <v>1</v>
      </c>
      <c r="J78" s="119">
        <v>4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5">
        <f>SUM(MC_2[[#This Row],[IS1Inv1M1]:[IS9Inv19M2]])</f>
        <v>0</v>
      </c>
      <c r="BF78" s="120">
        <v>0.22916666666666666</v>
      </c>
      <c r="BG78" s="120">
        <v>0.39583333333333331</v>
      </c>
      <c r="BH78" s="120">
        <v>0.60416666666666663</v>
      </c>
      <c r="BI78" s="120">
        <v>0.6875</v>
      </c>
      <c r="BJ78" s="119"/>
      <c r="BK78" s="119"/>
      <c r="BL78" s="119"/>
    </row>
    <row r="79" spans="1:64">
      <c r="A79" s="119">
        <v>77</v>
      </c>
      <c r="B79" s="113">
        <f t="shared" si="1"/>
        <v>45399</v>
      </c>
      <c r="C79" s="114">
        <f>YEAR(MC_2[[#This Row],[Date]])+IF(MONTH(MC_2[[#This Row],[Date]])&gt;=4,1,0)</f>
        <v>2025</v>
      </c>
      <c r="D79" s="115">
        <f>YEAR(MC_2[[#This Row],[Date]])</f>
        <v>2024</v>
      </c>
      <c r="E79" s="112" t="s">
        <v>340</v>
      </c>
      <c r="F79" s="112" t="s">
        <v>340</v>
      </c>
      <c r="G79" s="116" t="str">
        <f>TEXT(MC_2[[#This Row],[Date]],"mmm-yy")</f>
        <v>Apr-24</v>
      </c>
      <c r="H79" s="116">
        <f>DAY(EOMONTH(MC_2[[#This Row],[Month Year]],0))</f>
        <v>30</v>
      </c>
      <c r="I79" s="119">
        <v>1</v>
      </c>
      <c r="J79" s="119">
        <v>4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5">
        <f>SUM(MC_2[[#This Row],[IS1Inv1M1]:[IS9Inv19M2]])</f>
        <v>0</v>
      </c>
      <c r="BF79" s="120">
        <v>0.22916666666666666</v>
      </c>
      <c r="BG79" s="120">
        <v>0.39583333333333331</v>
      </c>
      <c r="BH79" s="120">
        <v>0.60416666666666663</v>
      </c>
      <c r="BI79" s="120">
        <v>0.6875</v>
      </c>
      <c r="BJ79" s="119"/>
      <c r="BK79" s="119"/>
      <c r="BL79" s="119"/>
    </row>
    <row r="80" spans="1:64">
      <c r="A80" s="119">
        <v>78</v>
      </c>
      <c r="B80" s="113">
        <f t="shared" si="1"/>
        <v>45400</v>
      </c>
      <c r="C80" s="114">
        <f>YEAR(MC_2[[#This Row],[Date]])+IF(MONTH(MC_2[[#This Row],[Date]])&gt;=4,1,0)</f>
        <v>2025</v>
      </c>
      <c r="D80" s="115">
        <f>YEAR(MC_2[[#This Row],[Date]])</f>
        <v>2024</v>
      </c>
      <c r="E80" s="112" t="s">
        <v>340</v>
      </c>
      <c r="F80" s="112" t="s">
        <v>340</v>
      </c>
      <c r="G80" s="116" t="str">
        <f>TEXT(MC_2[[#This Row],[Date]],"mmm-yy")</f>
        <v>Apr-24</v>
      </c>
      <c r="H80" s="116">
        <f>DAY(EOMONTH(MC_2[[#This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5">
        <f>SUM(MC_2[[#This Row],[IS1Inv1M1]:[IS9Inv19M2]])</f>
        <v>0</v>
      </c>
      <c r="BF80" s="120"/>
      <c r="BG80" s="119"/>
      <c r="BH80" s="119"/>
      <c r="BI80" s="120"/>
      <c r="BJ80" s="119"/>
      <c r="BK80" s="119"/>
      <c r="BL80" s="119"/>
    </row>
    <row r="81" spans="1:64">
      <c r="A81" s="119">
        <v>79</v>
      </c>
      <c r="B81" s="113">
        <f t="shared" si="1"/>
        <v>45401</v>
      </c>
      <c r="C81" s="114">
        <f>YEAR(MC_2[[#This Row],[Date]])+IF(MONTH(MC_2[[#This Row],[Date]])&gt;=4,1,0)</f>
        <v>2025</v>
      </c>
      <c r="D81" s="115">
        <f>YEAR(MC_2[[#This Row],[Date]])</f>
        <v>2024</v>
      </c>
      <c r="E81" s="112" t="s">
        <v>340</v>
      </c>
      <c r="F81" s="112" t="s">
        <v>340</v>
      </c>
      <c r="G81" s="116" t="str">
        <f>TEXT(MC_2[[#This Row],[Date]],"mmm-yy")</f>
        <v>Apr-24</v>
      </c>
      <c r="H81" s="116">
        <f>DAY(EOMONTH(MC_2[[#This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19"/>
      <c r="BE81" s="5">
        <f>SUM(MC_2[[#This Row],[IS1Inv1M1]:[IS9Inv19M2]])</f>
        <v>0</v>
      </c>
      <c r="BF81" s="119"/>
      <c r="BG81" s="119"/>
      <c r="BH81" s="119"/>
      <c r="BI81" s="119"/>
      <c r="BJ81" s="119"/>
      <c r="BK81" s="119"/>
      <c r="BL81" s="119"/>
    </row>
    <row r="82" spans="1:64">
      <c r="A82" s="119">
        <v>80</v>
      </c>
      <c r="B82" s="113">
        <f t="shared" si="1"/>
        <v>45402</v>
      </c>
      <c r="C82" s="114">
        <f>YEAR(MC_2[[#This Row],[Date]])+IF(MONTH(MC_2[[#This Row],[Date]])&gt;=4,1,0)</f>
        <v>2025</v>
      </c>
      <c r="D82" s="115">
        <f>YEAR(MC_2[[#This Row],[Date]])</f>
        <v>2024</v>
      </c>
      <c r="E82" s="112" t="s">
        <v>340</v>
      </c>
      <c r="F82" s="112" t="s">
        <v>340</v>
      </c>
      <c r="G82" s="116" t="str">
        <f>TEXT(MC_2[[#This Row],[Date]],"mmm-yy")</f>
        <v>Apr-24</v>
      </c>
      <c r="H82" s="116">
        <f>DAY(EOMONTH(MC_2[[#This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19"/>
      <c r="BE82" s="5">
        <f>SUM(MC_2[[#This Row],[IS1Inv1M1]:[IS9Inv19M2]])</f>
        <v>0</v>
      </c>
      <c r="BF82" s="119"/>
      <c r="BG82" s="119"/>
      <c r="BH82" s="119"/>
      <c r="BI82" s="119"/>
      <c r="BJ82" s="119"/>
      <c r="BK82" s="119"/>
      <c r="BL82" s="119"/>
    </row>
    <row r="83" spans="1:64">
      <c r="A83" s="119">
        <v>81</v>
      </c>
      <c r="B83" s="113">
        <f t="shared" si="1"/>
        <v>45403</v>
      </c>
      <c r="C83" s="114">
        <f>YEAR(MC_2[[#This Row],[Date]])+IF(MONTH(MC_2[[#This Row],[Date]])&gt;=4,1,0)</f>
        <v>2025</v>
      </c>
      <c r="D83" s="115">
        <f>YEAR(MC_2[[#This Row],[Date]])</f>
        <v>2024</v>
      </c>
      <c r="E83" s="112" t="s">
        <v>340</v>
      </c>
      <c r="F83" s="112" t="s">
        <v>340</v>
      </c>
      <c r="G83" s="116" t="str">
        <f>TEXT(MC_2[[#This Row],[Date]],"mmm-yy")</f>
        <v>Apr-24</v>
      </c>
      <c r="H83" s="116">
        <f>DAY(EOMONTH(MC_2[[#This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19"/>
      <c r="BE83" s="5">
        <f>SUM(MC_2[[#This Row],[IS1Inv1M1]:[IS9Inv19M2]])</f>
        <v>0</v>
      </c>
      <c r="BF83" s="119"/>
      <c r="BG83" s="119"/>
      <c r="BH83" s="119"/>
      <c r="BI83" s="119"/>
      <c r="BJ83" s="119"/>
      <c r="BK83" s="119"/>
      <c r="BL83" s="119"/>
    </row>
    <row r="84" spans="1:64">
      <c r="A84" s="119">
        <v>82</v>
      </c>
      <c r="B84" s="113">
        <f t="shared" si="1"/>
        <v>45404</v>
      </c>
      <c r="C84" s="114">
        <f>YEAR(MC_2[[#This Row],[Date]])+IF(MONTH(MC_2[[#This Row],[Date]])&gt;=4,1,0)</f>
        <v>2025</v>
      </c>
      <c r="D84" s="115">
        <f>YEAR(MC_2[[#This Row],[Date]])</f>
        <v>2024</v>
      </c>
      <c r="E84" s="112" t="s">
        <v>340</v>
      </c>
      <c r="F84" s="112" t="s">
        <v>340</v>
      </c>
      <c r="G84" s="116" t="str">
        <f>TEXT(MC_2[[#This Row],[Date]],"mmm-yy")</f>
        <v>Apr-24</v>
      </c>
      <c r="H84" s="116">
        <f>DAY(EOMONTH(MC_2[[#This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5">
        <f>SUM(MC_2[[#This Row],[IS1Inv1M1]:[IS9Inv19M2]])</f>
        <v>0</v>
      </c>
      <c r="BF84" s="119"/>
      <c r="BG84" s="119"/>
      <c r="BH84" s="119"/>
      <c r="BI84" s="119"/>
      <c r="BJ84" s="119"/>
      <c r="BK84" s="119"/>
      <c r="BL84" s="119"/>
    </row>
    <row r="85" spans="1:64">
      <c r="A85" s="119">
        <v>83</v>
      </c>
      <c r="B85" s="113">
        <f t="shared" si="1"/>
        <v>45405</v>
      </c>
      <c r="C85" s="114">
        <f>YEAR(MC_2[[#This Row],[Date]])+IF(MONTH(MC_2[[#This Row],[Date]])&gt;=4,1,0)</f>
        <v>2025</v>
      </c>
      <c r="D85" s="115">
        <f>YEAR(MC_2[[#This Row],[Date]])</f>
        <v>2024</v>
      </c>
      <c r="E85" s="112" t="s">
        <v>340</v>
      </c>
      <c r="F85" s="112" t="s">
        <v>340</v>
      </c>
      <c r="G85" s="116" t="str">
        <f>TEXT(MC_2[[#This Row],[Date]],"mmm-yy")</f>
        <v>Apr-24</v>
      </c>
      <c r="H85" s="116">
        <f>DAY(EOMONTH(MC_2[[#This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19"/>
      <c r="BE85" s="5">
        <f>SUM(MC_2[[#This Row],[IS1Inv1M1]:[IS9Inv19M2]])</f>
        <v>0</v>
      </c>
      <c r="BF85" s="119"/>
      <c r="BG85" s="119"/>
      <c r="BH85" s="119"/>
      <c r="BI85" s="119"/>
      <c r="BJ85" s="119"/>
      <c r="BK85" s="119"/>
      <c r="BL85" s="119"/>
    </row>
    <row r="86" spans="1:64">
      <c r="A86" s="119">
        <v>84</v>
      </c>
      <c r="B86" s="113">
        <f t="shared" si="1"/>
        <v>45406</v>
      </c>
      <c r="C86" s="114">
        <f>YEAR(MC_2[[#This Row],[Date]])+IF(MONTH(MC_2[[#This Row],[Date]])&gt;=4,1,0)</f>
        <v>2025</v>
      </c>
      <c r="D86" s="115">
        <f>YEAR(MC_2[[#This Row],[Date]])</f>
        <v>2024</v>
      </c>
      <c r="E86" s="112" t="s">
        <v>340</v>
      </c>
      <c r="F86" s="112" t="s">
        <v>340</v>
      </c>
      <c r="G86" s="116" t="str">
        <f>TEXT(MC_2[[#This Row],[Date]],"mmm-yy")</f>
        <v>Apr-24</v>
      </c>
      <c r="H86" s="116">
        <f>DAY(EOMONTH(MC_2[[#This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5">
        <f>SUM(MC_2[[#This Row],[IS1Inv1M1]:[IS9Inv19M2]])</f>
        <v>0</v>
      </c>
      <c r="BF86" s="120"/>
      <c r="BG86" s="119"/>
      <c r="BH86" s="119"/>
      <c r="BI86" s="120"/>
      <c r="BJ86" s="119"/>
      <c r="BK86" s="119"/>
      <c r="BL86" s="119"/>
    </row>
    <row r="87" spans="1:64">
      <c r="A87" s="119">
        <v>85</v>
      </c>
      <c r="B87" s="113">
        <f t="shared" si="1"/>
        <v>45407</v>
      </c>
      <c r="C87" s="114">
        <f>YEAR(MC_2[[#This Row],[Date]])+IF(MONTH(MC_2[[#This Row],[Date]])&gt;=4,1,0)</f>
        <v>2025</v>
      </c>
      <c r="D87" s="115">
        <f>YEAR(MC_2[[#This Row],[Date]])</f>
        <v>2024</v>
      </c>
      <c r="E87" s="112" t="s">
        <v>340</v>
      </c>
      <c r="F87" s="112" t="s">
        <v>340</v>
      </c>
      <c r="G87" s="116" t="str">
        <f>TEXT(MC_2[[#This Row],[Date]],"mmm-yy")</f>
        <v>Apr-24</v>
      </c>
      <c r="H87" s="116">
        <f>DAY(EOMONTH(MC_2[[#This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19"/>
      <c r="BE87" s="5">
        <f>SUM(MC_2[[#This Row],[IS1Inv1M1]:[IS9Inv19M2]])</f>
        <v>0</v>
      </c>
      <c r="BF87" s="120"/>
      <c r="BG87" s="119"/>
      <c r="BH87" s="119"/>
      <c r="BI87" s="120"/>
      <c r="BJ87" s="119"/>
      <c r="BK87" s="119"/>
      <c r="BL87" s="119"/>
    </row>
    <row r="88" spans="1:64">
      <c r="A88" s="119">
        <v>86</v>
      </c>
      <c r="B88" s="113">
        <f t="shared" si="1"/>
        <v>45408</v>
      </c>
      <c r="C88" s="114">
        <f>YEAR(MC_2[[#This Row],[Date]])+IF(MONTH(MC_2[[#This Row],[Date]])&gt;=4,1,0)</f>
        <v>2025</v>
      </c>
      <c r="D88" s="115">
        <f>YEAR(MC_2[[#This Row],[Date]])</f>
        <v>2024</v>
      </c>
      <c r="E88" s="112" t="s">
        <v>340</v>
      </c>
      <c r="F88" s="112" t="s">
        <v>340</v>
      </c>
      <c r="G88" s="116" t="str">
        <f>TEXT(MC_2[[#This Row],[Date]],"mmm-yy")</f>
        <v>Apr-24</v>
      </c>
      <c r="H88" s="116">
        <f>DAY(EOMONTH(MC_2[[#This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  <c r="AW88" s="112"/>
      <c r="AX88" s="112"/>
      <c r="AY88" s="112"/>
      <c r="AZ88" s="112"/>
      <c r="BA88" s="112"/>
      <c r="BB88" s="112"/>
      <c r="BC88" s="112"/>
      <c r="BD88" s="112"/>
      <c r="BE88" s="5">
        <f>SUM(MC_2[[#This Row],[IS1Inv1M1]:[IS9Inv19M2]])</f>
        <v>0</v>
      </c>
      <c r="BF88" s="119"/>
      <c r="BG88" s="119"/>
      <c r="BH88" s="119"/>
      <c r="BI88" s="119"/>
      <c r="BJ88" s="119"/>
      <c r="BK88" s="119"/>
      <c r="BL88" s="119"/>
    </row>
    <row r="89" spans="1:64">
      <c r="A89" s="119">
        <v>87</v>
      </c>
      <c r="B89" s="113">
        <f t="shared" si="1"/>
        <v>45409</v>
      </c>
      <c r="C89" s="114">
        <f>YEAR(MC_2[[#This Row],[Date]])+IF(MONTH(MC_2[[#This Row],[Date]])&gt;=4,1,0)</f>
        <v>2025</v>
      </c>
      <c r="D89" s="115">
        <f>YEAR(MC_2[[#This Row],[Date]])</f>
        <v>2024</v>
      </c>
      <c r="E89" s="112" t="s">
        <v>340</v>
      </c>
      <c r="F89" s="112" t="s">
        <v>340</v>
      </c>
      <c r="G89" s="116" t="str">
        <f>TEXT(MC_2[[#This Row],[Date]],"mmm-yy")</f>
        <v>Apr-24</v>
      </c>
      <c r="H89" s="116">
        <f>DAY(EOMONTH(MC_2[[#This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19"/>
      <c r="BE89" s="5">
        <f>SUM(MC_2[[#This Row],[IS1Inv1M1]:[IS9Inv19M2]])</f>
        <v>0</v>
      </c>
      <c r="BF89" s="119"/>
      <c r="BG89" s="119"/>
      <c r="BH89" s="119"/>
      <c r="BI89" s="119"/>
      <c r="BJ89" s="119"/>
      <c r="BK89" s="119"/>
      <c r="BL89" s="119"/>
    </row>
    <row r="90" spans="1:64">
      <c r="A90" s="119">
        <v>88</v>
      </c>
      <c r="B90" s="113">
        <f t="shared" si="1"/>
        <v>45410</v>
      </c>
      <c r="C90" s="114">
        <f>YEAR(MC_2[[#This Row],[Date]])+IF(MONTH(MC_2[[#This Row],[Date]])&gt;=4,1,0)</f>
        <v>2025</v>
      </c>
      <c r="D90" s="115">
        <f>YEAR(MC_2[[#This Row],[Date]])</f>
        <v>2024</v>
      </c>
      <c r="E90" s="112" t="s">
        <v>340</v>
      </c>
      <c r="F90" s="112" t="s">
        <v>340</v>
      </c>
      <c r="G90" s="116" t="str">
        <f>TEXT(MC_2[[#This Row],[Date]],"mmm-yy")</f>
        <v>Apr-24</v>
      </c>
      <c r="H90" s="116">
        <f>DAY(EOMONTH(MC_2[[#This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5">
        <f>SUM(MC_2[[#This Row],[IS1Inv1M1]:[IS9Inv19M2]])</f>
        <v>0</v>
      </c>
      <c r="BF90" s="119"/>
      <c r="BG90" s="119"/>
      <c r="BH90" s="119"/>
      <c r="BI90" s="119"/>
      <c r="BJ90" s="119"/>
      <c r="BK90" s="119"/>
      <c r="BL90" s="119"/>
    </row>
    <row r="91" spans="1:64">
      <c r="A91" s="119">
        <v>89</v>
      </c>
      <c r="B91" s="113">
        <f t="shared" si="1"/>
        <v>45411</v>
      </c>
      <c r="C91" s="114">
        <f>YEAR(MC_2[[#This Row],[Date]])+IF(MONTH(MC_2[[#This Row],[Date]])&gt;=4,1,0)</f>
        <v>2025</v>
      </c>
      <c r="D91" s="115">
        <f>YEAR(MC_2[[#This Row],[Date]])</f>
        <v>2024</v>
      </c>
      <c r="E91" s="112" t="s">
        <v>340</v>
      </c>
      <c r="F91" s="112" t="s">
        <v>340</v>
      </c>
      <c r="G91" s="116" t="str">
        <f>TEXT(MC_2[[#This Row],[Date]],"mmm-yy")</f>
        <v>Apr-24</v>
      </c>
      <c r="H91" s="116">
        <f>DAY(EOMONTH(MC_2[[#This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  <c r="AU91" s="119"/>
      <c r="AV91" s="119"/>
      <c r="AW91" s="119"/>
      <c r="AX91" s="119"/>
      <c r="AY91" s="119"/>
      <c r="AZ91" s="119"/>
      <c r="BA91" s="119"/>
      <c r="BB91" s="119"/>
      <c r="BC91" s="119"/>
      <c r="BD91" s="119"/>
      <c r="BE91" s="5">
        <f>SUM(MC_2[[#This Row],[IS1Inv1M1]:[IS9Inv19M2]])</f>
        <v>0</v>
      </c>
      <c r="BF91" s="119"/>
      <c r="BG91" s="119"/>
      <c r="BH91" s="119"/>
      <c r="BI91" s="119"/>
      <c r="BJ91" s="119"/>
      <c r="BK91" s="119"/>
      <c r="BL91" s="119"/>
    </row>
    <row r="92" spans="1:64">
      <c r="A92" s="119">
        <v>90</v>
      </c>
      <c r="B92" s="113">
        <f t="shared" si="1"/>
        <v>45412</v>
      </c>
      <c r="C92" s="114">
        <f>YEAR(MC_2[[#This Row],[Date]])+IF(MONTH(MC_2[[#This Row],[Date]])&gt;=4,1,0)</f>
        <v>2025</v>
      </c>
      <c r="D92" s="115">
        <f>YEAR(MC_2[[#This Row],[Date]])</f>
        <v>2024</v>
      </c>
      <c r="E92" s="112" t="s">
        <v>340</v>
      </c>
      <c r="F92" s="112" t="s">
        <v>340</v>
      </c>
      <c r="G92" s="116" t="str">
        <f>TEXT(MC_2[[#This Row],[Date]],"mmm-yy")</f>
        <v>Apr-24</v>
      </c>
      <c r="H92" s="116">
        <f>DAY(EOMONTH(MC_2[[#This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19"/>
      <c r="BD92" s="119"/>
      <c r="BE92" s="5">
        <f>SUM(MC_2[[#This Row],[IS1Inv1M1]:[IS9Inv19M2]])</f>
        <v>0</v>
      </c>
      <c r="BF92" s="119"/>
      <c r="BG92" s="119"/>
      <c r="BH92" s="119"/>
      <c r="BI92" s="119"/>
      <c r="BJ92" s="119"/>
      <c r="BK92" s="119"/>
      <c r="BL92" s="119"/>
    </row>
    <row r="93" spans="1:64">
      <c r="A93" s="119">
        <v>91</v>
      </c>
      <c r="B93" s="113">
        <f t="shared" si="1"/>
        <v>45413</v>
      </c>
      <c r="C93" s="114">
        <f>YEAR(MC_2[[#This Row],[Date]])+IF(MONTH(MC_2[[#This Row],[Date]])&gt;=4,1,0)</f>
        <v>2025</v>
      </c>
      <c r="D93" s="115">
        <f>YEAR(MC_2[[#This Row],[Date]])</f>
        <v>2024</v>
      </c>
      <c r="E93" s="112" t="s">
        <v>340</v>
      </c>
      <c r="F93" s="112" t="s">
        <v>340</v>
      </c>
      <c r="G93" s="116" t="str">
        <f>TEXT(MC_2[[#This Row],[Date]],"mmm-yy")</f>
        <v>May-24</v>
      </c>
      <c r="H93" s="116">
        <f>DAY(EOMONTH(MC_2[[#This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5">
        <f>SUM(MC_2[[#This Row],[IS1Inv1M1]:[IS9Inv19M2]])</f>
        <v>0</v>
      </c>
      <c r="BF93" s="119"/>
      <c r="BG93" s="119"/>
      <c r="BH93" s="119"/>
      <c r="BI93" s="119"/>
      <c r="BJ93" s="119"/>
      <c r="BK93" s="119"/>
      <c r="BL93" s="119"/>
    </row>
    <row r="94" spans="1:64">
      <c r="A94" s="119">
        <v>92</v>
      </c>
      <c r="B94" s="113">
        <f t="shared" si="1"/>
        <v>45414</v>
      </c>
      <c r="C94" s="114">
        <f>YEAR(MC_2[[#This Row],[Date]])+IF(MONTH(MC_2[[#This Row],[Date]])&gt;=4,1,0)</f>
        <v>2025</v>
      </c>
      <c r="D94" s="115">
        <f>YEAR(MC_2[[#This Row],[Date]])</f>
        <v>2024</v>
      </c>
      <c r="E94" s="112" t="s">
        <v>340</v>
      </c>
      <c r="F94" s="112" t="s">
        <v>340</v>
      </c>
      <c r="G94" s="116" t="str">
        <f>TEXT(MC_2[[#This Row],[Date]],"mmm-yy")</f>
        <v>May-24</v>
      </c>
      <c r="H94" s="116">
        <f>DAY(EOMONTH(MC_2[[#This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5">
        <f>SUM(MC_2[[#This Row],[IS1Inv1M1]:[IS9Inv19M2]])</f>
        <v>0</v>
      </c>
      <c r="BF94" s="119"/>
      <c r="BG94" s="119"/>
      <c r="BH94" s="119"/>
      <c r="BI94" s="119"/>
      <c r="BJ94" s="119"/>
      <c r="BK94" s="119"/>
      <c r="BL94" s="119"/>
    </row>
    <row r="95" spans="1:64">
      <c r="A95" s="119">
        <v>93</v>
      </c>
      <c r="B95" s="113">
        <f t="shared" si="1"/>
        <v>45415</v>
      </c>
      <c r="C95" s="114">
        <f>YEAR(MC_2[[#This Row],[Date]])+IF(MONTH(MC_2[[#This Row],[Date]])&gt;=4,1,0)</f>
        <v>2025</v>
      </c>
      <c r="D95" s="115">
        <f>YEAR(MC_2[[#This Row],[Date]])</f>
        <v>2024</v>
      </c>
      <c r="E95" s="112" t="s">
        <v>340</v>
      </c>
      <c r="F95" s="112" t="s">
        <v>340</v>
      </c>
      <c r="G95" s="116" t="str">
        <f>TEXT(MC_2[[#This Row],[Date]],"mmm-yy")</f>
        <v>May-24</v>
      </c>
      <c r="H95" s="116">
        <f>DAY(EOMONTH(MC_2[[#This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5">
        <f>SUM(MC_2[[#This Row],[IS1Inv1M1]:[IS9Inv19M2]])</f>
        <v>0</v>
      </c>
      <c r="BF95" s="119"/>
      <c r="BG95" s="119"/>
      <c r="BH95" s="119"/>
      <c r="BI95" s="119"/>
      <c r="BJ95" s="119"/>
      <c r="BK95" s="119"/>
      <c r="BL95" s="119"/>
    </row>
    <row r="96" spans="1:64">
      <c r="A96" s="119">
        <v>94</v>
      </c>
      <c r="B96" s="113">
        <f t="shared" si="1"/>
        <v>45416</v>
      </c>
      <c r="C96" s="114">
        <f>YEAR(MC_2[[#This Row],[Date]])+IF(MONTH(MC_2[[#This Row],[Date]])&gt;=4,1,0)</f>
        <v>2025</v>
      </c>
      <c r="D96" s="115">
        <f>YEAR(MC_2[[#This Row],[Date]])</f>
        <v>2024</v>
      </c>
      <c r="E96" s="112" t="s">
        <v>340</v>
      </c>
      <c r="F96" s="112" t="s">
        <v>340</v>
      </c>
      <c r="G96" s="116" t="str">
        <f>TEXT(MC_2[[#This Row],[Date]],"mmm-yy")</f>
        <v>May-24</v>
      </c>
      <c r="H96" s="116">
        <f>DAY(EOMONTH(MC_2[[#This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5">
        <f>SUM(MC_2[[#This Row],[IS1Inv1M1]:[IS9Inv19M2]])</f>
        <v>0</v>
      </c>
      <c r="BF96" s="120"/>
      <c r="BG96" s="119"/>
      <c r="BH96" s="119"/>
      <c r="BI96" s="120"/>
      <c r="BJ96" s="119"/>
      <c r="BK96" s="119"/>
      <c r="BL96" s="119"/>
    </row>
    <row r="97" spans="1:64">
      <c r="A97" s="119">
        <v>95</v>
      </c>
      <c r="B97" s="113">
        <f t="shared" si="1"/>
        <v>45417</v>
      </c>
      <c r="C97" s="114">
        <f>YEAR(MC_2[[#This Row],[Date]])+IF(MONTH(MC_2[[#This Row],[Date]])&gt;=4,1,0)</f>
        <v>2025</v>
      </c>
      <c r="D97" s="115">
        <f>YEAR(MC_2[[#This Row],[Date]])</f>
        <v>2024</v>
      </c>
      <c r="E97" s="112" t="s">
        <v>340</v>
      </c>
      <c r="F97" s="112" t="s">
        <v>340</v>
      </c>
      <c r="G97" s="116" t="str">
        <f>TEXT(MC_2[[#This Row],[Date]],"mmm-yy")</f>
        <v>May-24</v>
      </c>
      <c r="H97" s="116">
        <f>DAY(EOMONTH(MC_2[[#This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5">
        <f>SUM(MC_2[[#This Row],[IS1Inv1M1]:[IS9Inv19M2]])</f>
        <v>0</v>
      </c>
      <c r="BF97" s="119"/>
      <c r="BG97" s="119"/>
      <c r="BH97" s="119"/>
      <c r="BI97" s="119"/>
      <c r="BJ97" s="119"/>
      <c r="BK97" s="119"/>
      <c r="BL97" s="119"/>
    </row>
    <row r="98" spans="1:64">
      <c r="A98" s="119">
        <v>96</v>
      </c>
      <c r="B98" s="113">
        <f t="shared" si="1"/>
        <v>45418</v>
      </c>
      <c r="C98" s="114">
        <f>YEAR(MC_2[[#This Row],[Date]])+IF(MONTH(MC_2[[#This Row],[Date]])&gt;=4,1,0)</f>
        <v>2025</v>
      </c>
      <c r="D98" s="115">
        <f>YEAR(MC_2[[#This Row],[Date]])</f>
        <v>2024</v>
      </c>
      <c r="E98" s="112" t="s">
        <v>340</v>
      </c>
      <c r="F98" s="112" t="s">
        <v>340</v>
      </c>
      <c r="G98" s="116" t="str">
        <f>TEXT(MC_2[[#This Row],[Date]],"mmm-yy")</f>
        <v>May-24</v>
      </c>
      <c r="H98" s="116">
        <f>DAY(EOMONTH(MC_2[[#This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19"/>
      <c r="BD98" s="119"/>
      <c r="BE98" s="5">
        <f>SUM(MC_2[[#This Row],[IS1Inv1M1]:[IS9Inv19M2]])</f>
        <v>0</v>
      </c>
      <c r="BF98" s="119"/>
      <c r="BG98" s="119"/>
      <c r="BH98" s="119"/>
      <c r="BI98" s="119"/>
      <c r="BJ98" s="119"/>
      <c r="BK98" s="119"/>
      <c r="BL98" s="119"/>
    </row>
    <row r="99" spans="1:64">
      <c r="A99" s="119">
        <v>97</v>
      </c>
      <c r="B99" s="113">
        <f t="shared" si="1"/>
        <v>45419</v>
      </c>
      <c r="C99" s="114">
        <f>YEAR(MC_2[[#This Row],[Date]])+IF(MONTH(MC_2[[#This Row],[Date]])&gt;=4,1,0)</f>
        <v>2025</v>
      </c>
      <c r="D99" s="115">
        <f>YEAR(MC_2[[#This Row],[Date]])</f>
        <v>2024</v>
      </c>
      <c r="E99" s="112" t="s">
        <v>340</v>
      </c>
      <c r="F99" s="112" t="s">
        <v>340</v>
      </c>
      <c r="G99" s="116" t="str">
        <f>TEXT(MC_2[[#This Row],[Date]],"mmm-yy")</f>
        <v>May-24</v>
      </c>
      <c r="H99" s="116">
        <f>DAY(EOMONTH(MC_2[[#This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  <c r="AU99" s="119"/>
      <c r="AV99" s="119"/>
      <c r="AW99" s="119"/>
      <c r="AX99" s="119"/>
      <c r="AY99" s="119"/>
      <c r="AZ99" s="119"/>
      <c r="BA99" s="119"/>
      <c r="BB99" s="119"/>
      <c r="BC99" s="119"/>
      <c r="BD99" s="119"/>
      <c r="BE99" s="5">
        <f>SUM(MC_2[[#This Row],[IS1Inv1M1]:[IS9Inv19M2]])</f>
        <v>0</v>
      </c>
      <c r="BF99" s="119"/>
      <c r="BG99" s="119"/>
      <c r="BH99" s="119"/>
      <c r="BI99" s="119"/>
      <c r="BJ99" s="119"/>
      <c r="BK99" s="119"/>
      <c r="BL99" s="119"/>
    </row>
    <row r="100" spans="1:64">
      <c r="A100" s="119">
        <v>98</v>
      </c>
      <c r="B100" s="113">
        <f t="shared" si="1"/>
        <v>45420</v>
      </c>
      <c r="C100" s="114">
        <f>YEAR(MC_2[[#This Row],[Date]])+IF(MONTH(MC_2[[#This Row],[Date]])&gt;=4,1,0)</f>
        <v>2025</v>
      </c>
      <c r="D100" s="115">
        <f>YEAR(MC_2[[#This Row],[Date]])</f>
        <v>2024</v>
      </c>
      <c r="E100" s="112" t="s">
        <v>340</v>
      </c>
      <c r="F100" s="112" t="s">
        <v>340</v>
      </c>
      <c r="G100" s="116" t="str">
        <f>TEXT(MC_2[[#This Row],[Date]],"mmm-yy")</f>
        <v>May-24</v>
      </c>
      <c r="H100" s="116">
        <f>DAY(EOMONTH(MC_2[[#This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19"/>
      <c r="BD100" s="119"/>
      <c r="BE100" s="5">
        <f>SUM(MC_2[[#This Row],[IS1Inv1M1]:[IS9Inv19M2]])</f>
        <v>0</v>
      </c>
      <c r="BF100" s="119"/>
      <c r="BG100" s="119"/>
      <c r="BH100" s="119"/>
      <c r="BI100" s="119"/>
      <c r="BJ100" s="119"/>
      <c r="BK100" s="119"/>
      <c r="BL100" s="119"/>
    </row>
    <row r="101" spans="1:64">
      <c r="A101" s="119">
        <v>99</v>
      </c>
      <c r="B101" s="113">
        <f t="shared" si="1"/>
        <v>45421</v>
      </c>
      <c r="C101" s="114">
        <f>YEAR(MC_2[[#This Row],[Date]])+IF(MONTH(MC_2[[#This Row],[Date]])&gt;=4,1,0)</f>
        <v>2025</v>
      </c>
      <c r="D101" s="115">
        <f>YEAR(MC_2[[#This Row],[Date]])</f>
        <v>2024</v>
      </c>
      <c r="E101" s="112" t="s">
        <v>340</v>
      </c>
      <c r="F101" s="112" t="s">
        <v>340</v>
      </c>
      <c r="G101" s="116" t="str">
        <f>TEXT(MC_2[[#This Row],[Date]],"mmm-yy")</f>
        <v>May-24</v>
      </c>
      <c r="H101" s="116">
        <f>DAY(EOMONTH(MC_2[[#This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  <c r="AU101" s="119"/>
      <c r="AV101" s="119"/>
      <c r="AW101" s="119"/>
      <c r="AX101" s="119"/>
      <c r="AY101" s="119"/>
      <c r="AZ101" s="119"/>
      <c r="BA101" s="119"/>
      <c r="BB101" s="119"/>
      <c r="BC101" s="119"/>
      <c r="BD101" s="119"/>
      <c r="BE101" s="5">
        <f>SUM(MC_2[[#This Row],[IS1Inv1M1]:[IS9Inv19M2]])</f>
        <v>0</v>
      </c>
      <c r="BF101" s="119"/>
      <c r="BG101" s="119"/>
      <c r="BH101" s="119"/>
      <c r="BI101" s="119"/>
      <c r="BJ101" s="119"/>
      <c r="BK101" s="119"/>
      <c r="BL101" s="119"/>
    </row>
    <row r="102" spans="1:64">
      <c r="A102" s="119">
        <v>100</v>
      </c>
      <c r="B102" s="113">
        <f t="shared" si="1"/>
        <v>45422</v>
      </c>
      <c r="C102" s="114">
        <f>YEAR(MC_2[[#This Row],[Date]])+IF(MONTH(MC_2[[#This Row],[Date]])&gt;=4,1,0)</f>
        <v>2025</v>
      </c>
      <c r="D102" s="115">
        <f>YEAR(MC_2[[#This Row],[Date]])</f>
        <v>2024</v>
      </c>
      <c r="E102" s="112" t="s">
        <v>340</v>
      </c>
      <c r="F102" s="112" t="s">
        <v>340</v>
      </c>
      <c r="G102" s="116" t="str">
        <f>TEXT(MC_2[[#This Row],[Date]],"mmm-yy")</f>
        <v>May-24</v>
      </c>
      <c r="H102" s="116">
        <f>DAY(EOMONTH(MC_2[[#This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5">
        <f>SUM(MC_2[[#This Row],[IS1Inv1M1]:[IS9Inv19M2]])</f>
        <v>0</v>
      </c>
      <c r="BF102" s="119"/>
      <c r="BG102" s="119"/>
      <c r="BH102" s="119"/>
      <c r="BI102" s="119"/>
      <c r="BJ102" s="119"/>
      <c r="BK102" s="119"/>
      <c r="BL102" s="119"/>
    </row>
    <row r="103" spans="1:64">
      <c r="A103" s="119">
        <v>101</v>
      </c>
      <c r="B103" s="113">
        <f t="shared" si="1"/>
        <v>45423</v>
      </c>
      <c r="C103" s="114">
        <f>YEAR(MC_2[[#This Row],[Date]])+IF(MONTH(MC_2[[#This Row],[Date]])&gt;=4,1,0)</f>
        <v>2025</v>
      </c>
      <c r="D103" s="115">
        <f>YEAR(MC_2[[#This Row],[Date]])</f>
        <v>2024</v>
      </c>
      <c r="E103" s="112" t="s">
        <v>340</v>
      </c>
      <c r="F103" s="112" t="s">
        <v>340</v>
      </c>
      <c r="G103" s="116" t="str">
        <f>TEXT(MC_2[[#This Row],[Date]],"mmm-yy")</f>
        <v>May-24</v>
      </c>
      <c r="H103" s="116">
        <f>DAY(EOMONTH(MC_2[[#This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5">
        <f>SUM(MC_2[[#This Row],[IS1Inv1M1]:[IS9Inv19M2]])</f>
        <v>0</v>
      </c>
      <c r="BF103" s="119"/>
      <c r="BG103" s="119"/>
      <c r="BH103" s="119"/>
      <c r="BI103" s="119"/>
      <c r="BJ103" s="119"/>
      <c r="BK103" s="119"/>
      <c r="BL103" s="119"/>
    </row>
    <row r="104" spans="1:64">
      <c r="A104" s="119">
        <v>102</v>
      </c>
      <c r="B104" s="113">
        <f t="shared" si="1"/>
        <v>45424</v>
      </c>
      <c r="C104" s="114">
        <f>YEAR(MC_2[[#This Row],[Date]])+IF(MONTH(MC_2[[#This Row],[Date]])&gt;=4,1,0)</f>
        <v>2025</v>
      </c>
      <c r="D104" s="115">
        <f>YEAR(MC_2[[#This Row],[Date]])</f>
        <v>2024</v>
      </c>
      <c r="E104" s="112" t="s">
        <v>340</v>
      </c>
      <c r="F104" s="112" t="s">
        <v>340</v>
      </c>
      <c r="G104" s="116" t="str">
        <f>TEXT(MC_2[[#This Row],[Date]],"mmm-yy")</f>
        <v>May-24</v>
      </c>
      <c r="H104" s="116">
        <f>DAY(EOMONTH(MC_2[[#This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5">
        <f>SUM(MC_2[[#This Row],[IS1Inv1M1]:[IS9Inv19M2]])</f>
        <v>0</v>
      </c>
      <c r="BF104" s="119"/>
      <c r="BG104" s="119"/>
      <c r="BH104" s="119"/>
      <c r="BI104" s="119"/>
      <c r="BJ104" s="119"/>
      <c r="BK104" s="119"/>
      <c r="BL104" s="119"/>
    </row>
    <row r="105" spans="1:64">
      <c r="A105" s="119">
        <v>103</v>
      </c>
      <c r="B105" s="113">
        <f t="shared" si="1"/>
        <v>45425</v>
      </c>
      <c r="C105" s="114">
        <f>YEAR(MC_2[[#This Row],[Date]])+IF(MONTH(MC_2[[#This Row],[Date]])&gt;=4,1,0)</f>
        <v>2025</v>
      </c>
      <c r="D105" s="115">
        <f>YEAR(MC_2[[#This Row],[Date]])</f>
        <v>2024</v>
      </c>
      <c r="E105" s="112" t="s">
        <v>340</v>
      </c>
      <c r="F105" s="112" t="s">
        <v>340</v>
      </c>
      <c r="G105" s="116" t="str">
        <f>TEXT(MC_2[[#This Row],[Date]],"mmm-yy")</f>
        <v>May-24</v>
      </c>
      <c r="H105" s="116">
        <f>DAY(EOMONTH(MC_2[[#This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  <c r="AW105" s="112"/>
      <c r="AX105" s="112"/>
      <c r="AY105" s="112"/>
      <c r="AZ105" s="112"/>
      <c r="BA105" s="112"/>
      <c r="BB105" s="112"/>
      <c r="BC105" s="112"/>
      <c r="BD105" s="112"/>
      <c r="BE105" s="5">
        <f>SUM(MC_2[[#This Row],[IS1Inv1M1]:[IS9Inv19M2]])</f>
        <v>0</v>
      </c>
      <c r="BF105" s="119"/>
      <c r="BG105" s="119"/>
      <c r="BH105" s="120"/>
      <c r="BI105" s="120"/>
      <c r="BJ105" s="119"/>
      <c r="BK105" s="119"/>
      <c r="BL105" s="119"/>
    </row>
    <row r="106" spans="1:64">
      <c r="A106" s="119">
        <v>104</v>
      </c>
      <c r="B106" s="113">
        <f t="shared" si="1"/>
        <v>45426</v>
      </c>
      <c r="C106" s="114">
        <f>YEAR(MC_2[[#This Row],[Date]])+IF(MONTH(MC_2[[#This Row],[Date]])&gt;=4,1,0)</f>
        <v>2025</v>
      </c>
      <c r="D106" s="115">
        <f>YEAR(MC_2[[#This Row],[Date]])</f>
        <v>2024</v>
      </c>
      <c r="E106" s="112" t="s">
        <v>340</v>
      </c>
      <c r="F106" s="112" t="s">
        <v>340</v>
      </c>
      <c r="G106" s="116" t="str">
        <f>TEXT(MC_2[[#This Row],[Date]],"mmm-yy")</f>
        <v>May-24</v>
      </c>
      <c r="H106" s="116">
        <f>DAY(EOMONTH(MC_2[[#This Row],[Month Year]],0))</f>
        <v>31</v>
      </c>
      <c r="I106" s="119">
        <v>1</v>
      </c>
      <c r="J106" s="119" t="s">
        <v>1270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5">
        <f>SUM(MC_2[[#This Row],[IS1Inv1M1]:[IS9Inv19M2]])</f>
        <v>0</v>
      </c>
      <c r="BF106" s="120"/>
      <c r="BG106" s="120"/>
      <c r="BH106" s="120"/>
      <c r="BI106" s="120"/>
      <c r="BJ106" s="119"/>
      <c r="BK106" s="119"/>
      <c r="BL106" s="119"/>
    </row>
    <row r="107" spans="1:64">
      <c r="A107" s="119">
        <v>105</v>
      </c>
      <c r="B107" s="113">
        <f t="shared" si="1"/>
        <v>45427</v>
      </c>
      <c r="C107" s="114">
        <f>YEAR(MC_2[[#This Row],[Date]])+IF(MONTH(MC_2[[#This Row],[Date]])&gt;=4,1,0)</f>
        <v>2025</v>
      </c>
      <c r="D107" s="115">
        <f>YEAR(MC_2[[#This Row],[Date]])</f>
        <v>2024</v>
      </c>
      <c r="E107" s="112" t="s">
        <v>340</v>
      </c>
      <c r="F107" s="112" t="s">
        <v>340</v>
      </c>
      <c r="G107" s="116" t="str">
        <f>TEXT(MC_2[[#This Row],[Date]],"mmm-yy")</f>
        <v>May-24</v>
      </c>
      <c r="H107" s="116">
        <f>DAY(EOMONTH(MC_2[[#This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5">
        <f>SUM(MC_2[[#This Row],[IS1Inv1M1]:[IS9Inv19M2]])</f>
        <v>0</v>
      </c>
      <c r="BF107" s="120"/>
      <c r="BG107" s="120"/>
      <c r="BH107" s="119"/>
      <c r="BI107" s="119"/>
      <c r="BJ107" s="119"/>
      <c r="BK107" s="119"/>
      <c r="BL107" s="119"/>
    </row>
    <row r="108" spans="1:64">
      <c r="A108" s="119">
        <v>106</v>
      </c>
      <c r="B108" s="113">
        <f t="shared" si="1"/>
        <v>45428</v>
      </c>
      <c r="C108" s="114">
        <f>YEAR(MC_2[[#This Row],[Date]])+IF(MONTH(MC_2[[#This Row],[Date]])&gt;=4,1,0)</f>
        <v>2025</v>
      </c>
      <c r="D108" s="115">
        <f>YEAR(MC_2[[#This Row],[Date]])</f>
        <v>2024</v>
      </c>
      <c r="E108" s="112" t="s">
        <v>340</v>
      </c>
      <c r="F108" s="112" t="s">
        <v>340</v>
      </c>
      <c r="G108" s="116" t="str">
        <f>TEXT(MC_2[[#This Row],[Date]],"mmm-yy")</f>
        <v>May-24</v>
      </c>
      <c r="H108" s="116">
        <f>DAY(EOMONTH(MC_2[[#This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9"/>
      <c r="BC108" s="119"/>
      <c r="BD108" s="119"/>
      <c r="BE108" s="5">
        <f>SUM(MC_2[[#This Row],[IS1Inv1M1]:[IS9Inv19M2]])</f>
        <v>0</v>
      </c>
      <c r="BF108" s="119"/>
      <c r="BG108" s="119"/>
      <c r="BH108" s="119"/>
      <c r="BI108" s="119"/>
      <c r="BJ108" s="119"/>
      <c r="BK108" s="119"/>
      <c r="BL108" s="119"/>
    </row>
    <row r="109" spans="1:64">
      <c r="A109" s="119">
        <v>107</v>
      </c>
      <c r="B109" s="113">
        <f t="shared" si="1"/>
        <v>45429</v>
      </c>
      <c r="C109" s="114">
        <f>YEAR(MC_2[[#This Row],[Date]])+IF(MONTH(MC_2[[#This Row],[Date]])&gt;=4,1,0)</f>
        <v>2025</v>
      </c>
      <c r="D109" s="115">
        <f>YEAR(MC_2[[#This Row],[Date]])</f>
        <v>2024</v>
      </c>
      <c r="E109" s="112" t="s">
        <v>340</v>
      </c>
      <c r="F109" s="112" t="s">
        <v>340</v>
      </c>
      <c r="G109" s="116" t="str">
        <f>TEXT(MC_2[[#This Row],[Date]],"mmm-yy")</f>
        <v>May-24</v>
      </c>
      <c r="H109" s="116">
        <f>DAY(EOMONTH(MC_2[[#This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  <c r="AU109" s="119"/>
      <c r="AV109" s="119"/>
      <c r="AW109" s="119"/>
      <c r="AX109" s="119"/>
      <c r="AY109" s="119"/>
      <c r="AZ109" s="119"/>
      <c r="BA109" s="119"/>
      <c r="BB109" s="119"/>
      <c r="BC109" s="119"/>
      <c r="BD109" s="119"/>
      <c r="BE109" s="5">
        <f>SUM(MC_2[[#This Row],[IS1Inv1M1]:[IS9Inv19M2]])</f>
        <v>0</v>
      </c>
      <c r="BF109" s="119"/>
      <c r="BG109" s="119"/>
      <c r="BH109" s="119"/>
      <c r="BI109" s="119"/>
      <c r="BJ109" s="119"/>
      <c r="BK109" s="119"/>
      <c r="BL109" s="119"/>
    </row>
    <row r="110" spans="1:64">
      <c r="A110" s="119">
        <v>108</v>
      </c>
      <c r="B110" s="113">
        <f t="shared" si="1"/>
        <v>45430</v>
      </c>
      <c r="C110" s="114">
        <f>YEAR(MC_2[[#This Row],[Date]])+IF(MONTH(MC_2[[#This Row],[Date]])&gt;=4,1,0)</f>
        <v>2025</v>
      </c>
      <c r="D110" s="115">
        <f>YEAR(MC_2[[#This Row],[Date]])</f>
        <v>2024</v>
      </c>
      <c r="E110" s="112" t="s">
        <v>340</v>
      </c>
      <c r="F110" s="112" t="s">
        <v>340</v>
      </c>
      <c r="G110" s="116" t="str">
        <f>TEXT(MC_2[[#This Row],[Date]],"mmm-yy")</f>
        <v>May-24</v>
      </c>
      <c r="H110" s="116">
        <f>DAY(EOMONTH(MC_2[[#This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19"/>
      <c r="BD110" s="119"/>
      <c r="BE110" s="5">
        <f>SUM(MC_2[[#This Row],[IS1Inv1M1]:[IS9Inv19M2]])</f>
        <v>0</v>
      </c>
      <c r="BF110" s="119"/>
      <c r="BG110" s="119"/>
      <c r="BH110" s="120"/>
      <c r="BI110" s="120"/>
      <c r="BJ110" s="119"/>
      <c r="BK110" s="119"/>
      <c r="BL110" s="119"/>
    </row>
    <row r="111" spans="1:64">
      <c r="A111" s="119">
        <v>109</v>
      </c>
      <c r="B111" s="113">
        <f t="shared" si="1"/>
        <v>45431</v>
      </c>
      <c r="C111" s="114">
        <f>YEAR(MC_2[[#This Row],[Date]])+IF(MONTH(MC_2[[#This Row],[Date]])&gt;=4,1,0)</f>
        <v>2025</v>
      </c>
      <c r="D111" s="115">
        <f>YEAR(MC_2[[#This Row],[Date]])</f>
        <v>2024</v>
      </c>
      <c r="E111" s="112" t="s">
        <v>340</v>
      </c>
      <c r="F111" s="112" t="s">
        <v>340</v>
      </c>
      <c r="G111" s="116" t="str">
        <f>TEXT(MC_2[[#This Row],[Date]],"mmm-yy")</f>
        <v>May-24</v>
      </c>
      <c r="H111" s="116">
        <f>DAY(EOMONTH(MC_2[[#This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  <c r="AU111" s="119"/>
      <c r="AV111" s="119"/>
      <c r="AW111" s="119"/>
      <c r="AX111" s="119"/>
      <c r="AY111" s="119"/>
      <c r="AZ111" s="119"/>
      <c r="BA111" s="119"/>
      <c r="BB111" s="119"/>
      <c r="BC111" s="119"/>
      <c r="BD111" s="119"/>
      <c r="BE111" s="5">
        <f>SUM(MC_2[[#This Row],[IS1Inv1M1]:[IS9Inv19M2]])</f>
        <v>0</v>
      </c>
      <c r="BF111" s="120"/>
      <c r="BG111" s="120"/>
      <c r="BH111" s="120"/>
      <c r="BI111" s="120"/>
      <c r="BJ111" s="119"/>
      <c r="BK111" s="119"/>
      <c r="BL111" s="119"/>
    </row>
    <row r="112" spans="1:64">
      <c r="A112" s="119">
        <v>110</v>
      </c>
      <c r="B112" s="113">
        <f t="shared" si="1"/>
        <v>45432</v>
      </c>
      <c r="C112" s="114">
        <f>YEAR(MC_2[[#This Row],[Date]])+IF(MONTH(MC_2[[#This Row],[Date]])&gt;=4,1,0)</f>
        <v>2025</v>
      </c>
      <c r="D112" s="115">
        <f>YEAR(MC_2[[#This Row],[Date]])</f>
        <v>2024</v>
      </c>
      <c r="E112" s="112" t="s">
        <v>340</v>
      </c>
      <c r="F112" s="112" t="s">
        <v>340</v>
      </c>
      <c r="G112" s="116" t="str">
        <f>TEXT(MC_2[[#This Row],[Date]],"mmm-yy")</f>
        <v>May-24</v>
      </c>
      <c r="H112" s="116">
        <f>DAY(EOMONTH(MC_2[[#This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19"/>
      <c r="BD112" s="119"/>
      <c r="BE112" s="5">
        <f>SUM(MC_2[[#This Row],[IS1Inv1M1]:[IS9Inv19M2]])</f>
        <v>0</v>
      </c>
      <c r="BF112" s="120"/>
      <c r="BG112" s="120"/>
      <c r="BH112" s="120"/>
      <c r="BI112" s="120"/>
      <c r="BJ112" s="119"/>
      <c r="BK112" s="119"/>
      <c r="BL112" s="119"/>
    </row>
    <row r="113" spans="1:64">
      <c r="A113" s="119">
        <v>111</v>
      </c>
      <c r="B113" s="113">
        <f t="shared" si="1"/>
        <v>45433</v>
      </c>
      <c r="C113" s="114">
        <f>YEAR(MC_2[[#This Row],[Date]])+IF(MONTH(MC_2[[#This Row],[Date]])&gt;=4,1,0)</f>
        <v>2025</v>
      </c>
      <c r="D113" s="115">
        <f>YEAR(MC_2[[#This Row],[Date]])</f>
        <v>2024</v>
      </c>
      <c r="E113" s="112" t="s">
        <v>340</v>
      </c>
      <c r="F113" s="112" t="s">
        <v>340</v>
      </c>
      <c r="G113" s="116" t="str">
        <f>TEXT(MC_2[[#This Row],[Date]],"mmm-yy")</f>
        <v>May-24</v>
      </c>
      <c r="H113" s="116">
        <f>DAY(EOMONTH(MC_2[[#This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5">
        <f>SUM(MC_2[[#This Row],[IS1Inv1M1]:[IS9Inv19M2]])</f>
        <v>0</v>
      </c>
      <c r="BF113" s="119"/>
      <c r="BG113" s="119"/>
      <c r="BH113" s="120"/>
      <c r="BI113" s="120"/>
      <c r="BJ113" s="119"/>
      <c r="BK113" s="119"/>
      <c r="BL113" s="119"/>
    </row>
    <row r="114" spans="1:64">
      <c r="A114" s="119">
        <v>112</v>
      </c>
      <c r="B114" s="113">
        <f t="shared" si="1"/>
        <v>45434</v>
      </c>
      <c r="C114" s="114">
        <f>YEAR(MC_2[[#This Row],[Date]])+IF(MONTH(MC_2[[#This Row],[Date]])&gt;=4,1,0)</f>
        <v>2025</v>
      </c>
      <c r="D114" s="115">
        <f>YEAR(MC_2[[#This Row],[Date]])</f>
        <v>2024</v>
      </c>
      <c r="E114" s="112" t="s">
        <v>340</v>
      </c>
      <c r="F114" s="112" t="s">
        <v>340</v>
      </c>
      <c r="G114" s="116" t="str">
        <f>TEXT(MC_2[[#This Row],[Date]],"mmm-yy")</f>
        <v>May-24</v>
      </c>
      <c r="H114" s="116">
        <f>DAY(EOMONTH(MC_2[[#This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9"/>
      <c r="BC114" s="119"/>
      <c r="BD114" s="119"/>
      <c r="BE114" s="5">
        <f>SUM(MC_2[[#This Row],[IS1Inv1M1]:[IS9Inv19M2]])</f>
        <v>0</v>
      </c>
      <c r="BF114" s="120"/>
      <c r="BG114" s="120"/>
      <c r="BH114" s="120"/>
      <c r="BI114" s="120"/>
      <c r="BJ114" s="119"/>
      <c r="BK114" s="119"/>
      <c r="BL114" s="119"/>
    </row>
    <row r="115" spans="1:64">
      <c r="A115" s="119">
        <v>113</v>
      </c>
      <c r="B115" s="113">
        <f t="shared" si="1"/>
        <v>45435</v>
      </c>
      <c r="C115" s="114">
        <f>YEAR(MC_2[[#This Row],[Date]])+IF(MONTH(MC_2[[#This Row],[Date]])&gt;=4,1,0)</f>
        <v>2025</v>
      </c>
      <c r="D115" s="115">
        <f>YEAR(MC_2[[#This Row],[Date]])</f>
        <v>2024</v>
      </c>
      <c r="E115" s="112" t="s">
        <v>340</v>
      </c>
      <c r="F115" s="112" t="s">
        <v>340</v>
      </c>
      <c r="G115" s="116" t="str">
        <f>TEXT(MC_2[[#This Row],[Date]],"mmm-yy")</f>
        <v>May-24</v>
      </c>
      <c r="H115" s="116">
        <f>DAY(EOMONTH(MC_2[[#This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  <c r="AU115" s="119"/>
      <c r="AV115" s="119"/>
      <c r="AW115" s="119"/>
      <c r="AX115" s="119"/>
      <c r="AY115" s="119"/>
      <c r="AZ115" s="119"/>
      <c r="BA115" s="119"/>
      <c r="BB115" s="119"/>
      <c r="BC115" s="119"/>
      <c r="BD115" s="119"/>
      <c r="BE115" s="5">
        <f>SUM(MC_2[[#This Row],[IS1Inv1M1]:[IS9Inv19M2]])</f>
        <v>0</v>
      </c>
      <c r="BF115" s="120"/>
      <c r="BG115" s="120"/>
      <c r="BH115" s="120"/>
      <c r="BI115" s="120"/>
      <c r="BJ115" s="119"/>
      <c r="BK115" s="119"/>
      <c r="BL115" s="119"/>
    </row>
    <row r="116" spans="1:64">
      <c r="A116" s="119">
        <v>114</v>
      </c>
      <c r="B116" s="113">
        <f t="shared" si="1"/>
        <v>45436</v>
      </c>
      <c r="C116" s="114">
        <f>YEAR(MC_2[[#This Row],[Date]])+IF(MONTH(MC_2[[#This Row],[Date]])&gt;=4,1,0)</f>
        <v>2025</v>
      </c>
      <c r="D116" s="115">
        <f>YEAR(MC_2[[#This Row],[Date]])</f>
        <v>2024</v>
      </c>
      <c r="E116" s="112" t="s">
        <v>340</v>
      </c>
      <c r="F116" s="112" t="s">
        <v>340</v>
      </c>
      <c r="G116" s="116" t="str">
        <f>TEXT(MC_2[[#This Row],[Date]],"mmm-yy")</f>
        <v>May-24</v>
      </c>
      <c r="H116" s="116">
        <f>DAY(EOMONTH(MC_2[[#This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9"/>
      <c r="BC116" s="119"/>
      <c r="BD116" s="119"/>
      <c r="BE116" s="5">
        <f>SUM(MC_2[[#This Row],[IS1Inv1M1]:[IS9Inv19M2]])</f>
        <v>0</v>
      </c>
      <c r="BF116" s="120"/>
      <c r="BG116" s="120"/>
      <c r="BH116" s="120"/>
      <c r="BI116" s="120"/>
      <c r="BJ116" s="119"/>
      <c r="BK116" s="119"/>
      <c r="BL116" s="119"/>
    </row>
    <row r="117" spans="1:64">
      <c r="A117" s="119">
        <v>115</v>
      </c>
      <c r="B117" s="113">
        <f t="shared" si="1"/>
        <v>45437</v>
      </c>
      <c r="C117" s="114">
        <f>YEAR(MC_2[[#This Row],[Date]])+IF(MONTH(MC_2[[#This Row],[Date]])&gt;=4,1,0)</f>
        <v>2025</v>
      </c>
      <c r="D117" s="115">
        <f>YEAR(MC_2[[#This Row],[Date]])</f>
        <v>2024</v>
      </c>
      <c r="E117" s="112" t="s">
        <v>340</v>
      </c>
      <c r="F117" s="112" t="s">
        <v>340</v>
      </c>
      <c r="G117" s="116" t="str">
        <f>TEXT(MC_2[[#This Row],[Date]],"mmm-yy")</f>
        <v>May-24</v>
      </c>
      <c r="H117" s="116">
        <f>DAY(EOMONTH(MC_2[[#This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  <c r="AU117" s="119"/>
      <c r="AV117" s="119"/>
      <c r="AW117" s="119"/>
      <c r="AX117" s="119"/>
      <c r="AY117" s="119"/>
      <c r="AZ117" s="119"/>
      <c r="BA117" s="119"/>
      <c r="BB117" s="119"/>
      <c r="BC117" s="119"/>
      <c r="BD117" s="119"/>
      <c r="BE117" s="5">
        <f>SUM(MC_2[[#This Row],[IS1Inv1M1]:[IS9Inv19M2]])</f>
        <v>0</v>
      </c>
      <c r="BF117" s="120"/>
      <c r="BG117" s="120"/>
      <c r="BH117" s="119"/>
      <c r="BI117" s="119"/>
      <c r="BJ117" s="119"/>
      <c r="BK117" s="119"/>
      <c r="BL117" s="119"/>
    </row>
    <row r="118" spans="1:64">
      <c r="A118" s="119">
        <v>116</v>
      </c>
      <c r="B118" s="113">
        <f t="shared" si="1"/>
        <v>45438</v>
      </c>
      <c r="C118" s="114">
        <f>YEAR(MC_2[[#This Row],[Date]])+IF(MONTH(MC_2[[#This Row],[Date]])&gt;=4,1,0)</f>
        <v>2025</v>
      </c>
      <c r="D118" s="115">
        <f>YEAR(MC_2[[#This Row],[Date]])</f>
        <v>2024</v>
      </c>
      <c r="E118" s="112" t="s">
        <v>340</v>
      </c>
      <c r="F118" s="112" t="s">
        <v>340</v>
      </c>
      <c r="G118" s="116" t="str">
        <f>TEXT(MC_2[[#This Row],[Date]],"mmm-yy")</f>
        <v>May-24</v>
      </c>
      <c r="H118" s="116">
        <f>DAY(EOMONTH(MC_2[[#This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19"/>
      <c r="BD118" s="119"/>
      <c r="BE118" s="5">
        <f>SUM(MC_2[[#This Row],[IS1Inv1M1]:[IS9Inv19M2]])</f>
        <v>0</v>
      </c>
      <c r="BF118" s="119"/>
      <c r="BG118" s="119"/>
      <c r="BH118" s="119"/>
      <c r="BI118" s="119"/>
      <c r="BJ118" s="119"/>
      <c r="BK118" s="119"/>
      <c r="BL118" s="119"/>
    </row>
    <row r="119" spans="1:64">
      <c r="A119" s="119">
        <v>117</v>
      </c>
      <c r="B119" s="113">
        <f t="shared" si="1"/>
        <v>45439</v>
      </c>
      <c r="C119" s="114">
        <f>YEAR(MC_2[[#This Row],[Date]])+IF(MONTH(MC_2[[#This Row],[Date]])&gt;=4,1,0)</f>
        <v>2025</v>
      </c>
      <c r="D119" s="115">
        <f>YEAR(MC_2[[#This Row],[Date]])</f>
        <v>2024</v>
      </c>
      <c r="E119" s="112" t="s">
        <v>340</v>
      </c>
      <c r="F119" s="112" t="s">
        <v>340</v>
      </c>
      <c r="G119" s="116" t="str">
        <f>TEXT(MC_2[[#This Row],[Date]],"mmm-yy")</f>
        <v>May-24</v>
      </c>
      <c r="H119" s="116">
        <f>DAY(EOMONTH(MC_2[[#This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5">
        <f>SUM(MC_2[[#This Row],[IS1Inv1M1]:[IS9Inv19M2]])</f>
        <v>0</v>
      </c>
      <c r="BF119" s="119"/>
      <c r="BG119" s="119"/>
      <c r="BH119" s="119"/>
      <c r="BI119" s="119"/>
      <c r="BJ119" s="119"/>
      <c r="BK119" s="119"/>
      <c r="BL119" s="119"/>
    </row>
    <row r="120" spans="1:64">
      <c r="A120" s="119">
        <v>118</v>
      </c>
      <c r="B120" s="113">
        <f t="shared" si="1"/>
        <v>45440</v>
      </c>
      <c r="C120" s="114">
        <f>YEAR(MC_2[[#This Row],[Date]])+IF(MONTH(MC_2[[#This Row],[Date]])&gt;=4,1,0)</f>
        <v>2025</v>
      </c>
      <c r="D120" s="115">
        <f>YEAR(MC_2[[#This Row],[Date]])</f>
        <v>2024</v>
      </c>
      <c r="E120" s="112" t="s">
        <v>340</v>
      </c>
      <c r="F120" s="112" t="s">
        <v>340</v>
      </c>
      <c r="G120" s="116" t="str">
        <f>TEXT(MC_2[[#This Row],[Date]],"mmm-yy")</f>
        <v>May-24</v>
      </c>
      <c r="H120" s="116">
        <f>DAY(EOMONTH(MC_2[[#This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9"/>
      <c r="BC120" s="119"/>
      <c r="BD120" s="119"/>
      <c r="BE120" s="5">
        <f>SUM(MC_2[[#This Row],[IS1Inv1M1]:[IS9Inv19M2]])</f>
        <v>0</v>
      </c>
      <c r="BF120" s="119"/>
      <c r="BG120" s="119"/>
      <c r="BH120" s="119"/>
      <c r="BI120" s="119"/>
      <c r="BJ120" s="119"/>
      <c r="BK120" s="119"/>
      <c r="BL120" s="119"/>
    </row>
    <row r="121" spans="1:64">
      <c r="A121" s="119">
        <v>119</v>
      </c>
      <c r="B121" s="113">
        <f t="shared" si="1"/>
        <v>45441</v>
      </c>
      <c r="C121" s="114">
        <f>YEAR(MC_2[[#This Row],[Date]])+IF(MONTH(MC_2[[#This Row],[Date]])&gt;=4,1,0)</f>
        <v>2025</v>
      </c>
      <c r="D121" s="115">
        <f>YEAR(MC_2[[#This Row],[Date]])</f>
        <v>2024</v>
      </c>
      <c r="E121" s="112" t="s">
        <v>340</v>
      </c>
      <c r="F121" s="112" t="s">
        <v>340</v>
      </c>
      <c r="G121" s="116" t="str">
        <f>TEXT(MC_2[[#This Row],[Date]],"mmm-yy")</f>
        <v>May-24</v>
      </c>
      <c r="H121" s="116">
        <f>DAY(EOMONTH(MC_2[[#This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  <c r="AU121" s="119"/>
      <c r="AV121" s="119"/>
      <c r="AW121" s="119"/>
      <c r="AX121" s="119"/>
      <c r="AY121" s="119"/>
      <c r="AZ121" s="119"/>
      <c r="BA121" s="119"/>
      <c r="BB121" s="119"/>
      <c r="BC121" s="119"/>
      <c r="BD121" s="119"/>
      <c r="BE121" s="5">
        <f>SUM(MC_2[[#This Row],[IS1Inv1M1]:[IS9Inv19M2]])</f>
        <v>0</v>
      </c>
      <c r="BF121" s="119"/>
      <c r="BG121" s="119"/>
      <c r="BH121" s="119"/>
      <c r="BI121" s="119"/>
      <c r="BJ121" s="119"/>
      <c r="BK121" s="119"/>
      <c r="BL121" s="119"/>
    </row>
    <row r="122" spans="1:64">
      <c r="A122" s="119">
        <v>120</v>
      </c>
      <c r="B122" s="113">
        <f t="shared" si="1"/>
        <v>45442</v>
      </c>
      <c r="C122" s="114">
        <f>YEAR(MC_2[[#This Row],[Date]])+IF(MONTH(MC_2[[#This Row],[Date]])&gt;=4,1,0)</f>
        <v>2025</v>
      </c>
      <c r="D122" s="115">
        <f>YEAR(MC_2[[#This Row],[Date]])</f>
        <v>2024</v>
      </c>
      <c r="E122" s="112" t="s">
        <v>340</v>
      </c>
      <c r="F122" s="112" t="s">
        <v>340</v>
      </c>
      <c r="G122" s="116" t="str">
        <f>TEXT(MC_2[[#This Row],[Date]],"mmm-yy")</f>
        <v>May-24</v>
      </c>
      <c r="H122" s="116">
        <f>DAY(EOMONTH(MC_2[[#This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  <c r="AW122" s="112"/>
      <c r="AX122" s="112"/>
      <c r="AY122" s="112"/>
      <c r="AZ122" s="112"/>
      <c r="BA122" s="112"/>
      <c r="BB122" s="112"/>
      <c r="BC122" s="112"/>
      <c r="BD122" s="112"/>
      <c r="BE122" s="5">
        <f>SUM(MC_2[[#This Row],[IS1Inv1M1]:[IS9Inv19M2]])</f>
        <v>0</v>
      </c>
      <c r="BF122" s="119"/>
      <c r="BG122" s="119"/>
      <c r="BH122" s="119"/>
      <c r="BI122" s="119"/>
      <c r="BJ122" s="119"/>
      <c r="BK122" s="119"/>
      <c r="BL122" s="119"/>
    </row>
    <row r="123" spans="1:64">
      <c r="A123" s="119">
        <v>120</v>
      </c>
      <c r="B123" s="113">
        <f t="shared" si="1"/>
        <v>45443</v>
      </c>
      <c r="C123" s="114">
        <f>YEAR(MC_2[[#This Row],[Date]])+IF(MONTH(MC_2[[#This Row],[Date]])&gt;=4,1,0)</f>
        <v>2025</v>
      </c>
      <c r="D123" s="115">
        <f>YEAR(MC_2[[#This Row],[Date]])</f>
        <v>2024</v>
      </c>
      <c r="E123" s="112" t="s">
        <v>340</v>
      </c>
      <c r="F123" s="112" t="s">
        <v>340</v>
      </c>
      <c r="G123" s="116" t="str">
        <f>TEXT(MC_2[[#This Row],[Date]],"mmm-yy")</f>
        <v>May-24</v>
      </c>
      <c r="H123" s="116">
        <f>DAY(EOMONTH(MC_2[[#This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  <c r="AU123" s="119"/>
      <c r="AV123" s="119"/>
      <c r="AW123" s="119"/>
      <c r="AX123" s="119"/>
      <c r="AY123" s="119"/>
      <c r="AZ123" s="119"/>
      <c r="BA123" s="119"/>
      <c r="BB123" s="119"/>
      <c r="BC123" s="119"/>
      <c r="BD123" s="119"/>
      <c r="BE123" s="5">
        <f>SUM(MC_2[[#This Row],[IS1Inv1M1]:[IS9Inv19M2]])</f>
        <v>0</v>
      </c>
      <c r="BF123" s="119"/>
      <c r="BG123" s="119"/>
      <c r="BH123" s="119"/>
      <c r="BI123" s="119"/>
      <c r="BJ123" s="119"/>
      <c r="BK123" s="119"/>
      <c r="BL123" s="119"/>
    </row>
    <row r="124" spans="1:64">
      <c r="A124" s="119">
        <v>122</v>
      </c>
      <c r="B124" s="113">
        <f t="shared" si="1"/>
        <v>45444</v>
      </c>
      <c r="C124" s="114">
        <f>YEAR(MC_2[[#This Row],[Date]])+IF(MONTH(MC_2[[#This Row],[Date]])&gt;=4,1,0)</f>
        <v>2025</v>
      </c>
      <c r="D124" s="115">
        <f>YEAR(MC_2[[#This Row],[Date]])</f>
        <v>2024</v>
      </c>
      <c r="E124" s="112" t="s">
        <v>340</v>
      </c>
      <c r="F124" s="112" t="s">
        <v>340</v>
      </c>
      <c r="G124" s="116" t="str">
        <f>TEXT(MC_2[[#This Row],[Date]],"mmm-yy")</f>
        <v>Jun-24</v>
      </c>
      <c r="H124" s="116">
        <f>DAY(EOMONTH(MC_2[[#This Row],[Month Year]],0))</f>
        <v>30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9"/>
      <c r="BC124" s="119"/>
      <c r="BD124" s="119"/>
      <c r="BE124" s="5">
        <f>SUM(MC_2[[#This Row],[IS1Inv1M1]:[IS9Inv19M2]])</f>
        <v>0</v>
      </c>
      <c r="BF124" s="119"/>
      <c r="BG124" s="119"/>
      <c r="BH124" s="119"/>
      <c r="BI124" s="119"/>
      <c r="BJ124" s="119"/>
      <c r="BK124" s="119"/>
      <c r="BL124" s="119"/>
    </row>
    <row r="125" spans="1:64">
      <c r="A125" s="119">
        <v>123</v>
      </c>
      <c r="B125" s="113">
        <f t="shared" si="1"/>
        <v>45445</v>
      </c>
      <c r="C125" s="114">
        <f>YEAR(MC_2[[#This Row],[Date]])+IF(MONTH(MC_2[[#This Row],[Date]])&gt;=4,1,0)</f>
        <v>2025</v>
      </c>
      <c r="D125" s="115">
        <f>YEAR(MC_2[[#This Row],[Date]])</f>
        <v>2024</v>
      </c>
      <c r="E125" s="112" t="s">
        <v>340</v>
      </c>
      <c r="F125" s="112" t="s">
        <v>340</v>
      </c>
      <c r="G125" s="116" t="str">
        <f>TEXT(MC_2[[#This Row],[Date]],"mmm-yy")</f>
        <v>Jun-24</v>
      </c>
      <c r="H125" s="116">
        <f>DAY(EOMONTH(MC_2[[#This Row],[Month Year]],0))</f>
        <v>30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5">
        <f>SUM(MC_2[[#This Row],[IS1Inv1M1]:[IS9Inv19M2]])</f>
        <v>0</v>
      </c>
      <c r="BF125" s="119"/>
      <c r="BG125" s="119"/>
      <c r="BH125" s="119"/>
      <c r="BI125" s="119"/>
      <c r="BJ125" s="119"/>
      <c r="BK125" s="119"/>
      <c r="BL125" s="119"/>
    </row>
    <row r="126" spans="1:64">
      <c r="A126" s="119">
        <v>124</v>
      </c>
      <c r="B126" s="113">
        <f t="shared" si="1"/>
        <v>45446</v>
      </c>
      <c r="C126" s="114">
        <f>YEAR(MC_2[[#This Row],[Date]])+IF(MONTH(MC_2[[#This Row],[Date]])&gt;=4,1,0)</f>
        <v>2025</v>
      </c>
      <c r="D126" s="115">
        <f>YEAR(MC_2[[#This Row],[Date]])</f>
        <v>2024</v>
      </c>
      <c r="E126" s="112" t="s">
        <v>340</v>
      </c>
      <c r="F126" s="112" t="s">
        <v>340</v>
      </c>
      <c r="G126" s="116" t="str">
        <f>TEXT(MC_2[[#This Row],[Date]],"mmm-yy")</f>
        <v>Jun-24</v>
      </c>
      <c r="H126" s="116">
        <f>DAY(EOMONTH(MC_2[[#This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9"/>
      <c r="BC126" s="119"/>
      <c r="BD126" s="119"/>
      <c r="BE126" s="5">
        <f>SUM(MC_2[[#This Row],[IS1Inv1M1]:[IS9Inv19M2]])</f>
        <v>0</v>
      </c>
      <c r="BF126" s="119"/>
      <c r="BG126" s="119"/>
      <c r="BH126" s="119"/>
      <c r="BI126" s="119"/>
      <c r="BJ126" s="119"/>
      <c r="BK126" s="119"/>
      <c r="BL126" s="119"/>
    </row>
    <row r="127" spans="1:64">
      <c r="A127" s="119">
        <v>125</v>
      </c>
      <c r="B127" s="113">
        <f t="shared" si="1"/>
        <v>45447</v>
      </c>
      <c r="C127" s="114">
        <f>YEAR(MC_2[[#This Row],[Date]])+IF(MONTH(MC_2[[#This Row],[Date]])&gt;=4,1,0)</f>
        <v>2025</v>
      </c>
      <c r="D127" s="115">
        <f>YEAR(MC_2[[#This Row],[Date]])</f>
        <v>2024</v>
      </c>
      <c r="E127" s="112" t="s">
        <v>340</v>
      </c>
      <c r="F127" s="112" t="s">
        <v>340</v>
      </c>
      <c r="G127" s="116" t="str">
        <f>TEXT(MC_2[[#This Row],[Date]],"mmm-yy")</f>
        <v>Jun-24</v>
      </c>
      <c r="H127" s="116">
        <f>DAY(EOMONTH(MC_2[[#This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  <c r="AU127" s="119"/>
      <c r="AV127" s="119"/>
      <c r="AW127" s="119"/>
      <c r="AX127" s="119"/>
      <c r="AY127" s="119"/>
      <c r="AZ127" s="119"/>
      <c r="BA127" s="119"/>
      <c r="BB127" s="119"/>
      <c r="BC127" s="119"/>
      <c r="BD127" s="119"/>
      <c r="BE127" s="5">
        <f>SUM(MC_2[[#This Row],[IS1Inv1M1]:[IS9Inv19M2]])</f>
        <v>0</v>
      </c>
      <c r="BF127" s="119"/>
      <c r="BG127" s="119"/>
      <c r="BH127" s="119"/>
      <c r="BI127" s="119"/>
      <c r="BJ127" s="119"/>
      <c r="BK127" s="119"/>
      <c r="BL127" s="119"/>
    </row>
    <row r="128" spans="1:64">
      <c r="A128" s="119">
        <v>126</v>
      </c>
      <c r="B128" s="113">
        <f t="shared" si="1"/>
        <v>45448</v>
      </c>
      <c r="C128" s="114">
        <f>YEAR(MC_2[[#This Row],[Date]])+IF(MONTH(MC_2[[#This Row],[Date]])&gt;=4,1,0)</f>
        <v>2025</v>
      </c>
      <c r="D128" s="115">
        <f>YEAR(MC_2[[#This Row],[Date]])</f>
        <v>2024</v>
      </c>
      <c r="E128" s="112" t="s">
        <v>340</v>
      </c>
      <c r="F128" s="112" t="s">
        <v>340</v>
      </c>
      <c r="G128" s="116" t="str">
        <f>TEXT(MC_2[[#This Row],[Date]],"mmm-yy")</f>
        <v>Jun-24</v>
      </c>
      <c r="H128" s="116">
        <f>DAY(EOMONTH(MC_2[[#This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19"/>
      <c r="BD128" s="119"/>
      <c r="BE128" s="5">
        <f>SUM(MC_2[[#This Row],[IS1Inv1M1]:[IS9Inv19M2]])</f>
        <v>0</v>
      </c>
      <c r="BF128" s="119"/>
      <c r="BG128" s="119"/>
      <c r="BH128" s="119"/>
      <c r="BI128" s="119"/>
      <c r="BJ128" s="119"/>
      <c r="BK128" s="119"/>
      <c r="BL128" s="119"/>
    </row>
    <row r="129" spans="1:64">
      <c r="A129" s="119">
        <v>127</v>
      </c>
      <c r="B129" s="113">
        <f t="shared" si="1"/>
        <v>45449</v>
      </c>
      <c r="C129" s="114">
        <f>YEAR(MC_2[[#This Row],[Date]])+IF(MONTH(MC_2[[#This Row],[Date]])&gt;=4,1,0)</f>
        <v>2025</v>
      </c>
      <c r="D129" s="115">
        <f>YEAR(MC_2[[#This Row],[Date]])</f>
        <v>2024</v>
      </c>
      <c r="E129" s="112" t="s">
        <v>340</v>
      </c>
      <c r="F129" s="112" t="s">
        <v>340</v>
      </c>
      <c r="G129" s="116" t="str">
        <f>TEXT(MC_2[[#This Row],[Date]],"mmm-yy")</f>
        <v>Jun-24</v>
      </c>
      <c r="H129" s="116">
        <f>DAY(EOMONTH(MC_2[[#This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  <c r="AU129" s="119"/>
      <c r="AV129" s="119"/>
      <c r="AW129" s="119"/>
      <c r="AX129" s="119"/>
      <c r="AY129" s="119"/>
      <c r="AZ129" s="119"/>
      <c r="BA129" s="119"/>
      <c r="BB129" s="119"/>
      <c r="BC129" s="119"/>
      <c r="BD129" s="119"/>
      <c r="BE129" s="5">
        <f>SUM(MC_2[[#This Row],[IS1Inv1M1]:[IS9Inv19M2]])</f>
        <v>0</v>
      </c>
      <c r="BF129" s="119"/>
      <c r="BG129" s="119"/>
      <c r="BH129" s="119"/>
      <c r="BI129" s="119"/>
      <c r="BJ129" s="119"/>
      <c r="BK129" s="119"/>
      <c r="BL129" s="119"/>
    </row>
    <row r="130" spans="1:64">
      <c r="A130" s="119">
        <v>127</v>
      </c>
      <c r="B130" s="113">
        <f t="shared" si="1"/>
        <v>45450</v>
      </c>
      <c r="C130" s="114">
        <f>YEAR(MC_2[[#This Row],[Date]])+IF(MONTH(MC_2[[#This Row],[Date]])&gt;=4,1,0)</f>
        <v>2025</v>
      </c>
      <c r="D130" s="115">
        <f>YEAR(MC_2[[#This Row],[Date]])</f>
        <v>2024</v>
      </c>
      <c r="E130" s="112" t="s">
        <v>340</v>
      </c>
      <c r="F130" s="112" t="s">
        <v>340</v>
      </c>
      <c r="G130" s="116" t="str">
        <f>TEXT(MC_2[[#This Row],[Date]],"mmm-yy")</f>
        <v>Jun-24</v>
      </c>
      <c r="H130" s="116">
        <f>DAY(EOMONTH(MC_2[[#This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5">
        <f>SUM(MC_2[[#This Row],[IS1Inv1M1]:[IS9Inv19M2]])</f>
        <v>0</v>
      </c>
      <c r="BF130" s="119"/>
      <c r="BG130" s="119"/>
      <c r="BH130" s="120">
        <v>0.16666666666666666</v>
      </c>
      <c r="BI130" s="120">
        <v>0.375</v>
      </c>
      <c r="BJ130" s="119" t="s">
        <v>1247</v>
      </c>
      <c r="BK130" s="119"/>
      <c r="BL130" s="119"/>
    </row>
    <row r="131" spans="1:64">
      <c r="A131" s="119">
        <v>127</v>
      </c>
      <c r="B131" s="113">
        <f t="shared" si="1"/>
        <v>45451</v>
      </c>
      <c r="C131" s="114">
        <f>YEAR(MC_2[[#This Row],[Date]])+IF(MONTH(MC_2[[#This Row],[Date]])&gt;=4,1,0)</f>
        <v>2025</v>
      </c>
      <c r="D131" s="115">
        <f>YEAR(MC_2[[#This Row],[Date]])</f>
        <v>2024</v>
      </c>
      <c r="E131" s="112" t="s">
        <v>340</v>
      </c>
      <c r="F131" s="112" t="s">
        <v>340</v>
      </c>
      <c r="G131" s="116" t="str">
        <f>TEXT(MC_2[[#This Row],[Date]],"mmm-yy")</f>
        <v>Jun-24</v>
      </c>
      <c r="H131" s="116">
        <f>DAY(EOMONTH(MC_2[[#This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5">
        <f>SUM(MC_2[[#This Row],[IS1Inv1M1]:[IS9Inv19M2]])</f>
        <v>0</v>
      </c>
      <c r="BF131" s="119"/>
      <c r="BG131" s="119"/>
      <c r="BH131" s="120">
        <v>0.16666666666666666</v>
      </c>
      <c r="BI131" s="120">
        <v>0.375</v>
      </c>
      <c r="BJ131" s="119" t="s">
        <v>1247</v>
      </c>
      <c r="BK131" s="119"/>
      <c r="BL131" s="119"/>
    </row>
    <row r="132" spans="1:64">
      <c r="A132" s="119">
        <v>127</v>
      </c>
      <c r="B132" s="113">
        <f t="shared" si="1"/>
        <v>45452</v>
      </c>
      <c r="C132" s="114">
        <f>YEAR(MC_2[[#This Row],[Date]])+IF(MONTH(MC_2[[#This Row],[Date]])&gt;=4,1,0)</f>
        <v>2025</v>
      </c>
      <c r="D132" s="115">
        <f>YEAR(MC_2[[#This Row],[Date]])</f>
        <v>2024</v>
      </c>
      <c r="E132" s="112" t="s">
        <v>340</v>
      </c>
      <c r="F132" s="112" t="s">
        <v>340</v>
      </c>
      <c r="G132" s="116" t="str">
        <f>TEXT(MC_2[[#This Row],[Date]],"mmm-yy")</f>
        <v>Jun-24</v>
      </c>
      <c r="H132" s="116">
        <f>DAY(EOMONTH(MC_2[[#This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5">
        <f>SUM(MC_2[[#This Row],[IS1Inv1M1]:[IS9Inv19M2]])</f>
        <v>0</v>
      </c>
      <c r="BF132" s="119"/>
      <c r="BG132" s="119"/>
      <c r="BH132" s="120">
        <v>0.16666666666666666</v>
      </c>
      <c r="BI132" s="120">
        <v>0.375</v>
      </c>
      <c r="BJ132" s="119" t="s">
        <v>1247</v>
      </c>
      <c r="BK132" s="119"/>
      <c r="BL132" s="119"/>
    </row>
    <row r="133" spans="1:64">
      <c r="A133" s="119">
        <v>127</v>
      </c>
      <c r="B133" s="113">
        <f t="shared" ref="B133:B196" si="2">B132+1</f>
        <v>45453</v>
      </c>
      <c r="C133" s="114">
        <f>YEAR(MC_2[[#This Row],[Date]])+IF(MONTH(MC_2[[#This Row],[Date]])&gt;=4,1,0)</f>
        <v>2025</v>
      </c>
      <c r="D133" s="115">
        <f>YEAR(MC_2[[#This Row],[Date]])</f>
        <v>2024</v>
      </c>
      <c r="E133" s="112" t="s">
        <v>340</v>
      </c>
      <c r="F133" s="112" t="s">
        <v>340</v>
      </c>
      <c r="G133" s="116" t="str">
        <f>TEXT(MC_2[[#This Row],[Date]],"mmm-yy")</f>
        <v>Jun-24</v>
      </c>
      <c r="H133" s="116">
        <f>DAY(EOMONTH(MC_2[[#This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  <c r="AU133" s="119"/>
      <c r="AV133" s="119"/>
      <c r="AW133" s="119"/>
      <c r="AX133" s="119"/>
      <c r="AY133" s="119"/>
      <c r="AZ133" s="119"/>
      <c r="BA133" s="119"/>
      <c r="BB133" s="119"/>
      <c r="BC133" s="119"/>
      <c r="BD133" s="119"/>
      <c r="BE133" s="5">
        <f>SUM(MC_2[[#This Row],[IS1Inv1M1]:[IS9Inv19M2]])</f>
        <v>0</v>
      </c>
      <c r="BF133" s="119"/>
      <c r="BG133" s="119"/>
      <c r="BH133" s="120">
        <v>0.16666666666666666</v>
      </c>
      <c r="BI133" s="120">
        <v>0.375</v>
      </c>
      <c r="BJ133" s="119" t="s">
        <v>1247</v>
      </c>
      <c r="BK133" s="119"/>
      <c r="BL133" s="119"/>
    </row>
    <row r="134" spans="1:64">
      <c r="A134" s="119">
        <v>127</v>
      </c>
      <c r="B134" s="113">
        <f t="shared" si="2"/>
        <v>45454</v>
      </c>
      <c r="C134" s="114">
        <f>YEAR(MC_2[[#This Row],[Date]])+IF(MONTH(MC_2[[#This Row],[Date]])&gt;=4,1,0)</f>
        <v>2025</v>
      </c>
      <c r="D134" s="115">
        <f>YEAR(MC_2[[#This Row],[Date]])</f>
        <v>2024</v>
      </c>
      <c r="E134" s="112" t="s">
        <v>340</v>
      </c>
      <c r="F134" s="112" t="s">
        <v>340</v>
      </c>
      <c r="G134" s="116" t="str">
        <f>TEXT(MC_2[[#This Row],[Date]],"mmm-yy")</f>
        <v>Jun-24</v>
      </c>
      <c r="H134" s="116">
        <f>DAY(EOMONTH(MC_2[[#This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19"/>
      <c r="BD134" s="119"/>
      <c r="BE134" s="5">
        <f>SUM(MC_2[[#This Row],[IS1Inv1M1]:[IS9Inv19M2]])</f>
        <v>0</v>
      </c>
      <c r="BF134" s="119"/>
      <c r="BG134" s="119"/>
      <c r="BH134" s="120">
        <v>0.16666666666666666</v>
      </c>
      <c r="BI134" s="120">
        <v>0.375</v>
      </c>
      <c r="BJ134" s="119" t="s">
        <v>1247</v>
      </c>
      <c r="BK134" s="119"/>
      <c r="BL134" s="119"/>
    </row>
    <row r="135" spans="1:64">
      <c r="A135" s="119">
        <v>127</v>
      </c>
      <c r="B135" s="113">
        <f t="shared" si="2"/>
        <v>45455</v>
      </c>
      <c r="C135" s="114">
        <f>YEAR(MC_2[[#This Row],[Date]])+IF(MONTH(MC_2[[#This Row],[Date]])&gt;=4,1,0)</f>
        <v>2025</v>
      </c>
      <c r="D135" s="115">
        <f>YEAR(MC_2[[#This Row],[Date]])</f>
        <v>2024</v>
      </c>
      <c r="E135" s="112" t="s">
        <v>340</v>
      </c>
      <c r="F135" s="112" t="s">
        <v>340</v>
      </c>
      <c r="G135" s="116" t="str">
        <f>TEXT(MC_2[[#This Row],[Date]],"mmm-yy")</f>
        <v>Jun-24</v>
      </c>
      <c r="H135" s="116">
        <f>DAY(EOMONTH(MC_2[[#This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  <c r="AU135" s="119"/>
      <c r="AV135" s="119"/>
      <c r="AW135" s="119"/>
      <c r="AX135" s="119"/>
      <c r="AY135" s="119"/>
      <c r="AZ135" s="119"/>
      <c r="BA135" s="119"/>
      <c r="BB135" s="119"/>
      <c r="BC135" s="119"/>
      <c r="BD135" s="119"/>
      <c r="BE135" s="5">
        <f>SUM(MC_2[[#This Row],[IS1Inv1M1]:[IS9Inv19M2]])</f>
        <v>0</v>
      </c>
      <c r="BF135" s="120"/>
      <c r="BG135" s="120"/>
      <c r="BH135" s="120">
        <v>0.16666666666666666</v>
      </c>
      <c r="BI135" s="120">
        <v>0.375</v>
      </c>
      <c r="BJ135" s="119" t="s">
        <v>1247</v>
      </c>
      <c r="BK135" s="119"/>
      <c r="BL135" s="119"/>
    </row>
    <row r="136" spans="1:64">
      <c r="A136" s="119">
        <v>127</v>
      </c>
      <c r="B136" s="113">
        <f t="shared" si="2"/>
        <v>45456</v>
      </c>
      <c r="C136" s="114">
        <f>YEAR(MC_2[[#This Row],[Date]])+IF(MONTH(MC_2[[#This Row],[Date]])&gt;=4,1,0)</f>
        <v>2025</v>
      </c>
      <c r="D136" s="115">
        <f>YEAR(MC_2[[#This Row],[Date]])</f>
        <v>2024</v>
      </c>
      <c r="E136" s="112" t="s">
        <v>340</v>
      </c>
      <c r="F136" s="112" t="s">
        <v>340</v>
      </c>
      <c r="G136" s="116" t="str">
        <f>TEXT(MC_2[[#This Row],[Date]],"mmm-yy")</f>
        <v>Jun-24</v>
      </c>
      <c r="H136" s="116">
        <f>DAY(EOMONTH(MC_2[[#This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9"/>
      <c r="BC136" s="119"/>
      <c r="BD136" s="119"/>
      <c r="BE136" s="5">
        <f>SUM(MC_2[[#This Row],[IS1Inv1M1]:[IS9Inv19M2]])</f>
        <v>0</v>
      </c>
      <c r="BF136" s="120"/>
      <c r="BG136" s="120"/>
      <c r="BH136" s="120">
        <v>0.16666666666666666</v>
      </c>
      <c r="BI136" s="120">
        <v>0.375</v>
      </c>
      <c r="BJ136" s="119" t="s">
        <v>1247</v>
      </c>
      <c r="BK136" s="119"/>
      <c r="BL136" s="119" t="s">
        <v>1248</v>
      </c>
    </row>
    <row r="137" spans="1:64">
      <c r="A137" s="119">
        <v>127</v>
      </c>
      <c r="B137" s="113">
        <f t="shared" si="2"/>
        <v>45457</v>
      </c>
      <c r="C137" s="114">
        <f>YEAR(MC_2[[#This Row],[Date]])+IF(MONTH(MC_2[[#This Row],[Date]])&gt;=4,1,0)</f>
        <v>2025</v>
      </c>
      <c r="D137" s="115">
        <f>YEAR(MC_2[[#This Row],[Date]])</f>
        <v>2024</v>
      </c>
      <c r="E137" s="112" t="s">
        <v>340</v>
      </c>
      <c r="F137" s="112" t="s">
        <v>340</v>
      </c>
      <c r="G137" s="116" t="str">
        <f>TEXT(MC_2[[#This Row],[Date]],"mmm-yy")</f>
        <v>Jun-24</v>
      </c>
      <c r="H137" s="116">
        <f>DAY(EOMONTH(MC_2[[#This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  <c r="AU137" s="119"/>
      <c r="AV137" s="119"/>
      <c r="AW137" s="119"/>
      <c r="AX137" s="119"/>
      <c r="AY137" s="119"/>
      <c r="AZ137" s="119"/>
      <c r="BA137" s="119"/>
      <c r="BB137" s="119"/>
      <c r="BC137" s="119"/>
      <c r="BD137" s="119"/>
      <c r="BE137" s="5">
        <f>SUM(MC_2[[#This Row],[IS1Inv1M1]:[IS9Inv19M2]])</f>
        <v>0</v>
      </c>
      <c r="BF137" s="120"/>
      <c r="BG137" s="120"/>
      <c r="BH137" s="120">
        <v>0.16666666666666699</v>
      </c>
      <c r="BI137" s="120">
        <v>0.375</v>
      </c>
      <c r="BJ137" s="119" t="s">
        <v>1247</v>
      </c>
      <c r="BK137" s="119"/>
      <c r="BL137" s="119"/>
    </row>
    <row r="138" spans="1:64">
      <c r="A138" s="119">
        <v>127</v>
      </c>
      <c r="B138" s="113">
        <f t="shared" si="2"/>
        <v>45458</v>
      </c>
      <c r="C138" s="114">
        <f>YEAR(MC_2[[#This Row],[Date]])+IF(MONTH(MC_2[[#This Row],[Date]])&gt;=4,1,0)</f>
        <v>2025</v>
      </c>
      <c r="D138" s="115">
        <f>YEAR(MC_2[[#This Row],[Date]])</f>
        <v>2024</v>
      </c>
      <c r="E138" s="112" t="s">
        <v>340</v>
      </c>
      <c r="F138" s="112" t="s">
        <v>340</v>
      </c>
      <c r="G138" s="116" t="str">
        <f>TEXT(MC_2[[#This Row],[Date]],"mmm-yy")</f>
        <v>Jun-24</v>
      </c>
      <c r="H138" s="116">
        <f>DAY(EOMONTH(MC_2[[#This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9"/>
      <c r="BC138" s="119"/>
      <c r="BD138" s="119"/>
      <c r="BE138" s="5">
        <f>SUM(MC_2[[#This Row],[IS1Inv1M1]:[IS9Inv19M2]])</f>
        <v>0</v>
      </c>
      <c r="BF138" s="120"/>
      <c r="BG138" s="120"/>
      <c r="BH138" s="120">
        <v>0.16666666666666699</v>
      </c>
      <c r="BI138" s="120">
        <v>0.375</v>
      </c>
      <c r="BJ138" s="119" t="s">
        <v>1247</v>
      </c>
      <c r="BK138" s="119"/>
      <c r="BL138" s="119"/>
    </row>
    <row r="139" spans="1:64">
      <c r="A139" s="119">
        <v>127</v>
      </c>
      <c r="B139" s="113">
        <f t="shared" si="2"/>
        <v>45459</v>
      </c>
      <c r="C139" s="114">
        <f>YEAR(MC_2[[#This Row],[Date]])+IF(MONTH(MC_2[[#This Row],[Date]])&gt;=4,1,0)</f>
        <v>2025</v>
      </c>
      <c r="D139" s="115">
        <f>YEAR(MC_2[[#This Row],[Date]])</f>
        <v>2024</v>
      </c>
      <c r="E139" s="112" t="s">
        <v>340</v>
      </c>
      <c r="F139" s="112" t="s">
        <v>340</v>
      </c>
      <c r="G139" s="116" t="str">
        <f>TEXT(MC_2[[#This Row],[Date]],"mmm-yy")</f>
        <v>Jun-24</v>
      </c>
      <c r="H139" s="116">
        <f>DAY(EOMONTH(MC_2[[#This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  <c r="AW139" s="112"/>
      <c r="AX139" s="112"/>
      <c r="AY139" s="112"/>
      <c r="AZ139" s="112"/>
      <c r="BA139" s="112"/>
      <c r="BB139" s="112"/>
      <c r="BC139" s="112"/>
      <c r="BD139" s="112"/>
      <c r="BE139" s="5">
        <f>SUM(MC_2[[#This Row],[IS1Inv1M1]:[IS9Inv19M2]])</f>
        <v>0</v>
      </c>
      <c r="BF139" s="120"/>
      <c r="BG139" s="120"/>
      <c r="BH139" s="120"/>
      <c r="BI139" s="120"/>
      <c r="BJ139" s="119"/>
      <c r="BK139" s="119"/>
      <c r="BL139" s="119" t="s">
        <v>1249</v>
      </c>
    </row>
    <row r="140" spans="1:64">
      <c r="A140" s="119">
        <v>127</v>
      </c>
      <c r="B140" s="113">
        <f t="shared" si="2"/>
        <v>45460</v>
      </c>
      <c r="C140" s="114">
        <f>YEAR(MC_2[[#This Row],[Date]])+IF(MONTH(MC_2[[#This Row],[Date]])&gt;=4,1,0)</f>
        <v>2025</v>
      </c>
      <c r="D140" s="115">
        <f>YEAR(MC_2[[#This Row],[Date]])</f>
        <v>2024</v>
      </c>
      <c r="E140" s="112" t="s">
        <v>340</v>
      </c>
      <c r="F140" s="112" t="s">
        <v>340</v>
      </c>
      <c r="G140" s="116" t="str">
        <f>TEXT(MC_2[[#This Row],[Date]],"mmm-yy")</f>
        <v>Jun-24</v>
      </c>
      <c r="H140" s="116">
        <f>DAY(EOMONTH(MC_2[[#This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19"/>
      <c r="BD140" s="119"/>
      <c r="BE140" s="5">
        <f>SUM(MC_2[[#This Row],[IS1Inv1M1]:[IS9Inv19M2]])</f>
        <v>0</v>
      </c>
      <c r="BF140" s="120"/>
      <c r="BG140" s="120"/>
      <c r="BH140" s="120"/>
      <c r="BI140" s="120"/>
      <c r="BJ140" s="119"/>
      <c r="BK140" s="119"/>
      <c r="BL140" s="119" t="s">
        <v>1249</v>
      </c>
    </row>
    <row r="141" spans="1:64">
      <c r="A141" s="119">
        <v>139</v>
      </c>
      <c r="B141" s="113">
        <f t="shared" si="2"/>
        <v>45461</v>
      </c>
      <c r="C141" s="114">
        <f>YEAR(MC_2[[#This Row],[Date]])+IF(MONTH(MC_2[[#This Row],[Date]])&gt;=4,1,0)</f>
        <v>2025</v>
      </c>
      <c r="D141" s="115">
        <f>YEAR(MC_2[[#This Row],[Date]])</f>
        <v>2024</v>
      </c>
      <c r="E141" s="112" t="s">
        <v>340</v>
      </c>
      <c r="F141" s="112" t="s">
        <v>340</v>
      </c>
      <c r="G141" s="116" t="str">
        <f>TEXT(MC_2[[#This Row],[Date]],"mmm-yy")</f>
        <v>Jun-24</v>
      </c>
      <c r="H141" s="116">
        <f>DAY(EOMONTH(MC_2[[#This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  <c r="AU141" s="119"/>
      <c r="AV141" s="119"/>
      <c r="AW141" s="119"/>
      <c r="AX141" s="119"/>
      <c r="AY141" s="119"/>
      <c r="AZ141" s="119"/>
      <c r="BA141" s="119"/>
      <c r="BB141" s="119"/>
      <c r="BC141" s="119"/>
      <c r="BD141" s="119"/>
      <c r="BE141" s="5">
        <f>SUM(MC_2[[#This Row],[IS1Inv1M1]:[IS9Inv19M2]])</f>
        <v>0</v>
      </c>
      <c r="BF141" s="120"/>
      <c r="BG141" s="119"/>
      <c r="BH141" s="120">
        <v>0.16666666666666699</v>
      </c>
      <c r="BI141" s="120">
        <v>0.375</v>
      </c>
      <c r="BJ141" s="119" t="s">
        <v>1247</v>
      </c>
      <c r="BK141" s="119"/>
      <c r="BL141" s="119" t="s">
        <v>1250</v>
      </c>
    </row>
    <row r="142" spans="1:64">
      <c r="A142" s="119">
        <v>140</v>
      </c>
      <c r="B142" s="113">
        <f t="shared" si="2"/>
        <v>45462</v>
      </c>
      <c r="C142" s="114">
        <f>YEAR(MC_2[[#This Row],[Date]])+IF(MONTH(MC_2[[#This Row],[Date]])&gt;=4,1,0)</f>
        <v>2025</v>
      </c>
      <c r="D142" s="115">
        <f>YEAR(MC_2[[#This Row],[Date]])</f>
        <v>2024</v>
      </c>
      <c r="E142" s="112" t="s">
        <v>340</v>
      </c>
      <c r="F142" s="112" t="s">
        <v>340</v>
      </c>
      <c r="G142" s="116" t="str">
        <f>TEXT(MC_2[[#This Row],[Date]],"mmm-yy")</f>
        <v>Jun-24</v>
      </c>
      <c r="H142" s="116">
        <f>DAY(EOMONTH(MC_2[[#This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9"/>
      <c r="BC142" s="119"/>
      <c r="BD142" s="119"/>
      <c r="BE142" s="5">
        <f>SUM(MC_2[[#This Row],[IS1Inv1M1]:[IS9Inv19M2]])</f>
        <v>0</v>
      </c>
      <c r="BF142" s="120"/>
      <c r="BG142" s="119"/>
      <c r="BH142" s="119"/>
      <c r="BI142" s="120"/>
      <c r="BJ142" s="119"/>
      <c r="BK142" s="119"/>
      <c r="BL142" s="119" t="s">
        <v>1251</v>
      </c>
    </row>
    <row r="143" spans="1:64">
      <c r="A143" s="119">
        <v>141</v>
      </c>
      <c r="B143" s="113">
        <f t="shared" si="2"/>
        <v>45463</v>
      </c>
      <c r="C143" s="114">
        <f>YEAR(MC_2[[#This Row],[Date]])+IF(MONTH(MC_2[[#This Row],[Date]])&gt;=4,1,0)</f>
        <v>2025</v>
      </c>
      <c r="D143" s="115">
        <f>YEAR(MC_2[[#This Row],[Date]])</f>
        <v>2024</v>
      </c>
      <c r="E143" s="112" t="s">
        <v>340</v>
      </c>
      <c r="F143" s="112" t="s">
        <v>340</v>
      </c>
      <c r="G143" s="116" t="str">
        <f>TEXT(MC_2[[#This Row],[Date]],"mmm-yy")</f>
        <v>Jun-24</v>
      </c>
      <c r="H143" s="116">
        <f>DAY(EOMONTH(MC_2[[#This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  <c r="AU143" s="119"/>
      <c r="AV143" s="119"/>
      <c r="AW143" s="119"/>
      <c r="AX143" s="119"/>
      <c r="AY143" s="119"/>
      <c r="AZ143" s="119"/>
      <c r="BA143" s="119"/>
      <c r="BB143" s="119"/>
      <c r="BC143" s="119"/>
      <c r="BD143" s="119"/>
      <c r="BE143" s="5">
        <f>SUM(MC_2[[#This Row],[IS1Inv1M1]:[IS9Inv19M2]])</f>
        <v>0</v>
      </c>
      <c r="BF143" s="120"/>
      <c r="BG143" s="119"/>
      <c r="BH143" s="119"/>
      <c r="BI143" s="120"/>
      <c r="BJ143" s="119"/>
      <c r="BK143" s="119"/>
      <c r="BL143" s="119" t="s">
        <v>1251</v>
      </c>
    </row>
    <row r="144" spans="1:64">
      <c r="A144" s="119">
        <v>142</v>
      </c>
      <c r="B144" s="113">
        <f t="shared" si="2"/>
        <v>45464</v>
      </c>
      <c r="C144" s="114">
        <f>YEAR(MC_2[[#This Row],[Date]])+IF(MONTH(MC_2[[#This Row],[Date]])&gt;=4,1,0)</f>
        <v>2025</v>
      </c>
      <c r="D144" s="115">
        <f>YEAR(MC_2[[#This Row],[Date]])</f>
        <v>2024</v>
      </c>
      <c r="E144" s="112" t="s">
        <v>340</v>
      </c>
      <c r="F144" s="112" t="s">
        <v>340</v>
      </c>
      <c r="G144" s="116" t="str">
        <f>TEXT(MC_2[[#This Row],[Date]],"mmm-yy")</f>
        <v>Jun-24</v>
      </c>
      <c r="H144" s="116">
        <f>DAY(EOMONTH(MC_2[[#This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9"/>
      <c r="BC144" s="119"/>
      <c r="BD144" s="119"/>
      <c r="BE144" s="5">
        <f>SUM(MC_2[[#This Row],[IS1Inv1M1]:[IS9Inv19M2]])</f>
        <v>0</v>
      </c>
      <c r="BF144" s="120"/>
      <c r="BG144" s="119"/>
      <c r="BH144" s="120">
        <v>0.16666666666666699</v>
      </c>
      <c r="BI144" s="120">
        <v>0.375</v>
      </c>
      <c r="BJ144" s="119" t="s">
        <v>1247</v>
      </c>
      <c r="BK144" s="119"/>
      <c r="BL144" s="119"/>
    </row>
    <row r="145" spans="1:64">
      <c r="A145" s="119">
        <v>143</v>
      </c>
      <c r="B145" s="113">
        <f t="shared" si="2"/>
        <v>45465</v>
      </c>
      <c r="C145" s="114">
        <f>YEAR(MC_2[[#This Row],[Date]])+IF(MONTH(MC_2[[#This Row],[Date]])&gt;=4,1,0)</f>
        <v>2025</v>
      </c>
      <c r="D145" s="115">
        <f>YEAR(MC_2[[#This Row],[Date]])</f>
        <v>2024</v>
      </c>
      <c r="E145" s="112" t="s">
        <v>340</v>
      </c>
      <c r="F145" s="112" t="s">
        <v>340</v>
      </c>
      <c r="G145" s="116" t="str">
        <f>TEXT(MC_2[[#This Row],[Date]],"mmm-yy")</f>
        <v>Jun-24</v>
      </c>
      <c r="H145" s="116">
        <f>DAY(EOMONTH(MC_2[[#This Row],[Month Year]],0))</f>
        <v>30</v>
      </c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  <c r="AU145" s="119"/>
      <c r="AV145" s="119"/>
      <c r="AW145" s="119"/>
      <c r="AX145" s="119"/>
      <c r="AY145" s="119"/>
      <c r="AZ145" s="119"/>
      <c r="BA145" s="119"/>
      <c r="BB145" s="119"/>
      <c r="BC145" s="119"/>
      <c r="BD145" s="119"/>
      <c r="BE145" s="5">
        <f>SUM(MC_2[[#This Row],[IS1Inv1M1]:[IS9Inv19M2]])</f>
        <v>0</v>
      </c>
      <c r="BF145" s="120"/>
      <c r="BG145" s="119"/>
      <c r="BH145" s="120">
        <v>0.20833333333333334</v>
      </c>
      <c r="BI145" s="120">
        <v>0.45833333333333331</v>
      </c>
      <c r="BJ145" s="119" t="s">
        <v>1247</v>
      </c>
      <c r="BK145" s="119"/>
      <c r="BL145" s="119"/>
    </row>
    <row r="146" spans="1:64">
      <c r="A146" s="119">
        <v>144</v>
      </c>
      <c r="B146" s="113">
        <f t="shared" si="2"/>
        <v>45466</v>
      </c>
      <c r="C146" s="114">
        <f>YEAR(MC_2[[#This Row],[Date]])+IF(MONTH(MC_2[[#This Row],[Date]])&gt;=4,1,0)</f>
        <v>2025</v>
      </c>
      <c r="D146" s="115">
        <f>YEAR(MC_2[[#This Row],[Date]])</f>
        <v>2024</v>
      </c>
      <c r="E146" s="112" t="s">
        <v>340</v>
      </c>
      <c r="F146" s="112" t="s">
        <v>340</v>
      </c>
      <c r="G146" s="116" t="str">
        <f>TEXT(MC_2[[#This Row],[Date]],"mmm-yy")</f>
        <v>Jun-24</v>
      </c>
      <c r="H146" s="116">
        <f>DAY(EOMONTH(MC_2[[#This Row],[Month Year]],0))</f>
        <v>30</v>
      </c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19"/>
      <c r="BD146" s="119"/>
      <c r="BE146" s="5">
        <f>SUM(MC_2[[#This Row],[IS1Inv1M1]:[IS9Inv19M2]])</f>
        <v>0</v>
      </c>
      <c r="BF146" s="119"/>
      <c r="BG146" s="119"/>
      <c r="BH146" s="120">
        <v>0.22916666666666666</v>
      </c>
      <c r="BI146" s="120">
        <v>0.39583333333333331</v>
      </c>
      <c r="BJ146" s="120">
        <v>0.6875</v>
      </c>
      <c r="BK146" s="120">
        <v>0.95833333333333337</v>
      </c>
      <c r="BL146" s="119" t="s">
        <v>1247</v>
      </c>
    </row>
    <row r="147" spans="1:64">
      <c r="A147" s="119">
        <v>145</v>
      </c>
      <c r="B147" s="113">
        <f t="shared" si="2"/>
        <v>45467</v>
      </c>
      <c r="C147" s="114">
        <f>YEAR(MC_2[[#This Row],[Date]])+IF(MONTH(MC_2[[#This Row],[Date]])&gt;=4,1,0)</f>
        <v>2025</v>
      </c>
      <c r="D147" s="115">
        <f>YEAR(MC_2[[#This Row],[Date]])</f>
        <v>2024</v>
      </c>
      <c r="E147" s="112" t="s">
        <v>340</v>
      </c>
      <c r="F147" s="112" t="s">
        <v>340</v>
      </c>
      <c r="G147" s="116" t="str">
        <f>TEXT(MC_2[[#This Row],[Date]],"mmm-yy")</f>
        <v>Jun-24</v>
      </c>
      <c r="H147" s="116">
        <f>DAY(EOMONTH(MC_2[[#This Row],[Month Year]],0))</f>
        <v>30</v>
      </c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  <c r="AU147" s="119"/>
      <c r="AV147" s="119"/>
      <c r="AW147" s="119"/>
      <c r="AX147" s="119"/>
      <c r="AY147" s="119"/>
      <c r="AZ147" s="119"/>
      <c r="BA147" s="119"/>
      <c r="BB147" s="119"/>
      <c r="BC147" s="119"/>
      <c r="BD147" s="119"/>
      <c r="BE147" s="5">
        <f>SUM(MC_2[[#This Row],[IS1Inv1M1]:[IS9Inv19M2]])</f>
        <v>0</v>
      </c>
      <c r="BF147" s="119"/>
      <c r="BG147" s="119"/>
      <c r="BH147" s="120">
        <v>0.22916666666666666</v>
      </c>
      <c r="BI147" s="120">
        <v>0.39583333333333331</v>
      </c>
      <c r="BJ147" s="120">
        <v>0.6875</v>
      </c>
      <c r="BK147" s="120">
        <v>0.95833333333333337</v>
      </c>
      <c r="BL147" s="119" t="s">
        <v>1247</v>
      </c>
    </row>
    <row r="148" spans="1:64">
      <c r="A148" s="119">
        <v>146</v>
      </c>
      <c r="B148" s="113">
        <f t="shared" si="2"/>
        <v>45468</v>
      </c>
      <c r="C148" s="114">
        <f>YEAR(MC_2[[#This Row],[Date]])+IF(MONTH(MC_2[[#This Row],[Date]])&gt;=4,1,0)</f>
        <v>2025</v>
      </c>
      <c r="D148" s="115">
        <f>YEAR(MC_2[[#This Row],[Date]])</f>
        <v>2024</v>
      </c>
      <c r="E148" s="112" t="s">
        <v>340</v>
      </c>
      <c r="F148" s="112" t="s">
        <v>340</v>
      </c>
      <c r="G148" s="116" t="str">
        <f>TEXT(MC_2[[#This Row],[Date]],"mmm-yy")</f>
        <v>Jun-24</v>
      </c>
      <c r="H148" s="116">
        <f>DAY(EOMONTH(MC_2[[#This Row],[Month Year]],0))</f>
        <v>30</v>
      </c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9"/>
      <c r="BC148" s="119"/>
      <c r="BD148" s="119"/>
      <c r="BE148" s="5">
        <f>SUM(MC_2[[#This Row],[IS1Inv1M1]:[IS9Inv19M2]])</f>
        <v>0</v>
      </c>
      <c r="BF148" s="119"/>
      <c r="BG148" s="119"/>
      <c r="BH148" s="120">
        <v>0.22916666666666666</v>
      </c>
      <c r="BI148" s="120">
        <v>0.39583333333333331</v>
      </c>
      <c r="BJ148" s="120">
        <v>0.6875</v>
      </c>
      <c r="BK148" s="120">
        <v>0.95833333333333337</v>
      </c>
      <c r="BL148" s="119" t="s">
        <v>1247</v>
      </c>
    </row>
    <row r="149" spans="1:64">
      <c r="A149" s="119">
        <v>147</v>
      </c>
      <c r="B149" s="113">
        <f t="shared" si="2"/>
        <v>45469</v>
      </c>
      <c r="C149" s="114">
        <f>YEAR(MC_2[[#This Row],[Date]])+IF(MONTH(MC_2[[#This Row],[Date]])&gt;=4,1,0)</f>
        <v>2025</v>
      </c>
      <c r="D149" s="115">
        <f>YEAR(MC_2[[#This Row],[Date]])</f>
        <v>2024</v>
      </c>
      <c r="E149" s="112" t="s">
        <v>340</v>
      </c>
      <c r="F149" s="112" t="s">
        <v>340</v>
      </c>
      <c r="G149" s="116" t="str">
        <f>TEXT(MC_2[[#This Row],[Date]],"mmm-yy")</f>
        <v>Jun-24</v>
      </c>
      <c r="H149" s="116">
        <f>DAY(EOMONTH(MC_2[[#This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  <c r="AU149" s="119"/>
      <c r="AV149" s="119"/>
      <c r="AW149" s="119"/>
      <c r="AX149" s="119"/>
      <c r="AY149" s="119"/>
      <c r="AZ149" s="119"/>
      <c r="BA149" s="119"/>
      <c r="BB149" s="119"/>
      <c r="BC149" s="119"/>
      <c r="BD149" s="119"/>
      <c r="BE149" s="5">
        <f>SUM(MC_2[[#This Row],[IS1Inv1M1]:[IS9Inv19M2]])</f>
        <v>0</v>
      </c>
      <c r="BF149" s="120"/>
      <c r="BG149" s="119"/>
      <c r="BH149" s="119"/>
      <c r="BI149" s="120"/>
      <c r="BJ149" s="119"/>
      <c r="BK149" s="119"/>
      <c r="BL149" s="119"/>
    </row>
    <row r="150" spans="1:64">
      <c r="A150" s="119">
        <v>148</v>
      </c>
      <c r="B150" s="113">
        <f t="shared" si="2"/>
        <v>45470</v>
      </c>
      <c r="C150" s="114">
        <f>YEAR(MC_2[[#This Row],[Date]])+IF(MONTH(MC_2[[#This Row],[Date]])&gt;=4,1,0)</f>
        <v>2025</v>
      </c>
      <c r="D150" s="115">
        <f>YEAR(MC_2[[#This Row],[Date]])</f>
        <v>2024</v>
      </c>
      <c r="E150" s="112" t="s">
        <v>340</v>
      </c>
      <c r="F150" s="112" t="s">
        <v>340</v>
      </c>
      <c r="G150" s="116" t="str">
        <f>TEXT(MC_2[[#This Row],[Date]],"mmm-yy")</f>
        <v>Jun-24</v>
      </c>
      <c r="H150" s="116">
        <f>DAY(EOMONTH(MC_2[[#This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9"/>
      <c r="BC150" s="119"/>
      <c r="BD150" s="119"/>
      <c r="BE150" s="5">
        <f>SUM(MC_2[[#This Row],[IS1Inv1M1]:[IS9Inv19M2]])</f>
        <v>0</v>
      </c>
      <c r="BF150" s="119"/>
      <c r="BG150" s="119"/>
      <c r="BH150" s="119"/>
      <c r="BI150" s="119"/>
      <c r="BJ150" s="119"/>
      <c r="BK150" s="119"/>
      <c r="BL150" s="121"/>
    </row>
    <row r="151" spans="1:64">
      <c r="A151" s="119">
        <v>149</v>
      </c>
      <c r="B151" s="113">
        <f t="shared" si="2"/>
        <v>45471</v>
      </c>
      <c r="C151" s="114">
        <f>YEAR(MC_2[[#This Row],[Date]])+IF(MONTH(MC_2[[#This Row],[Date]])&gt;=4,1,0)</f>
        <v>2025</v>
      </c>
      <c r="D151" s="115">
        <f>YEAR(MC_2[[#This Row],[Date]])</f>
        <v>2024</v>
      </c>
      <c r="E151" s="112" t="s">
        <v>340</v>
      </c>
      <c r="F151" s="112" t="s">
        <v>340</v>
      </c>
      <c r="G151" s="116" t="str">
        <f>TEXT(MC_2[[#This Row],[Date]],"mmm-yy")</f>
        <v>Jun-24</v>
      </c>
      <c r="H151" s="116">
        <f>DAY(EOMONTH(MC_2[[#This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  <c r="AU151" s="119"/>
      <c r="AV151" s="119"/>
      <c r="AW151" s="119"/>
      <c r="AX151" s="119"/>
      <c r="AY151" s="119"/>
      <c r="AZ151" s="119"/>
      <c r="BA151" s="119"/>
      <c r="BB151" s="119"/>
      <c r="BC151" s="119"/>
      <c r="BD151" s="119"/>
      <c r="BE151" s="5">
        <f>SUM(MC_2[[#This Row],[IS1Inv1M1]:[IS9Inv19M2]])</f>
        <v>0</v>
      </c>
      <c r="BF151" s="119"/>
      <c r="BG151" s="119"/>
      <c r="BH151" s="119"/>
      <c r="BI151" s="119"/>
      <c r="BJ151" s="119"/>
      <c r="BK151" s="119"/>
      <c r="BL151" s="121"/>
    </row>
    <row r="152" spans="1:64">
      <c r="A152" s="119">
        <v>150</v>
      </c>
      <c r="B152" s="113">
        <f t="shared" si="2"/>
        <v>45472</v>
      </c>
      <c r="C152" s="114">
        <f>YEAR(MC_2[[#This Row],[Date]])+IF(MONTH(MC_2[[#This Row],[Date]])&gt;=4,1,0)</f>
        <v>2025</v>
      </c>
      <c r="D152" s="115">
        <f>YEAR(MC_2[[#This Row],[Date]])</f>
        <v>2024</v>
      </c>
      <c r="E152" s="112" t="s">
        <v>340</v>
      </c>
      <c r="F152" s="112" t="s">
        <v>340</v>
      </c>
      <c r="G152" s="116" t="str">
        <f>TEXT(MC_2[[#This Row],[Date]],"mmm-yy")</f>
        <v>Jun-24</v>
      </c>
      <c r="H152" s="116">
        <f>DAY(EOMONTH(MC_2[[#This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9"/>
      <c r="BC152" s="119"/>
      <c r="BD152" s="119"/>
      <c r="BE152" s="5">
        <f>SUM(MC_2[[#This Row],[IS1Inv1M1]:[IS9Inv19M2]])</f>
        <v>0</v>
      </c>
      <c r="BF152" s="119"/>
      <c r="BG152" s="119"/>
      <c r="BH152" s="119"/>
      <c r="BI152" s="119"/>
      <c r="BJ152" s="119"/>
      <c r="BK152" s="119"/>
      <c r="BL152" s="121"/>
    </row>
    <row r="153" spans="1:64">
      <c r="A153" s="119">
        <v>151</v>
      </c>
      <c r="B153" s="113">
        <f t="shared" si="2"/>
        <v>45473</v>
      </c>
      <c r="C153" s="114">
        <f>YEAR(MC_2[[#This Row],[Date]])+IF(MONTH(MC_2[[#This Row],[Date]])&gt;=4,1,0)</f>
        <v>2025</v>
      </c>
      <c r="D153" s="115">
        <f>YEAR(MC_2[[#This Row],[Date]])</f>
        <v>2024</v>
      </c>
      <c r="E153" s="112" t="s">
        <v>340</v>
      </c>
      <c r="F153" s="112" t="s">
        <v>340</v>
      </c>
      <c r="G153" s="116" t="str">
        <f>TEXT(MC_2[[#This Row],[Date]],"mmm-yy")</f>
        <v>Jun-24</v>
      </c>
      <c r="H153" s="116">
        <f>DAY(EOMONTH(MC_2[[#This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  <c r="AU153" s="119"/>
      <c r="AV153" s="119"/>
      <c r="AW153" s="119"/>
      <c r="AX153" s="119"/>
      <c r="AY153" s="119"/>
      <c r="AZ153" s="119"/>
      <c r="BA153" s="119"/>
      <c r="BB153" s="119"/>
      <c r="BC153" s="119"/>
      <c r="BD153" s="119"/>
      <c r="BE153" s="5">
        <f>SUM(MC_2[[#This Row],[IS1Inv1M1]:[IS9Inv19M2]])</f>
        <v>0</v>
      </c>
      <c r="BF153" s="119"/>
      <c r="BG153" s="119"/>
      <c r="BH153" s="119"/>
      <c r="BI153" s="119"/>
      <c r="BJ153" s="119"/>
      <c r="BK153" s="119"/>
      <c r="BL153" s="121"/>
    </row>
    <row r="154" spans="1:64">
      <c r="A154" s="119">
        <v>152</v>
      </c>
      <c r="B154" s="113">
        <f t="shared" si="2"/>
        <v>45474</v>
      </c>
      <c r="C154" s="114">
        <f>YEAR(MC_2[[#This Row],[Date]])+IF(MONTH(MC_2[[#This Row],[Date]])&gt;=4,1,0)</f>
        <v>2025</v>
      </c>
      <c r="D154" s="115">
        <f>YEAR(MC_2[[#This Row],[Date]])</f>
        <v>2024</v>
      </c>
      <c r="E154" s="112" t="s">
        <v>340</v>
      </c>
      <c r="F154" s="112" t="s">
        <v>340</v>
      </c>
      <c r="G154" s="116" t="str">
        <f>TEXT(MC_2[[#This Row],[Date]],"mmm-yy")</f>
        <v>Jul-24</v>
      </c>
      <c r="H154" s="116">
        <f>DAY(EOMONTH(MC_2[[#This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9"/>
      <c r="BC154" s="119"/>
      <c r="BD154" s="119"/>
      <c r="BE154" s="5">
        <f>SUM(MC_2[[#This Row],[IS1Inv1M1]:[IS9Inv19M2]])</f>
        <v>0</v>
      </c>
      <c r="BF154" s="119"/>
      <c r="BG154" s="119"/>
      <c r="BH154" s="119"/>
      <c r="BI154" s="119"/>
      <c r="BJ154" s="119"/>
      <c r="BK154" s="119"/>
      <c r="BL154" s="121"/>
    </row>
    <row r="155" spans="1:64">
      <c r="A155" s="119">
        <v>153</v>
      </c>
      <c r="B155" s="113">
        <f t="shared" si="2"/>
        <v>45475</v>
      </c>
      <c r="C155" s="114">
        <f>YEAR(MC_2[[#This Row],[Date]])+IF(MONTH(MC_2[[#This Row],[Date]])&gt;=4,1,0)</f>
        <v>2025</v>
      </c>
      <c r="D155" s="115">
        <f>YEAR(MC_2[[#This Row],[Date]])</f>
        <v>2024</v>
      </c>
      <c r="E155" s="112" t="s">
        <v>340</v>
      </c>
      <c r="F155" s="112" t="s">
        <v>340</v>
      </c>
      <c r="G155" s="116" t="str">
        <f>TEXT(MC_2[[#This Row],[Date]],"mmm-yy")</f>
        <v>Jul-24</v>
      </c>
      <c r="H155" s="116">
        <f>DAY(EOMONTH(MC_2[[#This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  <c r="AU155" s="119"/>
      <c r="AV155" s="119"/>
      <c r="AW155" s="119"/>
      <c r="AX155" s="119"/>
      <c r="AY155" s="119"/>
      <c r="AZ155" s="119"/>
      <c r="BA155" s="119"/>
      <c r="BB155" s="119"/>
      <c r="BC155" s="119"/>
      <c r="BD155" s="119"/>
      <c r="BE155" s="5">
        <f>SUM(MC_2[[#This Row],[IS1Inv1M1]:[IS9Inv19M2]])</f>
        <v>0</v>
      </c>
      <c r="BF155" s="119"/>
      <c r="BG155" s="119"/>
      <c r="BH155" s="119"/>
      <c r="BI155" s="119"/>
      <c r="BJ155" s="119"/>
      <c r="BK155" s="119"/>
      <c r="BL155" s="121"/>
    </row>
    <row r="156" spans="1:64">
      <c r="A156" s="119">
        <v>154</v>
      </c>
      <c r="B156" s="113">
        <f t="shared" si="2"/>
        <v>45476</v>
      </c>
      <c r="C156" s="114">
        <f>YEAR(MC_2[[#This Row],[Date]])+IF(MONTH(MC_2[[#This Row],[Date]])&gt;=4,1,0)</f>
        <v>2025</v>
      </c>
      <c r="D156" s="115">
        <f>YEAR(MC_2[[#This Row],[Date]])</f>
        <v>2024</v>
      </c>
      <c r="E156" s="112" t="s">
        <v>340</v>
      </c>
      <c r="F156" s="112" t="s">
        <v>340</v>
      </c>
      <c r="G156" s="116" t="str">
        <f>TEXT(MC_2[[#This Row],[Date]],"mmm-yy")</f>
        <v>Jul-24</v>
      </c>
      <c r="H156" s="116">
        <f>DAY(EOMONTH(MC_2[[#This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  <c r="AW156" s="112"/>
      <c r="AX156" s="112"/>
      <c r="AY156" s="112"/>
      <c r="AZ156" s="112"/>
      <c r="BA156" s="112"/>
      <c r="BB156" s="112"/>
      <c r="BC156" s="112"/>
      <c r="BD156" s="112"/>
      <c r="BE156" s="5">
        <f>SUM(MC_2[[#This Row],[IS1Inv1M1]:[IS9Inv19M2]])</f>
        <v>0</v>
      </c>
      <c r="BF156" s="120"/>
      <c r="BG156" s="119"/>
      <c r="BH156" s="119"/>
      <c r="BI156" s="120"/>
      <c r="BJ156" s="119"/>
      <c r="BK156" s="119"/>
      <c r="BL156" s="119"/>
    </row>
    <row r="157" spans="1:64">
      <c r="A157" s="119">
        <v>155</v>
      </c>
      <c r="B157" s="113">
        <f t="shared" si="2"/>
        <v>45477</v>
      </c>
      <c r="C157" s="114">
        <f>YEAR(MC_2[[#This Row],[Date]])+IF(MONTH(MC_2[[#This Row],[Date]])&gt;=4,1,0)</f>
        <v>2025</v>
      </c>
      <c r="D157" s="115">
        <f>YEAR(MC_2[[#This Row],[Date]])</f>
        <v>2024</v>
      </c>
      <c r="E157" s="112" t="s">
        <v>340</v>
      </c>
      <c r="F157" s="112" t="s">
        <v>340</v>
      </c>
      <c r="G157" s="116" t="str">
        <f>TEXT(MC_2[[#This Row],[Date]],"mmm-yy")</f>
        <v>Jul-24</v>
      </c>
      <c r="H157" s="116">
        <f>DAY(EOMONTH(MC_2[[#This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  <c r="AU157" s="119"/>
      <c r="AV157" s="119"/>
      <c r="AW157" s="119"/>
      <c r="AX157" s="119"/>
      <c r="AY157" s="119"/>
      <c r="AZ157" s="119"/>
      <c r="BA157" s="119"/>
      <c r="BB157" s="119"/>
      <c r="BC157" s="119"/>
      <c r="BD157" s="119"/>
      <c r="BE157" s="5">
        <f>SUM(MC_2[[#This Row],[IS1Inv1M1]:[IS9Inv19M2]])</f>
        <v>0</v>
      </c>
      <c r="BF157" s="120"/>
      <c r="BG157" s="119"/>
      <c r="BH157" s="119"/>
      <c r="BI157" s="120"/>
      <c r="BJ157" s="119"/>
      <c r="BK157" s="119"/>
      <c r="BL157" s="119"/>
    </row>
    <row r="158" spans="1:64">
      <c r="A158" s="119">
        <v>156</v>
      </c>
      <c r="B158" s="113">
        <f t="shared" si="2"/>
        <v>45478</v>
      </c>
      <c r="C158" s="114">
        <f>YEAR(MC_2[[#This Row],[Date]])+IF(MONTH(MC_2[[#This Row],[Date]])&gt;=4,1,0)</f>
        <v>2025</v>
      </c>
      <c r="D158" s="115">
        <f>YEAR(MC_2[[#This Row],[Date]])</f>
        <v>2024</v>
      </c>
      <c r="E158" s="112" t="s">
        <v>340</v>
      </c>
      <c r="F158" s="112" t="s">
        <v>340</v>
      </c>
      <c r="G158" s="116" t="str">
        <f>TEXT(MC_2[[#This Row],[Date]],"mmm-yy")</f>
        <v>Jul-24</v>
      </c>
      <c r="H158" s="116">
        <f>DAY(EOMONTH(MC_2[[#This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5">
        <f>SUM(MC_2[[#This Row],[IS1Inv1M1]:[IS9Inv19M2]])</f>
        <v>0</v>
      </c>
      <c r="BF158" s="120"/>
      <c r="BG158" s="119"/>
      <c r="BH158" s="119"/>
      <c r="BI158" s="120"/>
      <c r="BJ158" s="119"/>
      <c r="BK158" s="119"/>
      <c r="BL158" s="119"/>
    </row>
    <row r="159" spans="1:64">
      <c r="A159" s="119">
        <v>157</v>
      </c>
      <c r="B159" s="113">
        <f t="shared" si="2"/>
        <v>45479</v>
      </c>
      <c r="C159" s="114">
        <f>YEAR(MC_2[[#This Row],[Date]])+IF(MONTH(MC_2[[#This Row],[Date]])&gt;=4,1,0)</f>
        <v>2025</v>
      </c>
      <c r="D159" s="115">
        <f>YEAR(MC_2[[#This Row],[Date]])</f>
        <v>2024</v>
      </c>
      <c r="E159" s="112" t="s">
        <v>340</v>
      </c>
      <c r="F159" s="112" t="s">
        <v>340</v>
      </c>
      <c r="G159" s="116" t="str">
        <f>TEXT(MC_2[[#This Row],[Date]],"mmm-yy")</f>
        <v>Jul-24</v>
      </c>
      <c r="H159" s="116">
        <f>DAY(EOMONTH(MC_2[[#This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  <c r="AU159" s="119"/>
      <c r="AV159" s="119"/>
      <c r="AW159" s="119"/>
      <c r="AX159" s="119"/>
      <c r="AY159" s="119"/>
      <c r="AZ159" s="119"/>
      <c r="BA159" s="119"/>
      <c r="BB159" s="119"/>
      <c r="BC159" s="119"/>
      <c r="BD159" s="119"/>
      <c r="BE159" s="5">
        <f>SUM(MC_2[[#This Row],[IS1Inv1M1]:[IS9Inv19M2]])</f>
        <v>0</v>
      </c>
      <c r="BF159" s="120"/>
      <c r="BG159" s="119"/>
      <c r="BH159" s="119"/>
      <c r="BI159" s="120"/>
      <c r="BJ159" s="119"/>
      <c r="BK159" s="119"/>
      <c r="BL159" s="119"/>
    </row>
    <row r="160" spans="1:64">
      <c r="A160" s="119">
        <v>158</v>
      </c>
      <c r="B160" s="113">
        <f t="shared" si="2"/>
        <v>45480</v>
      </c>
      <c r="C160" s="114">
        <f>YEAR(MC_2[[#This Row],[Date]])+IF(MONTH(MC_2[[#This Row],[Date]])&gt;=4,1,0)</f>
        <v>2025</v>
      </c>
      <c r="D160" s="115">
        <f>YEAR(MC_2[[#This Row],[Date]])</f>
        <v>2024</v>
      </c>
      <c r="E160" s="112" t="s">
        <v>340</v>
      </c>
      <c r="F160" s="112" t="s">
        <v>340</v>
      </c>
      <c r="G160" s="116" t="str">
        <f>TEXT(MC_2[[#This Row],[Date]],"mmm-yy")</f>
        <v>Jul-24</v>
      </c>
      <c r="H160" s="116">
        <f>DAY(EOMONTH(MC_2[[#This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9"/>
      <c r="BC160" s="119"/>
      <c r="BD160" s="119"/>
      <c r="BE160" s="5">
        <f>SUM(MC_2[[#This Row],[IS1Inv1M1]:[IS9Inv19M2]])</f>
        <v>0</v>
      </c>
      <c r="BF160" s="119"/>
      <c r="BG160" s="119"/>
      <c r="BH160" s="119"/>
      <c r="BI160" s="119"/>
      <c r="BJ160" s="119"/>
      <c r="BK160" s="119"/>
      <c r="BL160" s="119"/>
    </row>
    <row r="161" spans="1:64">
      <c r="A161" s="119">
        <v>159</v>
      </c>
      <c r="B161" s="113">
        <f t="shared" si="2"/>
        <v>45481</v>
      </c>
      <c r="C161" s="114">
        <f>YEAR(MC_2[[#This Row],[Date]])+IF(MONTH(MC_2[[#This Row],[Date]])&gt;=4,1,0)</f>
        <v>2025</v>
      </c>
      <c r="D161" s="115">
        <f>YEAR(MC_2[[#This Row],[Date]])</f>
        <v>2024</v>
      </c>
      <c r="E161" s="112" t="s">
        <v>340</v>
      </c>
      <c r="F161" s="112" t="s">
        <v>340</v>
      </c>
      <c r="G161" s="116" t="str">
        <f>TEXT(MC_2[[#This Row],[Date]],"mmm-yy")</f>
        <v>Jul-24</v>
      </c>
      <c r="H161" s="116">
        <f>DAY(EOMONTH(MC_2[[#This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119"/>
      <c r="AN161" s="119"/>
      <c r="AO161" s="119"/>
      <c r="AP161" s="119"/>
      <c r="AQ161" s="119"/>
      <c r="AR161" s="119"/>
      <c r="AS161" s="119"/>
      <c r="AT161" s="119"/>
      <c r="AU161" s="119"/>
      <c r="AV161" s="119"/>
      <c r="AW161" s="119"/>
      <c r="AX161" s="119"/>
      <c r="AY161" s="119"/>
      <c r="AZ161" s="119"/>
      <c r="BA161" s="119"/>
      <c r="BB161" s="119"/>
      <c r="BC161" s="119"/>
      <c r="BD161" s="119"/>
      <c r="BE161" s="5">
        <f>SUM(MC_2[[#This Row],[IS1Inv1M1]:[IS9Inv19M2]])</f>
        <v>0</v>
      </c>
      <c r="BF161" s="120"/>
      <c r="BG161" s="119"/>
      <c r="BH161" s="119"/>
      <c r="BI161" s="120"/>
      <c r="BJ161" s="119"/>
      <c r="BK161" s="119"/>
      <c r="BL161" s="119"/>
    </row>
    <row r="162" spans="1:64">
      <c r="A162" s="119">
        <v>160</v>
      </c>
      <c r="B162" s="113">
        <f t="shared" si="2"/>
        <v>45482</v>
      </c>
      <c r="C162" s="114">
        <f>YEAR(MC_2[[#This Row],[Date]])+IF(MONTH(MC_2[[#This Row],[Date]])&gt;=4,1,0)</f>
        <v>2025</v>
      </c>
      <c r="D162" s="115">
        <f>YEAR(MC_2[[#This Row],[Date]])</f>
        <v>2024</v>
      </c>
      <c r="E162" s="112" t="s">
        <v>340</v>
      </c>
      <c r="F162" s="112" t="s">
        <v>340</v>
      </c>
      <c r="G162" s="116" t="str">
        <f>TEXT(MC_2[[#This Row],[Date]],"mmm-yy")</f>
        <v>Jul-24</v>
      </c>
      <c r="H162" s="116">
        <f>DAY(EOMONTH(MC_2[[#This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9"/>
      <c r="BC162" s="119"/>
      <c r="BD162" s="119"/>
      <c r="BE162" s="5">
        <f>SUM(MC_2[[#This Row],[IS1Inv1M1]:[IS9Inv19M2]])</f>
        <v>0</v>
      </c>
      <c r="BF162" s="120"/>
      <c r="BG162" s="119"/>
      <c r="BH162" s="119"/>
      <c r="BI162" s="120"/>
      <c r="BJ162" s="119"/>
      <c r="BK162" s="119"/>
      <c r="BL162" s="119"/>
    </row>
    <row r="163" spans="1:64">
      <c r="A163" s="119">
        <v>161</v>
      </c>
      <c r="B163" s="113">
        <f t="shared" si="2"/>
        <v>45483</v>
      </c>
      <c r="C163" s="114">
        <f>YEAR(MC_2[[#This Row],[Date]])+IF(MONTH(MC_2[[#This Row],[Date]])&gt;=4,1,0)</f>
        <v>2025</v>
      </c>
      <c r="D163" s="115">
        <f>YEAR(MC_2[[#This Row],[Date]])</f>
        <v>2024</v>
      </c>
      <c r="E163" s="112" t="s">
        <v>340</v>
      </c>
      <c r="F163" s="112" t="s">
        <v>340</v>
      </c>
      <c r="G163" s="116" t="str">
        <f>TEXT(MC_2[[#This Row],[Date]],"mmm-yy")</f>
        <v>Jul-24</v>
      </c>
      <c r="H163" s="116">
        <f>DAY(EOMONTH(MC_2[[#This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119"/>
      <c r="AN163" s="119"/>
      <c r="AO163" s="119"/>
      <c r="AP163" s="119"/>
      <c r="AQ163" s="119"/>
      <c r="AR163" s="119"/>
      <c r="AS163" s="119"/>
      <c r="AT163" s="119"/>
      <c r="AU163" s="119"/>
      <c r="AV163" s="119"/>
      <c r="AW163" s="119"/>
      <c r="AX163" s="119"/>
      <c r="AY163" s="119"/>
      <c r="AZ163" s="119"/>
      <c r="BA163" s="119"/>
      <c r="BB163" s="119"/>
      <c r="BC163" s="119"/>
      <c r="BD163" s="119"/>
      <c r="BE163" s="5">
        <f>SUM(MC_2[[#This Row],[IS1Inv1M1]:[IS9Inv19M2]])</f>
        <v>0</v>
      </c>
      <c r="BF163" s="120"/>
      <c r="BG163" s="119"/>
      <c r="BH163" s="119"/>
      <c r="BI163" s="120"/>
      <c r="BJ163" s="119"/>
      <c r="BK163" s="119"/>
      <c r="BL163" s="119"/>
    </row>
    <row r="164" spans="1:64">
      <c r="A164" s="119">
        <v>162</v>
      </c>
      <c r="B164" s="113">
        <f t="shared" si="2"/>
        <v>45484</v>
      </c>
      <c r="C164" s="114">
        <f>YEAR(MC_2[[#This Row],[Date]])+IF(MONTH(MC_2[[#This Row],[Date]])&gt;=4,1,0)</f>
        <v>2025</v>
      </c>
      <c r="D164" s="115">
        <f>YEAR(MC_2[[#This Row],[Date]])</f>
        <v>2024</v>
      </c>
      <c r="E164" s="112" t="s">
        <v>340</v>
      </c>
      <c r="F164" s="112" t="s">
        <v>340</v>
      </c>
      <c r="G164" s="116" t="str">
        <f>TEXT(MC_2[[#This Row],[Date]],"mmm-yy")</f>
        <v>Jul-24</v>
      </c>
      <c r="H164" s="116">
        <f>DAY(EOMONTH(MC_2[[#This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119"/>
      <c r="AN164" s="119"/>
      <c r="AO164" s="119"/>
      <c r="AP164" s="119"/>
      <c r="AQ164" s="119"/>
      <c r="AR164" s="119"/>
      <c r="AS164" s="119"/>
      <c r="AT164" s="119"/>
      <c r="AU164" s="119"/>
      <c r="AV164" s="119"/>
      <c r="AW164" s="119"/>
      <c r="AX164" s="119"/>
      <c r="AY164" s="119"/>
      <c r="AZ164" s="119"/>
      <c r="BA164" s="119"/>
      <c r="BB164" s="119"/>
      <c r="BC164" s="119"/>
      <c r="BD164" s="119"/>
      <c r="BE164" s="5">
        <f>SUM(MC_2[[#This Row],[IS1Inv1M1]:[IS9Inv19M2]])</f>
        <v>0</v>
      </c>
      <c r="BF164" s="120"/>
      <c r="BG164" s="119"/>
      <c r="BH164" s="119"/>
      <c r="BI164" s="120"/>
      <c r="BJ164" s="119"/>
      <c r="BK164" s="119"/>
      <c r="BL164" s="119"/>
    </row>
    <row r="165" spans="1:64">
      <c r="A165" s="119">
        <v>163</v>
      </c>
      <c r="B165" s="113">
        <f t="shared" si="2"/>
        <v>45485</v>
      </c>
      <c r="C165" s="114">
        <f>YEAR(MC_2[[#This Row],[Date]])+IF(MONTH(MC_2[[#This Row],[Date]])&gt;=4,1,0)</f>
        <v>2025</v>
      </c>
      <c r="D165" s="115">
        <f>YEAR(MC_2[[#This Row],[Date]])</f>
        <v>2024</v>
      </c>
      <c r="E165" s="112" t="s">
        <v>340</v>
      </c>
      <c r="F165" s="112" t="s">
        <v>340</v>
      </c>
      <c r="G165" s="116" t="str">
        <f>TEXT(MC_2[[#This Row],[Date]],"mmm-yy")</f>
        <v>Jul-24</v>
      </c>
      <c r="H165" s="116">
        <f>DAY(EOMONTH(MC_2[[#This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19"/>
      <c r="AT165" s="119"/>
      <c r="AU165" s="119"/>
      <c r="AV165" s="119"/>
      <c r="AW165" s="119"/>
      <c r="AX165" s="119"/>
      <c r="AY165" s="119"/>
      <c r="AZ165" s="119"/>
      <c r="BA165" s="119"/>
      <c r="BB165" s="119"/>
      <c r="BC165" s="119"/>
      <c r="BD165" s="119"/>
      <c r="BE165" s="5">
        <f>SUM(MC_2[[#This Row],[IS1Inv1M1]:[IS9Inv19M2]])</f>
        <v>0</v>
      </c>
      <c r="BF165" s="119"/>
      <c r="BG165" s="119"/>
      <c r="BH165" s="119"/>
      <c r="BI165" s="119"/>
      <c r="BJ165" s="119"/>
      <c r="BK165" s="119"/>
      <c r="BL165" s="119"/>
    </row>
    <row r="166" spans="1:64">
      <c r="A166" s="119">
        <v>164</v>
      </c>
      <c r="B166" s="113">
        <f t="shared" si="2"/>
        <v>45486</v>
      </c>
      <c r="C166" s="114">
        <f>YEAR(MC_2[[#This Row],[Date]])+IF(MONTH(MC_2[[#This Row],[Date]])&gt;=4,1,0)</f>
        <v>2025</v>
      </c>
      <c r="D166" s="115">
        <f>YEAR(MC_2[[#This Row],[Date]])</f>
        <v>2024</v>
      </c>
      <c r="E166" s="112" t="s">
        <v>340</v>
      </c>
      <c r="F166" s="112" t="s">
        <v>340</v>
      </c>
      <c r="G166" s="116" t="str">
        <f>TEXT(MC_2[[#This Row],[Date]],"mmm-yy")</f>
        <v>Jul-24</v>
      </c>
      <c r="H166" s="116">
        <f>DAY(EOMONTH(MC_2[[#This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9"/>
      <c r="BC166" s="119"/>
      <c r="BD166" s="119"/>
      <c r="BE166" s="5">
        <f>SUM(MC_2[[#This Row],[IS1Inv1M1]:[IS9Inv19M2]])</f>
        <v>0</v>
      </c>
      <c r="BF166" s="119"/>
      <c r="BG166" s="119"/>
      <c r="BH166" s="119"/>
      <c r="BI166" s="119"/>
      <c r="BJ166" s="119"/>
      <c r="BK166" s="119"/>
      <c r="BL166" s="121"/>
    </row>
    <row r="167" spans="1:64">
      <c r="A167" s="119">
        <v>165</v>
      </c>
      <c r="B167" s="113">
        <f t="shared" si="2"/>
        <v>45487</v>
      </c>
      <c r="C167" s="114">
        <f>YEAR(MC_2[[#This Row],[Date]])+IF(MONTH(MC_2[[#This Row],[Date]])&gt;=4,1,0)</f>
        <v>2025</v>
      </c>
      <c r="D167" s="115">
        <f>YEAR(MC_2[[#This Row],[Date]])</f>
        <v>2024</v>
      </c>
      <c r="E167" s="112" t="s">
        <v>340</v>
      </c>
      <c r="F167" s="112" t="s">
        <v>340</v>
      </c>
      <c r="G167" s="116" t="str">
        <f>TEXT(MC_2[[#This Row],[Date]],"mmm-yy")</f>
        <v>Jul-24</v>
      </c>
      <c r="H167" s="116">
        <f>DAY(EOMONTH(MC_2[[#This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  <c r="AN167" s="119"/>
      <c r="AO167" s="119"/>
      <c r="AP167" s="119"/>
      <c r="AQ167" s="119"/>
      <c r="AR167" s="119"/>
      <c r="AS167" s="119"/>
      <c r="AT167" s="119"/>
      <c r="AU167" s="119"/>
      <c r="AV167" s="119"/>
      <c r="AW167" s="119"/>
      <c r="AX167" s="119"/>
      <c r="AY167" s="119"/>
      <c r="AZ167" s="119"/>
      <c r="BA167" s="119"/>
      <c r="BB167" s="119"/>
      <c r="BC167" s="119"/>
      <c r="BD167" s="119"/>
      <c r="BE167" s="5">
        <f>SUM(MC_2[[#This Row],[IS1Inv1M1]:[IS9Inv19M2]])</f>
        <v>0</v>
      </c>
      <c r="BF167" s="119"/>
      <c r="BG167" s="119"/>
      <c r="BH167" s="119"/>
      <c r="BI167" s="119"/>
      <c r="BJ167" s="119"/>
      <c r="BK167" s="119"/>
      <c r="BL167" s="121"/>
    </row>
    <row r="168" spans="1:64">
      <c r="A168" s="119">
        <v>166</v>
      </c>
      <c r="B168" s="113">
        <f t="shared" si="2"/>
        <v>45488</v>
      </c>
      <c r="C168" s="114">
        <f>YEAR(MC_2[[#This Row],[Date]])+IF(MONTH(MC_2[[#This Row],[Date]])&gt;=4,1,0)</f>
        <v>2025</v>
      </c>
      <c r="D168" s="115">
        <f>YEAR(MC_2[[#This Row],[Date]])</f>
        <v>2024</v>
      </c>
      <c r="E168" s="112" t="s">
        <v>340</v>
      </c>
      <c r="F168" s="112" t="s">
        <v>340</v>
      </c>
      <c r="G168" s="116" t="str">
        <f>TEXT(MC_2[[#This Row],[Date]],"mmm-yy")</f>
        <v>Jul-24</v>
      </c>
      <c r="H168" s="116">
        <f>DAY(EOMONTH(MC_2[[#This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19"/>
      <c r="AT168" s="119"/>
      <c r="AU168" s="119"/>
      <c r="AV168" s="119"/>
      <c r="AW168" s="119"/>
      <c r="AX168" s="119"/>
      <c r="AY168" s="119"/>
      <c r="AZ168" s="119"/>
      <c r="BA168" s="119"/>
      <c r="BB168" s="119"/>
      <c r="BC168" s="119"/>
      <c r="BD168" s="119"/>
      <c r="BE168" s="5">
        <f>SUM(MC_2[[#This Row],[IS1Inv1M1]:[IS9Inv19M2]])</f>
        <v>0</v>
      </c>
      <c r="BF168" s="119"/>
      <c r="BG168" s="119"/>
      <c r="BH168" s="119"/>
      <c r="BI168" s="119"/>
      <c r="BJ168" s="119"/>
      <c r="BK168" s="119"/>
      <c r="BL168" s="121"/>
    </row>
    <row r="169" spans="1:64">
      <c r="A169" s="119">
        <v>167</v>
      </c>
      <c r="B169" s="113">
        <f t="shared" si="2"/>
        <v>45489</v>
      </c>
      <c r="C169" s="114">
        <f>YEAR(MC_2[[#This Row],[Date]])+IF(MONTH(MC_2[[#This Row],[Date]])&gt;=4,1,0)</f>
        <v>2025</v>
      </c>
      <c r="D169" s="115">
        <f>YEAR(MC_2[[#This Row],[Date]])</f>
        <v>2024</v>
      </c>
      <c r="E169" s="112" t="s">
        <v>340</v>
      </c>
      <c r="F169" s="112" t="s">
        <v>340</v>
      </c>
      <c r="G169" s="116" t="str">
        <f>TEXT(MC_2[[#This Row],[Date]],"mmm-yy")</f>
        <v>Jul-24</v>
      </c>
      <c r="H169" s="116">
        <f>DAY(EOMONTH(MC_2[[#This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19"/>
      <c r="BD169" s="119"/>
      <c r="BE169" s="5">
        <f>SUM(MC_2[[#This Row],[IS1Inv1M1]:[IS9Inv19M2]])</f>
        <v>0</v>
      </c>
      <c r="BF169" s="119"/>
      <c r="BG169" s="119"/>
      <c r="BH169" s="119"/>
      <c r="BI169" s="119"/>
      <c r="BJ169" s="119"/>
      <c r="BK169" s="119"/>
      <c r="BL169" s="121"/>
    </row>
    <row r="170" spans="1:64">
      <c r="A170" s="119">
        <v>168</v>
      </c>
      <c r="B170" s="113">
        <f t="shared" si="2"/>
        <v>45490</v>
      </c>
      <c r="C170" s="114">
        <f>YEAR(MC_2[[#This Row],[Date]])+IF(MONTH(MC_2[[#This Row],[Date]])&gt;=4,1,0)</f>
        <v>2025</v>
      </c>
      <c r="D170" s="115">
        <f>YEAR(MC_2[[#This Row],[Date]])</f>
        <v>2024</v>
      </c>
      <c r="E170" s="112" t="s">
        <v>340</v>
      </c>
      <c r="F170" s="112" t="s">
        <v>340</v>
      </c>
      <c r="G170" s="116" t="str">
        <f>TEXT(MC_2[[#This Row],[Date]],"mmm-yy")</f>
        <v>Jul-24</v>
      </c>
      <c r="H170" s="116">
        <f>DAY(EOMONTH(MC_2[[#This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  <c r="AN170" s="119"/>
      <c r="AO170" s="119"/>
      <c r="AP170" s="119"/>
      <c r="AQ170" s="119"/>
      <c r="AR170" s="119"/>
      <c r="AS170" s="119"/>
      <c r="AT170" s="119"/>
      <c r="AU170" s="119"/>
      <c r="AV170" s="119"/>
      <c r="AW170" s="119"/>
      <c r="AX170" s="119"/>
      <c r="AY170" s="119"/>
      <c r="AZ170" s="119"/>
      <c r="BA170" s="119"/>
      <c r="BB170" s="119"/>
      <c r="BC170" s="119"/>
      <c r="BD170" s="119"/>
      <c r="BE170" s="5">
        <f>SUM(MC_2[[#This Row],[IS1Inv1M1]:[IS9Inv19M2]])</f>
        <v>0</v>
      </c>
      <c r="BF170" s="119"/>
      <c r="BG170" s="119"/>
      <c r="BH170" s="119"/>
      <c r="BI170" s="119"/>
      <c r="BJ170" s="119"/>
      <c r="BK170" s="119"/>
      <c r="BL170" s="121"/>
    </row>
    <row r="171" spans="1:64">
      <c r="A171" s="119">
        <v>169</v>
      </c>
      <c r="B171" s="113">
        <f t="shared" si="2"/>
        <v>45491</v>
      </c>
      <c r="C171" s="114">
        <f>YEAR(MC_2[[#This Row],[Date]])+IF(MONTH(MC_2[[#This Row],[Date]])&gt;=4,1,0)</f>
        <v>2025</v>
      </c>
      <c r="D171" s="115">
        <f>YEAR(MC_2[[#This Row],[Date]])</f>
        <v>2024</v>
      </c>
      <c r="E171" s="112" t="s">
        <v>340</v>
      </c>
      <c r="F171" s="112" t="s">
        <v>340</v>
      </c>
      <c r="G171" s="116" t="str">
        <f>TEXT(MC_2[[#This Row],[Date]],"mmm-yy")</f>
        <v>Jul-24</v>
      </c>
      <c r="H171" s="116">
        <f>DAY(EOMONTH(MC_2[[#This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  <c r="AN171" s="119"/>
      <c r="AO171" s="119"/>
      <c r="AP171" s="119"/>
      <c r="AQ171" s="119"/>
      <c r="AR171" s="119"/>
      <c r="AS171" s="119"/>
      <c r="AT171" s="119"/>
      <c r="AU171" s="119"/>
      <c r="AV171" s="119"/>
      <c r="AW171" s="119"/>
      <c r="AX171" s="119"/>
      <c r="AY171" s="119"/>
      <c r="AZ171" s="119"/>
      <c r="BA171" s="119"/>
      <c r="BB171" s="119"/>
      <c r="BC171" s="119"/>
      <c r="BD171" s="119"/>
      <c r="BE171" s="5">
        <f>SUM(MC_2[[#This Row],[IS1Inv1M1]:[IS9Inv19M2]])</f>
        <v>0</v>
      </c>
      <c r="BF171" s="119"/>
      <c r="BG171" s="119"/>
      <c r="BH171" s="119"/>
      <c r="BI171" s="119"/>
      <c r="BJ171" s="119"/>
      <c r="BK171" s="119"/>
      <c r="BL171" s="121"/>
    </row>
    <row r="172" spans="1:64">
      <c r="A172" s="119">
        <v>170</v>
      </c>
      <c r="B172" s="113">
        <f t="shared" si="2"/>
        <v>45492</v>
      </c>
      <c r="C172" s="114">
        <f>YEAR(MC_2[[#This Row],[Date]])+IF(MONTH(MC_2[[#This Row],[Date]])&gt;=4,1,0)</f>
        <v>2025</v>
      </c>
      <c r="D172" s="115">
        <f>YEAR(MC_2[[#This Row],[Date]])</f>
        <v>2024</v>
      </c>
      <c r="E172" s="112" t="s">
        <v>340</v>
      </c>
      <c r="F172" s="112" t="s">
        <v>340</v>
      </c>
      <c r="G172" s="116" t="str">
        <f>TEXT(MC_2[[#This Row],[Date]],"mmm-yy")</f>
        <v>Jul-24</v>
      </c>
      <c r="H172" s="116">
        <f>DAY(EOMONTH(MC_2[[#This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119"/>
      <c r="AN172" s="119"/>
      <c r="AO172" s="119"/>
      <c r="AP172" s="119"/>
      <c r="AQ172" s="119"/>
      <c r="AR172" s="119"/>
      <c r="AS172" s="119"/>
      <c r="AT172" s="119"/>
      <c r="AU172" s="119"/>
      <c r="AV172" s="119"/>
      <c r="AW172" s="119"/>
      <c r="AX172" s="119"/>
      <c r="AY172" s="119"/>
      <c r="AZ172" s="119"/>
      <c r="BA172" s="119"/>
      <c r="BB172" s="119"/>
      <c r="BC172" s="119"/>
      <c r="BD172" s="119"/>
      <c r="BE172" s="5">
        <f>SUM(MC_2[[#This Row],[IS1Inv1M1]:[IS9Inv19M2]])</f>
        <v>0</v>
      </c>
      <c r="BF172" s="119"/>
      <c r="BG172" s="119"/>
      <c r="BH172" s="119"/>
      <c r="BI172" s="119"/>
      <c r="BJ172" s="119"/>
      <c r="BK172" s="119"/>
      <c r="BL172" s="121"/>
    </row>
    <row r="173" spans="1:64">
      <c r="A173" s="119">
        <v>171</v>
      </c>
      <c r="B173" s="113">
        <f t="shared" si="2"/>
        <v>45493</v>
      </c>
      <c r="C173" s="114">
        <f>YEAR(MC_2[[#This Row],[Date]])+IF(MONTH(MC_2[[#This Row],[Date]])&gt;=4,1,0)</f>
        <v>2025</v>
      </c>
      <c r="D173" s="115">
        <f>YEAR(MC_2[[#This Row],[Date]])</f>
        <v>2024</v>
      </c>
      <c r="E173" s="112" t="s">
        <v>340</v>
      </c>
      <c r="F173" s="112" t="s">
        <v>340</v>
      </c>
      <c r="G173" s="116" t="str">
        <f>TEXT(MC_2[[#This Row],[Date]],"mmm-yy")</f>
        <v>Jul-24</v>
      </c>
      <c r="H173" s="116">
        <f>DAY(EOMONTH(MC_2[[#This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  <c r="AW173" s="112"/>
      <c r="AX173" s="112"/>
      <c r="AY173" s="112"/>
      <c r="AZ173" s="112"/>
      <c r="BA173" s="112"/>
      <c r="BB173" s="112"/>
      <c r="BC173" s="112"/>
      <c r="BD173" s="112"/>
      <c r="BE173" s="5">
        <f>SUM(MC_2[[#This Row],[IS1Inv1M1]:[IS9Inv19M2]])</f>
        <v>0</v>
      </c>
      <c r="BF173" s="119"/>
      <c r="BG173" s="119"/>
      <c r="BH173" s="119"/>
      <c r="BI173" s="119"/>
      <c r="BJ173" s="119"/>
      <c r="BK173" s="119"/>
      <c r="BL173" s="121"/>
    </row>
    <row r="174" spans="1:64">
      <c r="A174" s="119">
        <v>172</v>
      </c>
      <c r="B174" s="113">
        <f t="shared" si="2"/>
        <v>45494</v>
      </c>
      <c r="C174" s="114">
        <f>YEAR(MC_2[[#This Row],[Date]])+IF(MONTH(MC_2[[#This Row],[Date]])&gt;=4,1,0)</f>
        <v>2025</v>
      </c>
      <c r="D174" s="115">
        <f>YEAR(MC_2[[#This Row],[Date]])</f>
        <v>2024</v>
      </c>
      <c r="E174" s="112" t="s">
        <v>340</v>
      </c>
      <c r="F174" s="112" t="s">
        <v>340</v>
      </c>
      <c r="G174" s="116" t="str">
        <f>TEXT(MC_2[[#This Row],[Date]],"mmm-yy")</f>
        <v>Jul-24</v>
      </c>
      <c r="H174" s="116">
        <f>DAY(EOMONTH(MC_2[[#This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  <c r="AT174" s="119"/>
      <c r="AU174" s="119"/>
      <c r="AV174" s="119"/>
      <c r="AW174" s="119"/>
      <c r="AX174" s="119"/>
      <c r="AY174" s="119"/>
      <c r="AZ174" s="119"/>
      <c r="BA174" s="119"/>
      <c r="BB174" s="119"/>
      <c r="BC174" s="119"/>
      <c r="BD174" s="119"/>
      <c r="BE174" s="5">
        <f>SUM(MC_2[[#This Row],[IS1Inv1M1]:[IS9Inv19M2]])</f>
        <v>0</v>
      </c>
      <c r="BF174" s="119"/>
      <c r="BG174" s="119"/>
      <c r="BH174" s="119"/>
      <c r="BI174" s="119"/>
      <c r="BJ174" s="119"/>
      <c r="BK174" s="119"/>
      <c r="BL174" s="121"/>
    </row>
    <row r="175" spans="1:64">
      <c r="A175" s="119">
        <v>173</v>
      </c>
      <c r="B175" s="113">
        <f t="shared" si="2"/>
        <v>45495</v>
      </c>
      <c r="C175" s="114">
        <f>YEAR(MC_2[[#This Row],[Date]])+IF(MONTH(MC_2[[#This Row],[Date]])&gt;=4,1,0)</f>
        <v>2025</v>
      </c>
      <c r="D175" s="115">
        <f>YEAR(MC_2[[#This Row],[Date]])</f>
        <v>2024</v>
      </c>
      <c r="E175" s="112" t="s">
        <v>340</v>
      </c>
      <c r="F175" s="112" t="s">
        <v>340</v>
      </c>
      <c r="G175" s="116" t="str">
        <f>TEXT(MC_2[[#This Row],[Date]],"mmm-yy")</f>
        <v>Jul-24</v>
      </c>
      <c r="H175" s="116">
        <f>DAY(EOMONTH(MC_2[[#This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19"/>
      <c r="AT175" s="119"/>
      <c r="AU175" s="119"/>
      <c r="AV175" s="119"/>
      <c r="AW175" s="119"/>
      <c r="AX175" s="119"/>
      <c r="AY175" s="119"/>
      <c r="AZ175" s="119"/>
      <c r="BA175" s="119"/>
      <c r="BB175" s="119"/>
      <c r="BC175" s="119"/>
      <c r="BD175" s="119"/>
      <c r="BE175" s="5">
        <f>SUM(MC_2[[#This Row],[IS1Inv1M1]:[IS9Inv19M2]])</f>
        <v>0</v>
      </c>
      <c r="BF175" s="119"/>
      <c r="BG175" s="119"/>
      <c r="BH175" s="119"/>
      <c r="BI175" s="119"/>
      <c r="BJ175" s="119"/>
      <c r="BK175" s="119"/>
      <c r="BL175" s="121"/>
    </row>
    <row r="176" spans="1:64">
      <c r="A176" s="119">
        <v>174</v>
      </c>
      <c r="B176" s="113">
        <f t="shared" si="2"/>
        <v>45496</v>
      </c>
      <c r="C176" s="114">
        <f>YEAR(MC_2[[#This Row],[Date]])+IF(MONTH(MC_2[[#This Row],[Date]])&gt;=4,1,0)</f>
        <v>2025</v>
      </c>
      <c r="D176" s="115">
        <f>YEAR(MC_2[[#This Row],[Date]])</f>
        <v>2024</v>
      </c>
      <c r="E176" s="112" t="s">
        <v>340</v>
      </c>
      <c r="F176" s="112" t="s">
        <v>340</v>
      </c>
      <c r="G176" s="116" t="str">
        <f>TEXT(MC_2[[#This Row],[Date]],"mmm-yy")</f>
        <v>Jul-24</v>
      </c>
      <c r="H176" s="116">
        <f>DAY(EOMONTH(MC_2[[#This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119"/>
      <c r="AN176" s="119"/>
      <c r="AO176" s="119"/>
      <c r="AP176" s="119"/>
      <c r="AQ176" s="119"/>
      <c r="AR176" s="119"/>
      <c r="AS176" s="119"/>
      <c r="AT176" s="119"/>
      <c r="AU176" s="119"/>
      <c r="AV176" s="119"/>
      <c r="AW176" s="119"/>
      <c r="AX176" s="119"/>
      <c r="AY176" s="119"/>
      <c r="AZ176" s="119"/>
      <c r="BA176" s="119"/>
      <c r="BB176" s="119"/>
      <c r="BC176" s="119"/>
      <c r="BD176" s="119"/>
      <c r="BE176" s="5">
        <f>SUM(MC_2[[#This Row],[IS1Inv1M1]:[IS9Inv19M2]])</f>
        <v>0</v>
      </c>
      <c r="BF176" s="119"/>
      <c r="BG176" s="119"/>
      <c r="BH176" s="119"/>
      <c r="BI176" s="119"/>
      <c r="BJ176" s="119"/>
      <c r="BK176" s="119"/>
      <c r="BL176" s="121"/>
    </row>
    <row r="177" spans="1:64">
      <c r="A177" s="119">
        <v>175</v>
      </c>
      <c r="B177" s="113">
        <f t="shared" si="2"/>
        <v>45497</v>
      </c>
      <c r="C177" s="114">
        <f>YEAR(MC_2[[#This Row],[Date]])+IF(MONTH(MC_2[[#This Row],[Date]])&gt;=4,1,0)</f>
        <v>2025</v>
      </c>
      <c r="D177" s="115">
        <f>YEAR(MC_2[[#This Row],[Date]])</f>
        <v>2024</v>
      </c>
      <c r="E177" s="112" t="s">
        <v>340</v>
      </c>
      <c r="F177" s="112" t="s">
        <v>340</v>
      </c>
      <c r="G177" s="116" t="str">
        <f>TEXT(MC_2[[#This Row],[Date]],"mmm-yy")</f>
        <v>Jul-24</v>
      </c>
      <c r="H177" s="116">
        <f>DAY(EOMONTH(MC_2[[#This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119"/>
      <c r="AN177" s="119"/>
      <c r="AO177" s="119"/>
      <c r="AP177" s="119"/>
      <c r="AQ177" s="119"/>
      <c r="AR177" s="119"/>
      <c r="AS177" s="119"/>
      <c r="AT177" s="119"/>
      <c r="AU177" s="119"/>
      <c r="AV177" s="119"/>
      <c r="AW177" s="119"/>
      <c r="AX177" s="119"/>
      <c r="AY177" s="119"/>
      <c r="AZ177" s="119"/>
      <c r="BA177" s="119"/>
      <c r="BB177" s="119"/>
      <c r="BC177" s="119"/>
      <c r="BD177" s="119"/>
      <c r="BE177" s="5">
        <f>SUM(MC_2[[#This Row],[IS1Inv1M1]:[IS9Inv19M2]])</f>
        <v>0</v>
      </c>
      <c r="BF177" s="119"/>
      <c r="BG177" s="119"/>
      <c r="BH177" s="119"/>
      <c r="BI177" s="119"/>
      <c r="BJ177" s="119"/>
      <c r="BK177" s="119"/>
      <c r="BL177" s="121"/>
    </row>
    <row r="178" spans="1:64">
      <c r="A178" s="119">
        <v>176</v>
      </c>
      <c r="B178" s="113">
        <f t="shared" si="2"/>
        <v>45498</v>
      </c>
      <c r="C178" s="114">
        <f>YEAR(MC_2[[#This Row],[Date]])+IF(MONTH(MC_2[[#This Row],[Date]])&gt;=4,1,0)</f>
        <v>2025</v>
      </c>
      <c r="D178" s="115">
        <f>YEAR(MC_2[[#This Row],[Date]])</f>
        <v>2024</v>
      </c>
      <c r="E178" s="112" t="s">
        <v>340</v>
      </c>
      <c r="F178" s="112" t="s">
        <v>340</v>
      </c>
      <c r="G178" s="116" t="str">
        <f>TEXT(MC_2[[#This Row],[Date]],"mmm-yy")</f>
        <v>Jul-24</v>
      </c>
      <c r="H178" s="116">
        <f>DAY(EOMONTH(MC_2[[#This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119"/>
      <c r="AN178" s="119"/>
      <c r="AO178" s="119"/>
      <c r="AP178" s="119"/>
      <c r="AQ178" s="119"/>
      <c r="AR178" s="119"/>
      <c r="AS178" s="119"/>
      <c r="AT178" s="119"/>
      <c r="AU178" s="119"/>
      <c r="AV178" s="119"/>
      <c r="AW178" s="119"/>
      <c r="AX178" s="119"/>
      <c r="AY178" s="119"/>
      <c r="AZ178" s="119"/>
      <c r="BA178" s="119"/>
      <c r="BB178" s="119"/>
      <c r="BC178" s="119"/>
      <c r="BD178" s="119"/>
      <c r="BE178" s="5">
        <f>SUM(MC_2[[#This Row],[IS1Inv1M1]:[IS9Inv19M2]])</f>
        <v>0</v>
      </c>
      <c r="BF178" s="119"/>
      <c r="BG178" s="119"/>
      <c r="BH178" s="119"/>
      <c r="BI178" s="119"/>
      <c r="BJ178" s="119"/>
      <c r="BK178" s="119"/>
      <c r="BL178" s="121"/>
    </row>
    <row r="179" spans="1:64">
      <c r="A179" s="119">
        <v>177</v>
      </c>
      <c r="B179" s="113">
        <f t="shared" si="2"/>
        <v>45499</v>
      </c>
      <c r="C179" s="114">
        <f>YEAR(MC_2[[#This Row],[Date]])+IF(MONTH(MC_2[[#This Row],[Date]])&gt;=4,1,0)</f>
        <v>2025</v>
      </c>
      <c r="D179" s="115">
        <f>YEAR(MC_2[[#This Row],[Date]])</f>
        <v>2024</v>
      </c>
      <c r="E179" s="112" t="s">
        <v>340</v>
      </c>
      <c r="F179" s="112" t="s">
        <v>340</v>
      </c>
      <c r="G179" s="116" t="str">
        <f>TEXT(MC_2[[#This Row],[Date]],"mmm-yy")</f>
        <v>Jul-24</v>
      </c>
      <c r="H179" s="116">
        <f>DAY(EOMONTH(MC_2[[#This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119"/>
      <c r="AN179" s="119"/>
      <c r="AO179" s="119"/>
      <c r="AP179" s="119"/>
      <c r="AQ179" s="119"/>
      <c r="AR179" s="119"/>
      <c r="AS179" s="119"/>
      <c r="AT179" s="119"/>
      <c r="AU179" s="119"/>
      <c r="AV179" s="119"/>
      <c r="AW179" s="119"/>
      <c r="AX179" s="119"/>
      <c r="AY179" s="119"/>
      <c r="AZ179" s="119"/>
      <c r="BA179" s="119"/>
      <c r="BB179" s="119"/>
      <c r="BC179" s="119"/>
      <c r="BD179" s="119"/>
      <c r="BE179" s="5">
        <f>SUM(MC_2[[#This Row],[IS1Inv1M1]:[IS9Inv19M2]])</f>
        <v>0</v>
      </c>
      <c r="BF179" s="119"/>
      <c r="BG179" s="119"/>
      <c r="BH179" s="119"/>
      <c r="BI179" s="119"/>
      <c r="BJ179" s="119"/>
      <c r="BK179" s="119"/>
      <c r="BL179" s="121"/>
    </row>
    <row r="180" spans="1:64">
      <c r="A180" s="119">
        <v>177</v>
      </c>
      <c r="B180" s="113">
        <f t="shared" si="2"/>
        <v>45500</v>
      </c>
      <c r="C180" s="114">
        <f>YEAR(MC_2[[#This Row],[Date]])+IF(MONTH(MC_2[[#This Row],[Date]])&gt;=4,1,0)</f>
        <v>2025</v>
      </c>
      <c r="D180" s="115">
        <f>YEAR(MC_2[[#This Row],[Date]])</f>
        <v>2024</v>
      </c>
      <c r="E180" s="112" t="s">
        <v>340</v>
      </c>
      <c r="F180" s="112" t="s">
        <v>340</v>
      </c>
      <c r="G180" s="116" t="str">
        <f>TEXT(MC_2[[#This Row],[Date]],"mmm-yy")</f>
        <v>Jul-24</v>
      </c>
      <c r="H180" s="116">
        <f>DAY(EOMONTH(MC_2[[#This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119"/>
      <c r="AN180" s="119"/>
      <c r="AO180" s="119"/>
      <c r="AP180" s="119"/>
      <c r="AQ180" s="119"/>
      <c r="AR180" s="119"/>
      <c r="AS180" s="119"/>
      <c r="AT180" s="119"/>
      <c r="AU180" s="119"/>
      <c r="AV180" s="119"/>
      <c r="AW180" s="119"/>
      <c r="AX180" s="119"/>
      <c r="AY180" s="119"/>
      <c r="AZ180" s="119"/>
      <c r="BA180" s="119"/>
      <c r="BB180" s="119"/>
      <c r="BC180" s="119"/>
      <c r="BD180" s="119"/>
      <c r="BE180" s="5">
        <f>SUM(MC_2[[#This Row],[IS1Inv1M1]:[IS9Inv19M2]])</f>
        <v>0</v>
      </c>
      <c r="BF180" s="119"/>
      <c r="BG180" s="119"/>
      <c r="BH180" s="119"/>
      <c r="BI180" s="119"/>
      <c r="BJ180" s="119"/>
      <c r="BK180" s="119"/>
      <c r="BL180" s="121"/>
    </row>
    <row r="181" spans="1:64">
      <c r="A181" s="119">
        <v>179</v>
      </c>
      <c r="B181" s="113">
        <f t="shared" si="2"/>
        <v>45501</v>
      </c>
      <c r="C181" s="114">
        <f>YEAR(MC_2[[#This Row],[Date]])+IF(MONTH(MC_2[[#This Row],[Date]])&gt;=4,1,0)</f>
        <v>2025</v>
      </c>
      <c r="D181" s="115">
        <f>YEAR(MC_2[[#This Row],[Date]])</f>
        <v>2024</v>
      </c>
      <c r="E181" s="112" t="s">
        <v>340</v>
      </c>
      <c r="F181" s="112" t="s">
        <v>340</v>
      </c>
      <c r="G181" s="116" t="str">
        <f>TEXT(MC_2[[#This Row],[Date]],"mmm-yy")</f>
        <v>Jul-24</v>
      </c>
      <c r="H181" s="116">
        <f>DAY(EOMONTH(MC_2[[#This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119"/>
      <c r="AN181" s="119"/>
      <c r="AO181" s="119"/>
      <c r="AP181" s="119"/>
      <c r="AQ181" s="119"/>
      <c r="AR181" s="119"/>
      <c r="AS181" s="119"/>
      <c r="AT181" s="119"/>
      <c r="AU181" s="119"/>
      <c r="AV181" s="119"/>
      <c r="AW181" s="119"/>
      <c r="AX181" s="119"/>
      <c r="AY181" s="119"/>
      <c r="AZ181" s="119"/>
      <c r="BA181" s="119"/>
      <c r="BB181" s="119"/>
      <c r="BC181" s="119"/>
      <c r="BD181" s="119"/>
      <c r="BE181" s="5">
        <f>SUM(MC_2[[#This Row],[IS1Inv1M1]:[IS9Inv19M2]])</f>
        <v>0</v>
      </c>
      <c r="BF181" s="119"/>
      <c r="BG181" s="119"/>
      <c r="BH181" s="119"/>
      <c r="BI181" s="119"/>
      <c r="BJ181" s="119"/>
      <c r="BK181" s="119"/>
      <c r="BL181" s="121"/>
    </row>
    <row r="182" spans="1:64">
      <c r="A182" s="119">
        <v>180</v>
      </c>
      <c r="B182" s="113">
        <f t="shared" si="2"/>
        <v>45502</v>
      </c>
      <c r="C182" s="114">
        <f>YEAR(MC_2[[#This Row],[Date]])+IF(MONTH(MC_2[[#This Row],[Date]])&gt;=4,1,0)</f>
        <v>2025</v>
      </c>
      <c r="D182" s="115">
        <f>YEAR(MC_2[[#This Row],[Date]])</f>
        <v>2024</v>
      </c>
      <c r="E182" s="112" t="s">
        <v>340</v>
      </c>
      <c r="F182" s="112" t="s">
        <v>340</v>
      </c>
      <c r="G182" s="116" t="str">
        <f>TEXT(MC_2[[#This Row],[Date]],"mmm-yy")</f>
        <v>Jul-24</v>
      </c>
      <c r="H182" s="116">
        <f>DAY(EOMONTH(MC_2[[#This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119"/>
      <c r="AN182" s="119"/>
      <c r="AO182" s="119"/>
      <c r="AP182" s="119"/>
      <c r="AQ182" s="119"/>
      <c r="AR182" s="119"/>
      <c r="AS182" s="119"/>
      <c r="AT182" s="119"/>
      <c r="AU182" s="119"/>
      <c r="AV182" s="119"/>
      <c r="AW182" s="119"/>
      <c r="AX182" s="119"/>
      <c r="AY182" s="119"/>
      <c r="AZ182" s="119"/>
      <c r="BA182" s="119"/>
      <c r="BB182" s="119"/>
      <c r="BC182" s="119"/>
      <c r="BD182" s="119"/>
      <c r="BE182" s="5">
        <f>SUM(MC_2[[#This Row],[IS1Inv1M1]:[IS9Inv19M2]])</f>
        <v>0</v>
      </c>
      <c r="BF182" s="119"/>
      <c r="BG182" s="119"/>
      <c r="BH182" s="119"/>
      <c r="BI182" s="119"/>
      <c r="BJ182" s="119"/>
      <c r="BK182" s="119"/>
      <c r="BL182" s="121"/>
    </row>
    <row r="183" spans="1:64">
      <c r="A183" s="119">
        <v>181</v>
      </c>
      <c r="B183" s="113">
        <f t="shared" si="2"/>
        <v>45503</v>
      </c>
      <c r="C183" s="114">
        <f>YEAR(MC_2[[#This Row],[Date]])+IF(MONTH(MC_2[[#This Row],[Date]])&gt;=4,1,0)</f>
        <v>2025</v>
      </c>
      <c r="D183" s="115">
        <f>YEAR(MC_2[[#This Row],[Date]])</f>
        <v>2024</v>
      </c>
      <c r="E183" s="112" t="s">
        <v>340</v>
      </c>
      <c r="F183" s="112" t="s">
        <v>340</v>
      </c>
      <c r="G183" s="116" t="str">
        <f>TEXT(MC_2[[#This Row],[Date]],"mmm-yy")</f>
        <v>Jul-24</v>
      </c>
      <c r="H183" s="116">
        <f>DAY(EOMONTH(MC_2[[#This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119"/>
      <c r="AN183" s="119"/>
      <c r="AO183" s="119"/>
      <c r="AP183" s="119"/>
      <c r="AQ183" s="119"/>
      <c r="AR183" s="119"/>
      <c r="AS183" s="119"/>
      <c r="AT183" s="119"/>
      <c r="AU183" s="119"/>
      <c r="AV183" s="119"/>
      <c r="AW183" s="119"/>
      <c r="AX183" s="119"/>
      <c r="AY183" s="119"/>
      <c r="AZ183" s="119"/>
      <c r="BA183" s="119"/>
      <c r="BB183" s="119"/>
      <c r="BC183" s="119"/>
      <c r="BD183" s="119"/>
      <c r="BE183" s="5">
        <f>SUM(MC_2[[#This Row],[IS1Inv1M1]:[IS9Inv19M2]])</f>
        <v>0</v>
      </c>
      <c r="BF183" s="119"/>
      <c r="BG183" s="119"/>
      <c r="BH183" s="119"/>
      <c r="BI183" s="119"/>
      <c r="BJ183" s="119"/>
      <c r="BK183" s="119"/>
      <c r="BL183" s="121"/>
    </row>
    <row r="184" spans="1:64">
      <c r="A184" s="119">
        <v>182</v>
      </c>
      <c r="B184" s="113">
        <f t="shared" si="2"/>
        <v>45504</v>
      </c>
      <c r="C184" s="114">
        <f>YEAR(MC_2[[#This Row],[Date]])+IF(MONTH(MC_2[[#This Row],[Date]])&gt;=4,1,0)</f>
        <v>2025</v>
      </c>
      <c r="D184" s="115">
        <f>YEAR(MC_2[[#This Row],[Date]])</f>
        <v>2024</v>
      </c>
      <c r="E184" s="112" t="s">
        <v>340</v>
      </c>
      <c r="F184" s="112" t="s">
        <v>340</v>
      </c>
      <c r="G184" s="116" t="str">
        <f>TEXT(MC_2[[#This Row],[Date]],"mmm-yy")</f>
        <v>Jul-24</v>
      </c>
      <c r="H184" s="116">
        <f>DAY(EOMONTH(MC_2[[#This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119"/>
      <c r="AN184" s="119"/>
      <c r="AO184" s="119"/>
      <c r="AP184" s="119"/>
      <c r="AQ184" s="119"/>
      <c r="AR184" s="119"/>
      <c r="AS184" s="119"/>
      <c r="AT184" s="119"/>
      <c r="AU184" s="119"/>
      <c r="AV184" s="119"/>
      <c r="AW184" s="119"/>
      <c r="AX184" s="119"/>
      <c r="AY184" s="119"/>
      <c r="AZ184" s="119"/>
      <c r="BA184" s="119"/>
      <c r="BB184" s="119"/>
      <c r="BC184" s="119"/>
      <c r="BD184" s="119"/>
      <c r="BE184" s="5">
        <f>SUM(MC_2[[#This Row],[IS1Inv1M1]:[IS9Inv19M2]])</f>
        <v>0</v>
      </c>
      <c r="BF184" s="119"/>
      <c r="BG184" s="119"/>
      <c r="BH184" s="119"/>
      <c r="BI184" s="119"/>
      <c r="BJ184" s="119"/>
      <c r="BK184" s="119"/>
      <c r="BL184" s="121"/>
    </row>
    <row r="185" spans="1:64">
      <c r="A185" s="119">
        <v>183</v>
      </c>
      <c r="B185" s="113">
        <f t="shared" si="2"/>
        <v>45505</v>
      </c>
      <c r="C185" s="114">
        <f>YEAR(MC_2[[#This Row],[Date]])+IF(MONTH(MC_2[[#This Row],[Date]])&gt;=4,1,0)</f>
        <v>2025</v>
      </c>
      <c r="D185" s="115">
        <f>YEAR(MC_2[[#This Row],[Date]])</f>
        <v>2024</v>
      </c>
      <c r="E185" s="112" t="s">
        <v>340</v>
      </c>
      <c r="F185" s="112" t="s">
        <v>340</v>
      </c>
      <c r="G185" s="116" t="str">
        <f>TEXT(MC_2[[#This Row],[Date]],"mmm-yy")</f>
        <v>Aug-24</v>
      </c>
      <c r="H185" s="116">
        <f>DAY(EOMONTH(MC_2[[#This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  <c r="AU185" s="119"/>
      <c r="AV185" s="119"/>
      <c r="AW185" s="119"/>
      <c r="AX185" s="119"/>
      <c r="AY185" s="119"/>
      <c r="AZ185" s="119"/>
      <c r="BA185" s="119"/>
      <c r="BB185" s="119"/>
      <c r="BC185" s="119"/>
      <c r="BD185" s="119"/>
      <c r="BE185" s="5">
        <f>SUM(MC_2[[#This Row],[IS1Inv1M1]:[IS9Inv19M2]])</f>
        <v>0</v>
      </c>
      <c r="BF185" s="119"/>
      <c r="BG185" s="119"/>
      <c r="BH185" s="119"/>
      <c r="BI185" s="119"/>
      <c r="BJ185" s="119"/>
      <c r="BK185" s="119"/>
      <c r="BL185" s="121"/>
    </row>
    <row r="186" spans="1:64">
      <c r="A186" s="119">
        <v>184</v>
      </c>
      <c r="B186" s="113">
        <f t="shared" si="2"/>
        <v>45506</v>
      </c>
      <c r="C186" s="114">
        <f>YEAR(MC_2[[#This Row],[Date]])+IF(MONTH(MC_2[[#This Row],[Date]])&gt;=4,1,0)</f>
        <v>2025</v>
      </c>
      <c r="D186" s="115">
        <f>YEAR(MC_2[[#This Row],[Date]])</f>
        <v>2024</v>
      </c>
      <c r="E186" s="112" t="s">
        <v>340</v>
      </c>
      <c r="F186" s="112" t="s">
        <v>340</v>
      </c>
      <c r="G186" s="116" t="str">
        <f>TEXT(MC_2[[#This Row],[Date]],"mmm-yy")</f>
        <v>Aug-24</v>
      </c>
      <c r="H186" s="116">
        <f>DAY(EOMONTH(MC_2[[#This Row],[Month Year]],0))</f>
        <v>31</v>
      </c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  <c r="AU186" s="119"/>
      <c r="AV186" s="119"/>
      <c r="AW186" s="119"/>
      <c r="AX186" s="119"/>
      <c r="AY186" s="119"/>
      <c r="AZ186" s="119"/>
      <c r="BA186" s="119"/>
      <c r="BB186" s="119"/>
      <c r="BC186" s="119"/>
      <c r="BD186" s="119"/>
      <c r="BE186" s="5">
        <f>SUM(MC_2[[#This Row],[IS1Inv1M1]:[IS9Inv19M2]])</f>
        <v>0</v>
      </c>
      <c r="BF186" s="119"/>
      <c r="BG186" s="119"/>
      <c r="BH186" s="119"/>
      <c r="BI186" s="119"/>
      <c r="BJ186" s="119"/>
      <c r="BK186" s="119"/>
      <c r="BL186" s="121"/>
    </row>
    <row r="187" spans="1:64">
      <c r="A187" s="119">
        <v>185</v>
      </c>
      <c r="B187" s="113">
        <f t="shared" si="2"/>
        <v>45507</v>
      </c>
      <c r="C187" s="114">
        <f>YEAR(MC_2[[#This Row],[Date]])+IF(MONTH(MC_2[[#This Row],[Date]])&gt;=4,1,0)</f>
        <v>2025</v>
      </c>
      <c r="D187" s="115">
        <f>YEAR(MC_2[[#This Row],[Date]])</f>
        <v>2024</v>
      </c>
      <c r="E187" s="112" t="s">
        <v>340</v>
      </c>
      <c r="F187" s="112" t="s">
        <v>340</v>
      </c>
      <c r="G187" s="116" t="str">
        <f>TEXT(MC_2[[#This Row],[Date]],"mmm-yy")</f>
        <v>Aug-24</v>
      </c>
      <c r="H187" s="116">
        <f>DAY(EOMONTH(MC_2[[#This Row],[Month Year]],0))</f>
        <v>31</v>
      </c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  <c r="AU187" s="119"/>
      <c r="AV187" s="119"/>
      <c r="AW187" s="119"/>
      <c r="AX187" s="119"/>
      <c r="AY187" s="119"/>
      <c r="AZ187" s="119"/>
      <c r="BA187" s="119"/>
      <c r="BB187" s="119"/>
      <c r="BC187" s="119"/>
      <c r="BD187" s="119"/>
      <c r="BE187" s="5">
        <f>SUM(MC_2[[#This Row],[IS1Inv1M1]:[IS9Inv19M2]])</f>
        <v>0</v>
      </c>
      <c r="BF187" s="119"/>
      <c r="BG187" s="119"/>
      <c r="BH187" s="119"/>
      <c r="BI187" s="119"/>
      <c r="BJ187" s="119"/>
      <c r="BK187" s="119"/>
      <c r="BL187" s="121"/>
    </row>
    <row r="188" spans="1:64">
      <c r="A188" s="119">
        <v>186</v>
      </c>
      <c r="B188" s="113">
        <f t="shared" si="2"/>
        <v>45508</v>
      </c>
      <c r="C188" s="114">
        <f>YEAR(MC_2[[#This Row],[Date]])+IF(MONTH(MC_2[[#This Row],[Date]])&gt;=4,1,0)</f>
        <v>2025</v>
      </c>
      <c r="D188" s="115">
        <f>YEAR(MC_2[[#This Row],[Date]])</f>
        <v>2024</v>
      </c>
      <c r="E188" s="112" t="s">
        <v>340</v>
      </c>
      <c r="F188" s="112" t="s">
        <v>340</v>
      </c>
      <c r="G188" s="116" t="str">
        <f>TEXT(MC_2[[#This Row],[Date]],"mmm-yy")</f>
        <v>Aug-24</v>
      </c>
      <c r="H188" s="116">
        <f>DAY(EOMONTH(MC_2[[#This Row],[Month Year]],0))</f>
        <v>31</v>
      </c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  <c r="AU188" s="119"/>
      <c r="AV188" s="119"/>
      <c r="AW188" s="119"/>
      <c r="AX188" s="119"/>
      <c r="AY188" s="119"/>
      <c r="AZ188" s="119"/>
      <c r="BA188" s="119"/>
      <c r="BB188" s="119"/>
      <c r="BC188" s="119"/>
      <c r="BD188" s="119"/>
      <c r="BE188" s="5">
        <f>SUM(MC_2[[#This Row],[IS1Inv1M1]:[IS9Inv19M2]])</f>
        <v>0</v>
      </c>
      <c r="BF188" s="119"/>
      <c r="BG188" s="119"/>
      <c r="BH188" s="119"/>
      <c r="BI188" s="119"/>
      <c r="BJ188" s="119"/>
      <c r="BK188" s="119"/>
      <c r="BL188" s="121"/>
    </row>
    <row r="189" spans="1:64">
      <c r="A189" s="119">
        <v>187</v>
      </c>
      <c r="B189" s="113">
        <f t="shared" si="2"/>
        <v>45509</v>
      </c>
      <c r="C189" s="114">
        <f>YEAR(MC_2[[#This Row],[Date]])+IF(MONTH(MC_2[[#This Row],[Date]])&gt;=4,1,0)</f>
        <v>2025</v>
      </c>
      <c r="D189" s="115">
        <f>YEAR(MC_2[[#This Row],[Date]])</f>
        <v>2024</v>
      </c>
      <c r="E189" s="112" t="s">
        <v>340</v>
      </c>
      <c r="F189" s="112" t="s">
        <v>340</v>
      </c>
      <c r="G189" s="116" t="str">
        <f>TEXT(MC_2[[#This Row],[Date]],"mmm-yy")</f>
        <v>Aug-24</v>
      </c>
      <c r="H189" s="116">
        <f>DAY(EOMONTH(MC_2[[#This Row],[Month Year]],0))</f>
        <v>31</v>
      </c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119"/>
      <c r="AN189" s="119"/>
      <c r="AO189" s="119"/>
      <c r="AP189" s="119"/>
      <c r="AQ189" s="119"/>
      <c r="AR189" s="119"/>
      <c r="AS189" s="119"/>
      <c r="AT189" s="119"/>
      <c r="AU189" s="119"/>
      <c r="AV189" s="119"/>
      <c r="AW189" s="119"/>
      <c r="AX189" s="119"/>
      <c r="AY189" s="119"/>
      <c r="AZ189" s="119"/>
      <c r="BA189" s="119"/>
      <c r="BB189" s="119"/>
      <c r="BC189" s="119"/>
      <c r="BD189" s="119"/>
      <c r="BE189" s="5">
        <f>SUM(MC_2[[#This Row],[IS1Inv1M1]:[IS9Inv19M2]])</f>
        <v>0</v>
      </c>
      <c r="BF189" s="119"/>
      <c r="BG189" s="119"/>
      <c r="BH189" s="119"/>
      <c r="BI189" s="119"/>
      <c r="BJ189" s="119"/>
      <c r="BK189" s="119"/>
      <c r="BL189" s="121"/>
    </row>
    <row r="190" spans="1:64">
      <c r="A190" s="119">
        <v>188</v>
      </c>
      <c r="B190" s="113">
        <f t="shared" si="2"/>
        <v>45510</v>
      </c>
      <c r="C190" s="114">
        <f>YEAR(MC_2[[#This Row],[Date]])+IF(MONTH(MC_2[[#This Row],[Date]])&gt;=4,1,0)</f>
        <v>2025</v>
      </c>
      <c r="D190" s="115">
        <f>YEAR(MC_2[[#This Row],[Date]])</f>
        <v>2024</v>
      </c>
      <c r="E190" s="112" t="s">
        <v>340</v>
      </c>
      <c r="F190" s="112" t="s">
        <v>340</v>
      </c>
      <c r="G190" s="116" t="str">
        <f>TEXT(MC_2[[#This Row],[Date]],"mmm-yy")</f>
        <v>Aug-24</v>
      </c>
      <c r="H190" s="116">
        <f>DAY(EOMONTH(MC_2[[#This Row],[Month Year]],0))</f>
        <v>31</v>
      </c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2"/>
      <c r="AX190" s="112"/>
      <c r="AY190" s="112"/>
      <c r="AZ190" s="112"/>
      <c r="BA190" s="112"/>
      <c r="BB190" s="112"/>
      <c r="BC190" s="112"/>
      <c r="BD190" s="112"/>
      <c r="BE190" s="5">
        <f>SUM(MC_2[[#This Row],[IS1Inv1M1]:[IS9Inv19M2]])</f>
        <v>0</v>
      </c>
      <c r="BF190" s="119"/>
      <c r="BG190" s="119"/>
      <c r="BH190" s="119"/>
      <c r="BI190" s="119"/>
      <c r="BJ190" s="119"/>
      <c r="BK190" s="119"/>
      <c r="BL190" s="121"/>
    </row>
    <row r="191" spans="1:64">
      <c r="A191" s="119">
        <v>189</v>
      </c>
      <c r="B191" s="113">
        <f t="shared" si="2"/>
        <v>45511</v>
      </c>
      <c r="C191" s="114">
        <f>YEAR(MC_2[[#This Row],[Date]])+IF(MONTH(MC_2[[#This Row],[Date]])&gt;=4,1,0)</f>
        <v>2025</v>
      </c>
      <c r="D191" s="115">
        <f>YEAR(MC_2[[#This Row],[Date]])</f>
        <v>2024</v>
      </c>
      <c r="E191" s="112" t="s">
        <v>340</v>
      </c>
      <c r="F191" s="112" t="s">
        <v>340</v>
      </c>
      <c r="G191" s="116" t="str">
        <f>TEXT(MC_2[[#This Row],[Date]],"mmm-yy")</f>
        <v>Aug-24</v>
      </c>
      <c r="H191" s="116">
        <f>DAY(EOMONTH(MC_2[[#This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119"/>
      <c r="AN191" s="119"/>
      <c r="AO191" s="119"/>
      <c r="AP191" s="119"/>
      <c r="AQ191" s="119"/>
      <c r="AR191" s="119"/>
      <c r="AS191" s="119"/>
      <c r="AT191" s="119"/>
      <c r="AU191" s="119"/>
      <c r="AV191" s="119"/>
      <c r="AW191" s="119"/>
      <c r="AX191" s="119"/>
      <c r="AY191" s="119"/>
      <c r="AZ191" s="119"/>
      <c r="BA191" s="119"/>
      <c r="BB191" s="119"/>
      <c r="BC191" s="119"/>
      <c r="BD191" s="119"/>
      <c r="BE191" s="5">
        <f>SUM(MC_2[[#This Row],[IS1Inv1M1]:[IS9Inv19M2]])</f>
        <v>0</v>
      </c>
      <c r="BF191" s="119"/>
      <c r="BG191" s="119"/>
      <c r="BH191" s="119"/>
      <c r="BI191" s="119"/>
      <c r="BJ191" s="119"/>
      <c r="BK191" s="119"/>
      <c r="BL191" s="121"/>
    </row>
    <row r="192" spans="1:64">
      <c r="A192" s="119">
        <v>190</v>
      </c>
      <c r="B192" s="113">
        <f t="shared" si="2"/>
        <v>45512</v>
      </c>
      <c r="C192" s="114">
        <f>YEAR(MC_2[[#This Row],[Date]])+IF(MONTH(MC_2[[#This Row],[Date]])&gt;=4,1,0)</f>
        <v>2025</v>
      </c>
      <c r="D192" s="115">
        <f>YEAR(MC_2[[#This Row],[Date]])</f>
        <v>2024</v>
      </c>
      <c r="E192" s="112" t="s">
        <v>340</v>
      </c>
      <c r="F192" s="112" t="s">
        <v>340</v>
      </c>
      <c r="G192" s="116" t="str">
        <f>TEXT(MC_2[[#This Row],[Date]],"mmm-yy")</f>
        <v>Aug-24</v>
      </c>
      <c r="H192" s="116">
        <f>DAY(EOMONTH(MC_2[[#This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  <c r="AT192" s="119"/>
      <c r="AU192" s="119"/>
      <c r="AV192" s="119"/>
      <c r="AW192" s="119"/>
      <c r="AX192" s="119"/>
      <c r="AY192" s="119"/>
      <c r="AZ192" s="119"/>
      <c r="BA192" s="119"/>
      <c r="BB192" s="119"/>
      <c r="BC192" s="119"/>
      <c r="BD192" s="119"/>
      <c r="BE192" s="5">
        <f>SUM(MC_2[[#This Row],[IS1Inv1M1]:[IS9Inv19M2]])</f>
        <v>0</v>
      </c>
      <c r="BF192" s="119"/>
      <c r="BG192" s="119"/>
      <c r="BH192" s="119"/>
      <c r="BI192" s="119"/>
      <c r="BJ192" s="119"/>
      <c r="BK192" s="119"/>
      <c r="BL192" s="121"/>
    </row>
    <row r="193" spans="1:64">
      <c r="A193" s="119">
        <v>191</v>
      </c>
      <c r="B193" s="113">
        <f t="shared" si="2"/>
        <v>45513</v>
      </c>
      <c r="C193" s="114">
        <f>YEAR(MC_2[[#This Row],[Date]])+IF(MONTH(MC_2[[#This Row],[Date]])&gt;=4,1,0)</f>
        <v>2025</v>
      </c>
      <c r="D193" s="115">
        <f>YEAR(MC_2[[#This Row],[Date]])</f>
        <v>2024</v>
      </c>
      <c r="E193" s="112" t="s">
        <v>340</v>
      </c>
      <c r="F193" s="112" t="s">
        <v>340</v>
      </c>
      <c r="G193" s="116" t="str">
        <f>TEXT(MC_2[[#This Row],[Date]],"mmm-yy")</f>
        <v>Aug-24</v>
      </c>
      <c r="H193" s="116">
        <f>DAY(EOMONTH(MC_2[[#This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119"/>
      <c r="AN193" s="119"/>
      <c r="AO193" s="119"/>
      <c r="AP193" s="119"/>
      <c r="AQ193" s="119"/>
      <c r="AR193" s="119"/>
      <c r="AS193" s="119"/>
      <c r="AT193" s="119"/>
      <c r="AU193" s="119"/>
      <c r="AV193" s="119"/>
      <c r="AW193" s="119"/>
      <c r="AX193" s="119"/>
      <c r="AY193" s="119"/>
      <c r="AZ193" s="119"/>
      <c r="BA193" s="119"/>
      <c r="BB193" s="119"/>
      <c r="BC193" s="119"/>
      <c r="BD193" s="119"/>
      <c r="BE193" s="5">
        <f>SUM(MC_2[[#This Row],[IS1Inv1M1]:[IS9Inv19M2]])</f>
        <v>0</v>
      </c>
      <c r="BF193" s="119"/>
      <c r="BG193" s="119"/>
      <c r="BH193" s="119"/>
      <c r="BI193" s="119"/>
      <c r="BJ193" s="119"/>
      <c r="BK193" s="119"/>
      <c r="BL193" s="121"/>
    </row>
    <row r="194" spans="1:64">
      <c r="A194" s="119">
        <v>192</v>
      </c>
      <c r="B194" s="113">
        <f t="shared" si="2"/>
        <v>45514</v>
      </c>
      <c r="C194" s="114">
        <f>YEAR(MC_2[[#This Row],[Date]])+IF(MONTH(MC_2[[#This Row],[Date]])&gt;=4,1,0)</f>
        <v>2025</v>
      </c>
      <c r="D194" s="115">
        <f>YEAR(MC_2[[#This Row],[Date]])</f>
        <v>2024</v>
      </c>
      <c r="E194" s="112" t="s">
        <v>340</v>
      </c>
      <c r="F194" s="112" t="s">
        <v>340</v>
      </c>
      <c r="G194" s="116" t="str">
        <f>TEXT(MC_2[[#This Row],[Date]],"mmm-yy")</f>
        <v>Aug-24</v>
      </c>
      <c r="H194" s="116">
        <f>DAY(EOMONTH(MC_2[[#This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119"/>
      <c r="AS194" s="119"/>
      <c r="AT194" s="119"/>
      <c r="AU194" s="119"/>
      <c r="AV194" s="119"/>
      <c r="AW194" s="119"/>
      <c r="AX194" s="119"/>
      <c r="AY194" s="119"/>
      <c r="AZ194" s="119"/>
      <c r="BA194" s="119"/>
      <c r="BB194" s="119"/>
      <c r="BC194" s="119"/>
      <c r="BD194" s="119"/>
      <c r="BE194" s="5">
        <f>SUM(MC_2[[#This Row],[IS1Inv1M1]:[IS9Inv19M2]])</f>
        <v>0</v>
      </c>
      <c r="BF194" s="119"/>
      <c r="BG194" s="119"/>
      <c r="BH194" s="119"/>
      <c r="BI194" s="119"/>
      <c r="BJ194" s="119"/>
      <c r="BK194" s="119"/>
      <c r="BL194" s="121"/>
    </row>
    <row r="195" spans="1:64">
      <c r="A195" s="119">
        <v>193</v>
      </c>
      <c r="B195" s="113">
        <f t="shared" si="2"/>
        <v>45515</v>
      </c>
      <c r="C195" s="114">
        <f>YEAR(MC_2[[#This Row],[Date]])+IF(MONTH(MC_2[[#This Row],[Date]])&gt;=4,1,0)</f>
        <v>2025</v>
      </c>
      <c r="D195" s="115">
        <f>YEAR(MC_2[[#This Row],[Date]])</f>
        <v>2024</v>
      </c>
      <c r="E195" s="112" t="s">
        <v>340</v>
      </c>
      <c r="F195" s="112" t="s">
        <v>340</v>
      </c>
      <c r="G195" s="116" t="str">
        <f>TEXT(MC_2[[#This Row],[Date]],"mmm-yy")</f>
        <v>Aug-24</v>
      </c>
      <c r="H195" s="116">
        <f>DAY(EOMONTH(MC_2[[#This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119"/>
      <c r="AN195" s="119"/>
      <c r="AO195" s="119"/>
      <c r="AP195" s="119"/>
      <c r="AQ195" s="119"/>
      <c r="AR195" s="119"/>
      <c r="AS195" s="119"/>
      <c r="AT195" s="119"/>
      <c r="AU195" s="119"/>
      <c r="AV195" s="119"/>
      <c r="AW195" s="119"/>
      <c r="AX195" s="119"/>
      <c r="AY195" s="119"/>
      <c r="AZ195" s="119"/>
      <c r="BA195" s="119"/>
      <c r="BB195" s="119"/>
      <c r="BC195" s="119"/>
      <c r="BD195" s="119"/>
      <c r="BE195" s="5">
        <f>SUM(MC_2[[#This Row],[IS1Inv1M1]:[IS9Inv19M2]])</f>
        <v>0</v>
      </c>
      <c r="BF195" s="119"/>
      <c r="BG195" s="119"/>
      <c r="BH195" s="119"/>
      <c r="BI195" s="119"/>
      <c r="BJ195" s="119"/>
      <c r="BK195" s="119"/>
      <c r="BL195" s="121"/>
    </row>
    <row r="196" spans="1:64">
      <c r="A196" s="119">
        <v>194</v>
      </c>
      <c r="B196" s="113">
        <f t="shared" si="2"/>
        <v>45516</v>
      </c>
      <c r="C196" s="114">
        <f>YEAR(MC_2[[#This Row],[Date]])+IF(MONTH(MC_2[[#This Row],[Date]])&gt;=4,1,0)</f>
        <v>2025</v>
      </c>
      <c r="D196" s="115">
        <f>YEAR(MC_2[[#This Row],[Date]])</f>
        <v>2024</v>
      </c>
      <c r="E196" s="112" t="s">
        <v>340</v>
      </c>
      <c r="F196" s="112" t="s">
        <v>340</v>
      </c>
      <c r="G196" s="116" t="str">
        <f>TEXT(MC_2[[#This Row],[Date]],"mmm-yy")</f>
        <v>Aug-24</v>
      </c>
      <c r="H196" s="116">
        <f>DAY(EOMONTH(MC_2[[#This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119"/>
      <c r="AN196" s="119"/>
      <c r="AO196" s="119"/>
      <c r="AP196" s="119"/>
      <c r="AQ196" s="119"/>
      <c r="AR196" s="119"/>
      <c r="AS196" s="119"/>
      <c r="AT196" s="119"/>
      <c r="AU196" s="119"/>
      <c r="AV196" s="119"/>
      <c r="AW196" s="119"/>
      <c r="AX196" s="119"/>
      <c r="AY196" s="119"/>
      <c r="AZ196" s="119"/>
      <c r="BA196" s="119"/>
      <c r="BB196" s="119"/>
      <c r="BC196" s="119"/>
      <c r="BD196" s="119"/>
      <c r="BE196" s="5">
        <f>SUM(MC_2[[#This Row],[IS1Inv1M1]:[IS9Inv19M2]])</f>
        <v>0</v>
      </c>
      <c r="BF196" s="119"/>
      <c r="BG196" s="119"/>
      <c r="BH196" s="119"/>
      <c r="BI196" s="119"/>
      <c r="BJ196" s="119"/>
      <c r="BK196" s="119"/>
      <c r="BL196" s="121"/>
    </row>
    <row r="197" spans="1:64">
      <c r="A197" s="119">
        <v>195</v>
      </c>
      <c r="B197" s="113">
        <f t="shared" ref="B197:B260" si="3">B196+1</f>
        <v>45517</v>
      </c>
      <c r="C197" s="114">
        <f>YEAR(MC_2[[#This Row],[Date]])+IF(MONTH(MC_2[[#This Row],[Date]])&gt;=4,1,0)</f>
        <v>2025</v>
      </c>
      <c r="D197" s="115">
        <f>YEAR(MC_2[[#This Row],[Date]])</f>
        <v>2024</v>
      </c>
      <c r="E197" s="112" t="s">
        <v>340</v>
      </c>
      <c r="F197" s="112" t="s">
        <v>340</v>
      </c>
      <c r="G197" s="116" t="str">
        <f>TEXT(MC_2[[#This Row],[Date]],"mmm-yy")</f>
        <v>Aug-24</v>
      </c>
      <c r="H197" s="116">
        <f>DAY(EOMONTH(MC_2[[#This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119"/>
      <c r="AN197" s="119"/>
      <c r="AO197" s="119"/>
      <c r="AP197" s="119"/>
      <c r="AQ197" s="119"/>
      <c r="AR197" s="119"/>
      <c r="AS197" s="119"/>
      <c r="AT197" s="119"/>
      <c r="AU197" s="119"/>
      <c r="AV197" s="119"/>
      <c r="AW197" s="119"/>
      <c r="AX197" s="119"/>
      <c r="AY197" s="119"/>
      <c r="AZ197" s="119"/>
      <c r="BA197" s="119"/>
      <c r="BB197" s="119"/>
      <c r="BC197" s="119"/>
      <c r="BD197" s="119"/>
      <c r="BE197" s="5">
        <f>SUM(MC_2[[#This Row],[IS1Inv1M1]:[IS9Inv19M2]])</f>
        <v>0</v>
      </c>
      <c r="BF197" s="119"/>
      <c r="BG197" s="119"/>
      <c r="BH197" s="119"/>
      <c r="BI197" s="119"/>
      <c r="BJ197" s="119"/>
      <c r="BK197" s="119"/>
      <c r="BL197" s="121"/>
    </row>
    <row r="198" spans="1:64">
      <c r="A198" s="119">
        <v>196</v>
      </c>
      <c r="B198" s="113">
        <f t="shared" si="3"/>
        <v>45518</v>
      </c>
      <c r="C198" s="114">
        <f>YEAR(MC_2[[#This Row],[Date]])+IF(MONTH(MC_2[[#This Row],[Date]])&gt;=4,1,0)</f>
        <v>2025</v>
      </c>
      <c r="D198" s="115">
        <f>YEAR(MC_2[[#This Row],[Date]])</f>
        <v>2024</v>
      </c>
      <c r="E198" s="112" t="s">
        <v>340</v>
      </c>
      <c r="F198" s="112" t="s">
        <v>340</v>
      </c>
      <c r="G198" s="116" t="str">
        <f>TEXT(MC_2[[#This Row],[Date]],"mmm-yy")</f>
        <v>Aug-24</v>
      </c>
      <c r="H198" s="116">
        <f>DAY(EOMONTH(MC_2[[#This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119"/>
      <c r="AN198" s="119"/>
      <c r="AO198" s="119"/>
      <c r="AP198" s="119"/>
      <c r="AQ198" s="119"/>
      <c r="AR198" s="119"/>
      <c r="AS198" s="119"/>
      <c r="AT198" s="119"/>
      <c r="AU198" s="119"/>
      <c r="AV198" s="119"/>
      <c r="AW198" s="119"/>
      <c r="AX198" s="119"/>
      <c r="AY198" s="119"/>
      <c r="AZ198" s="119"/>
      <c r="BA198" s="119"/>
      <c r="BB198" s="119"/>
      <c r="BC198" s="119"/>
      <c r="BD198" s="119"/>
      <c r="BE198" s="5">
        <f>SUM(MC_2[[#This Row],[IS1Inv1M1]:[IS9Inv19M2]])</f>
        <v>0</v>
      </c>
      <c r="BF198" s="119"/>
      <c r="BG198" s="119"/>
      <c r="BH198" s="119"/>
      <c r="BI198" s="119"/>
      <c r="BJ198" s="119"/>
      <c r="BK198" s="119"/>
      <c r="BL198" s="121"/>
    </row>
    <row r="199" spans="1:64">
      <c r="A199" s="119">
        <v>197</v>
      </c>
      <c r="B199" s="113">
        <f t="shared" si="3"/>
        <v>45519</v>
      </c>
      <c r="C199" s="114">
        <f>YEAR(MC_2[[#This Row],[Date]])+IF(MONTH(MC_2[[#This Row],[Date]])&gt;=4,1,0)</f>
        <v>2025</v>
      </c>
      <c r="D199" s="115">
        <f>YEAR(MC_2[[#This Row],[Date]])</f>
        <v>2024</v>
      </c>
      <c r="E199" s="112" t="s">
        <v>340</v>
      </c>
      <c r="F199" s="112" t="s">
        <v>340</v>
      </c>
      <c r="G199" s="116" t="str">
        <f>TEXT(MC_2[[#This Row],[Date]],"mmm-yy")</f>
        <v>Aug-24</v>
      </c>
      <c r="H199" s="116">
        <f>DAY(EOMONTH(MC_2[[#This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9"/>
      <c r="BC199" s="119"/>
      <c r="BD199" s="119"/>
      <c r="BE199" s="5">
        <f>SUM(MC_2[[#This Row],[IS1Inv1M1]:[IS9Inv19M2]])</f>
        <v>0</v>
      </c>
      <c r="BF199" s="119"/>
      <c r="BG199" s="119"/>
      <c r="BH199" s="119"/>
      <c r="BI199" s="119"/>
      <c r="BJ199" s="119"/>
      <c r="BK199" s="119"/>
      <c r="BL199" s="121"/>
    </row>
    <row r="200" spans="1:64">
      <c r="A200" s="119">
        <v>198</v>
      </c>
      <c r="B200" s="113">
        <f t="shared" si="3"/>
        <v>45520</v>
      </c>
      <c r="C200" s="114">
        <f>YEAR(MC_2[[#This Row],[Date]])+IF(MONTH(MC_2[[#This Row],[Date]])&gt;=4,1,0)</f>
        <v>2025</v>
      </c>
      <c r="D200" s="115">
        <f>YEAR(MC_2[[#This Row],[Date]])</f>
        <v>2024</v>
      </c>
      <c r="E200" s="112" t="s">
        <v>340</v>
      </c>
      <c r="F200" s="112" t="s">
        <v>340</v>
      </c>
      <c r="G200" s="116" t="str">
        <f>TEXT(MC_2[[#This Row],[Date]],"mmm-yy")</f>
        <v>Aug-24</v>
      </c>
      <c r="H200" s="116">
        <f>DAY(EOMONTH(MC_2[[#This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G200" s="119"/>
      <c r="AH200" s="119"/>
      <c r="AI200" s="119"/>
      <c r="AJ200" s="119"/>
      <c r="AK200" s="119"/>
      <c r="AL200" s="119"/>
      <c r="AM200" s="119"/>
      <c r="AN200" s="119"/>
      <c r="AO200" s="119"/>
      <c r="AP200" s="119"/>
      <c r="AQ200" s="119"/>
      <c r="AR200" s="119"/>
      <c r="AS200" s="119"/>
      <c r="AT200" s="119"/>
      <c r="AU200" s="119"/>
      <c r="AV200" s="119"/>
      <c r="AW200" s="119"/>
      <c r="AX200" s="119"/>
      <c r="AY200" s="119"/>
      <c r="AZ200" s="119"/>
      <c r="BA200" s="119"/>
      <c r="BB200" s="119"/>
      <c r="BC200" s="119"/>
      <c r="BD200" s="119"/>
      <c r="BE200" s="5">
        <f>SUM(MC_2[[#This Row],[IS1Inv1M1]:[IS9Inv19M2]])</f>
        <v>0</v>
      </c>
      <c r="BF200" s="119"/>
      <c r="BG200" s="119"/>
      <c r="BH200" s="119"/>
      <c r="BI200" s="119"/>
      <c r="BJ200" s="119"/>
      <c r="BK200" s="119"/>
      <c r="BL200" s="121"/>
    </row>
    <row r="201" spans="1:64">
      <c r="A201" s="119">
        <v>199</v>
      </c>
      <c r="B201" s="113">
        <f t="shared" si="3"/>
        <v>45521</v>
      </c>
      <c r="C201" s="114">
        <f>YEAR(MC_2[[#This Row],[Date]])+IF(MONTH(MC_2[[#This Row],[Date]])&gt;=4,1,0)</f>
        <v>2025</v>
      </c>
      <c r="D201" s="115">
        <f>YEAR(MC_2[[#This Row],[Date]])</f>
        <v>2024</v>
      </c>
      <c r="E201" s="112" t="s">
        <v>340</v>
      </c>
      <c r="F201" s="112" t="s">
        <v>340</v>
      </c>
      <c r="G201" s="116" t="str">
        <f>TEXT(MC_2[[#This Row],[Date]],"mmm-yy")</f>
        <v>Aug-24</v>
      </c>
      <c r="H201" s="116">
        <f>DAY(EOMONTH(MC_2[[#This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119"/>
      <c r="AN201" s="119"/>
      <c r="AO201" s="119"/>
      <c r="AP201" s="119"/>
      <c r="AQ201" s="119"/>
      <c r="AR201" s="119"/>
      <c r="AS201" s="119"/>
      <c r="AT201" s="119"/>
      <c r="AU201" s="119"/>
      <c r="AV201" s="119"/>
      <c r="AW201" s="119"/>
      <c r="AX201" s="119"/>
      <c r="AY201" s="119"/>
      <c r="AZ201" s="119"/>
      <c r="BA201" s="119"/>
      <c r="BB201" s="119"/>
      <c r="BC201" s="119"/>
      <c r="BD201" s="119"/>
      <c r="BE201" s="5">
        <f>SUM(MC_2[[#This Row],[IS1Inv1M1]:[IS9Inv19M2]])</f>
        <v>0</v>
      </c>
      <c r="BF201" s="119"/>
      <c r="BG201" s="119"/>
      <c r="BH201" s="119"/>
      <c r="BI201" s="119"/>
      <c r="BJ201" s="119"/>
      <c r="BK201" s="119"/>
      <c r="BL201" s="121"/>
    </row>
    <row r="202" spans="1:64">
      <c r="A202" s="119">
        <v>200</v>
      </c>
      <c r="B202" s="113">
        <f t="shared" si="3"/>
        <v>45522</v>
      </c>
      <c r="C202" s="114">
        <f>YEAR(MC_2[[#This Row],[Date]])+IF(MONTH(MC_2[[#This Row],[Date]])&gt;=4,1,0)</f>
        <v>2025</v>
      </c>
      <c r="D202" s="115">
        <f>YEAR(MC_2[[#This Row],[Date]])</f>
        <v>2024</v>
      </c>
      <c r="E202" s="112" t="s">
        <v>340</v>
      </c>
      <c r="F202" s="112" t="s">
        <v>340</v>
      </c>
      <c r="G202" s="116" t="str">
        <f>TEXT(MC_2[[#This Row],[Date]],"mmm-yy")</f>
        <v>Aug-24</v>
      </c>
      <c r="H202" s="116">
        <f>DAY(EOMONTH(MC_2[[#This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G202" s="119"/>
      <c r="AH202" s="119"/>
      <c r="AI202" s="119"/>
      <c r="AJ202" s="119"/>
      <c r="AK202" s="119"/>
      <c r="AL202" s="119"/>
      <c r="AM202" s="119"/>
      <c r="AN202" s="119"/>
      <c r="AO202" s="119"/>
      <c r="AP202" s="119"/>
      <c r="AQ202" s="119"/>
      <c r="AR202" s="119"/>
      <c r="AS202" s="119"/>
      <c r="AT202" s="119"/>
      <c r="AU202" s="119"/>
      <c r="AV202" s="119"/>
      <c r="AW202" s="119"/>
      <c r="AX202" s="119"/>
      <c r="AY202" s="119"/>
      <c r="AZ202" s="119"/>
      <c r="BA202" s="119"/>
      <c r="BB202" s="119"/>
      <c r="BC202" s="119"/>
      <c r="BD202" s="119"/>
      <c r="BE202" s="5">
        <f>SUM(MC_2[[#This Row],[IS1Inv1M1]:[IS9Inv19M2]])</f>
        <v>0</v>
      </c>
      <c r="BF202" s="119"/>
      <c r="BG202" s="119"/>
      <c r="BH202" s="119"/>
      <c r="BI202" s="119"/>
      <c r="BJ202" s="119"/>
      <c r="BK202" s="119"/>
      <c r="BL202" s="121"/>
    </row>
    <row r="203" spans="1:64">
      <c r="A203" s="119">
        <v>201</v>
      </c>
      <c r="B203" s="113">
        <f t="shared" si="3"/>
        <v>45523</v>
      </c>
      <c r="C203" s="114">
        <f>YEAR(MC_2[[#This Row],[Date]])+IF(MONTH(MC_2[[#This Row],[Date]])&gt;=4,1,0)</f>
        <v>2025</v>
      </c>
      <c r="D203" s="115">
        <f>YEAR(MC_2[[#This Row],[Date]])</f>
        <v>2024</v>
      </c>
      <c r="E203" s="112" t="s">
        <v>340</v>
      </c>
      <c r="F203" s="112" t="s">
        <v>340</v>
      </c>
      <c r="G203" s="116" t="str">
        <f>TEXT(MC_2[[#This Row],[Date]],"mmm-yy")</f>
        <v>Aug-24</v>
      </c>
      <c r="H203" s="116">
        <f>DAY(EOMONTH(MC_2[[#This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119"/>
      <c r="AN203" s="119"/>
      <c r="AO203" s="119"/>
      <c r="AP203" s="119"/>
      <c r="AQ203" s="119"/>
      <c r="AR203" s="119"/>
      <c r="AS203" s="119"/>
      <c r="AT203" s="119"/>
      <c r="AU203" s="119"/>
      <c r="AV203" s="119"/>
      <c r="AW203" s="119"/>
      <c r="AX203" s="119"/>
      <c r="AY203" s="119"/>
      <c r="AZ203" s="119"/>
      <c r="BA203" s="119"/>
      <c r="BB203" s="119"/>
      <c r="BC203" s="119"/>
      <c r="BD203" s="119"/>
      <c r="BE203" s="5">
        <f>SUM(MC_2[[#This Row],[IS1Inv1M1]:[IS9Inv19M2]])</f>
        <v>0</v>
      </c>
      <c r="BF203" s="119"/>
      <c r="BG203" s="119"/>
      <c r="BH203" s="119"/>
      <c r="BI203" s="119"/>
      <c r="BJ203" s="119"/>
      <c r="BK203" s="119"/>
      <c r="BL203" s="121"/>
    </row>
    <row r="204" spans="1:64">
      <c r="A204" s="119">
        <v>202</v>
      </c>
      <c r="B204" s="113">
        <f t="shared" si="3"/>
        <v>45524</v>
      </c>
      <c r="C204" s="114">
        <f>YEAR(MC_2[[#This Row],[Date]])+IF(MONTH(MC_2[[#This Row],[Date]])&gt;=4,1,0)</f>
        <v>2025</v>
      </c>
      <c r="D204" s="115">
        <f>YEAR(MC_2[[#This Row],[Date]])</f>
        <v>2024</v>
      </c>
      <c r="E204" s="112" t="s">
        <v>340</v>
      </c>
      <c r="F204" s="112" t="s">
        <v>340</v>
      </c>
      <c r="G204" s="116" t="str">
        <f>TEXT(MC_2[[#This Row],[Date]],"mmm-yy")</f>
        <v>Aug-24</v>
      </c>
      <c r="H204" s="116">
        <f>DAY(EOMONTH(MC_2[[#This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G204" s="119"/>
      <c r="AH204" s="119"/>
      <c r="AI204" s="119"/>
      <c r="AJ204" s="119"/>
      <c r="AK204" s="119"/>
      <c r="AL204" s="119"/>
      <c r="AM204" s="119"/>
      <c r="AN204" s="119"/>
      <c r="AO204" s="119"/>
      <c r="AP204" s="119"/>
      <c r="AQ204" s="119"/>
      <c r="AR204" s="119"/>
      <c r="AS204" s="119"/>
      <c r="AT204" s="119"/>
      <c r="AU204" s="119"/>
      <c r="AV204" s="119"/>
      <c r="AW204" s="119"/>
      <c r="AX204" s="119"/>
      <c r="AY204" s="119"/>
      <c r="AZ204" s="119"/>
      <c r="BA204" s="119"/>
      <c r="BB204" s="119"/>
      <c r="BC204" s="119"/>
      <c r="BD204" s="119"/>
      <c r="BE204" s="5">
        <f>SUM(MC_2[[#This Row],[IS1Inv1M1]:[IS9Inv19M2]])</f>
        <v>0</v>
      </c>
      <c r="BF204" s="119"/>
      <c r="BG204" s="119"/>
      <c r="BH204" s="119"/>
      <c r="BI204" s="119"/>
      <c r="BJ204" s="119"/>
      <c r="BK204" s="119"/>
      <c r="BL204" s="121"/>
    </row>
    <row r="205" spans="1:64">
      <c r="A205" s="119">
        <v>203</v>
      </c>
      <c r="B205" s="113">
        <f t="shared" si="3"/>
        <v>45525</v>
      </c>
      <c r="C205" s="114">
        <f>YEAR(MC_2[[#This Row],[Date]])+IF(MONTH(MC_2[[#This Row],[Date]])&gt;=4,1,0)</f>
        <v>2025</v>
      </c>
      <c r="D205" s="115">
        <f>YEAR(MC_2[[#This Row],[Date]])</f>
        <v>2024</v>
      </c>
      <c r="E205" s="112" t="s">
        <v>340</v>
      </c>
      <c r="F205" s="112" t="s">
        <v>340</v>
      </c>
      <c r="G205" s="116" t="str">
        <f>TEXT(MC_2[[#This Row],[Date]],"mmm-yy")</f>
        <v>Aug-24</v>
      </c>
      <c r="H205" s="116">
        <f>DAY(EOMONTH(MC_2[[#This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/>
      <c r="AK205" s="119"/>
      <c r="AL205" s="119"/>
      <c r="AM205" s="119"/>
      <c r="AN205" s="119"/>
      <c r="AO205" s="119"/>
      <c r="AP205" s="119"/>
      <c r="AQ205" s="119"/>
      <c r="AR205" s="119"/>
      <c r="AS205" s="119"/>
      <c r="AT205" s="119"/>
      <c r="AU205" s="119"/>
      <c r="AV205" s="119"/>
      <c r="AW205" s="119"/>
      <c r="AX205" s="119"/>
      <c r="AY205" s="119"/>
      <c r="AZ205" s="119"/>
      <c r="BA205" s="119"/>
      <c r="BB205" s="119"/>
      <c r="BC205" s="119"/>
      <c r="BD205" s="119"/>
      <c r="BE205" s="5">
        <f>SUM(MC_2[[#This Row],[IS1Inv1M1]:[IS9Inv19M2]])</f>
        <v>0</v>
      </c>
      <c r="BF205" s="119"/>
      <c r="BG205" s="119"/>
      <c r="BH205" s="119"/>
      <c r="BI205" s="119"/>
      <c r="BJ205" s="119"/>
      <c r="BK205" s="119"/>
      <c r="BL205" s="121"/>
    </row>
    <row r="206" spans="1:64">
      <c r="A206" s="119">
        <v>204</v>
      </c>
      <c r="B206" s="113">
        <f t="shared" si="3"/>
        <v>45526</v>
      </c>
      <c r="C206" s="114">
        <f>YEAR(MC_2[[#This Row],[Date]])+IF(MONTH(MC_2[[#This Row],[Date]])&gt;=4,1,0)</f>
        <v>2025</v>
      </c>
      <c r="D206" s="115">
        <f>YEAR(MC_2[[#This Row],[Date]])</f>
        <v>2024</v>
      </c>
      <c r="E206" s="112" t="s">
        <v>340</v>
      </c>
      <c r="F206" s="112" t="s">
        <v>340</v>
      </c>
      <c r="G206" s="116" t="str">
        <f>TEXT(MC_2[[#This Row],[Date]],"mmm-yy")</f>
        <v>Aug-24</v>
      </c>
      <c r="H206" s="116">
        <f>DAY(EOMONTH(MC_2[[#This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119"/>
      <c r="AN206" s="119"/>
      <c r="AO206" s="119"/>
      <c r="AP206" s="119"/>
      <c r="AQ206" s="119"/>
      <c r="AR206" s="119"/>
      <c r="AS206" s="119"/>
      <c r="AT206" s="119"/>
      <c r="AU206" s="119"/>
      <c r="AV206" s="119"/>
      <c r="AW206" s="119"/>
      <c r="AX206" s="119"/>
      <c r="AY206" s="119"/>
      <c r="AZ206" s="119"/>
      <c r="BA206" s="119"/>
      <c r="BB206" s="119"/>
      <c r="BC206" s="119"/>
      <c r="BD206" s="119"/>
      <c r="BE206" s="5">
        <f>SUM(MC_2[[#This Row],[IS1Inv1M1]:[IS9Inv19M2]])</f>
        <v>0</v>
      </c>
      <c r="BF206" s="119"/>
      <c r="BG206" s="119"/>
      <c r="BH206" s="119"/>
      <c r="BI206" s="119"/>
      <c r="BJ206" s="119"/>
      <c r="BK206" s="119"/>
      <c r="BL206" s="121"/>
    </row>
    <row r="207" spans="1:64">
      <c r="A207" s="119">
        <v>205</v>
      </c>
      <c r="B207" s="113">
        <f t="shared" si="3"/>
        <v>45527</v>
      </c>
      <c r="C207" s="114">
        <f>YEAR(MC_2[[#This Row],[Date]])+IF(MONTH(MC_2[[#This Row],[Date]])&gt;=4,1,0)</f>
        <v>2025</v>
      </c>
      <c r="D207" s="115">
        <f>YEAR(MC_2[[#This Row],[Date]])</f>
        <v>2024</v>
      </c>
      <c r="E207" s="112" t="s">
        <v>340</v>
      </c>
      <c r="F207" s="112" t="s">
        <v>340</v>
      </c>
      <c r="G207" s="116" t="str">
        <f>TEXT(MC_2[[#This Row],[Date]],"mmm-yy")</f>
        <v>Aug-24</v>
      </c>
      <c r="H207" s="116">
        <f>DAY(EOMONTH(MC_2[[#This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/>
      <c r="AK207" s="119"/>
      <c r="AL207" s="119"/>
      <c r="AM207" s="112"/>
      <c r="AN207" s="112"/>
      <c r="AO207" s="112"/>
      <c r="AP207" s="112"/>
      <c r="AQ207" s="112"/>
      <c r="AR207" s="112"/>
      <c r="AS207" s="112"/>
      <c r="AT207" s="112"/>
      <c r="AU207" s="112"/>
      <c r="AV207" s="112"/>
      <c r="AW207" s="112"/>
      <c r="AX207" s="112"/>
      <c r="AY207" s="112"/>
      <c r="AZ207" s="112"/>
      <c r="BA207" s="112"/>
      <c r="BB207" s="112"/>
      <c r="BC207" s="112"/>
      <c r="BD207" s="112"/>
      <c r="BE207" s="5">
        <f>SUM(MC_2[[#This Row],[IS1Inv1M1]:[IS9Inv19M2]])</f>
        <v>0</v>
      </c>
      <c r="BF207" s="119"/>
      <c r="BG207" s="119"/>
      <c r="BH207" s="119"/>
      <c r="BI207" s="119"/>
      <c r="BJ207" s="119"/>
      <c r="BK207" s="119"/>
      <c r="BL207" s="121"/>
    </row>
    <row r="208" spans="1:64">
      <c r="A208" s="119">
        <v>206</v>
      </c>
      <c r="B208" s="113">
        <f t="shared" si="3"/>
        <v>45528</v>
      </c>
      <c r="C208" s="114">
        <f>YEAR(MC_2[[#This Row],[Date]])+IF(MONTH(MC_2[[#This Row],[Date]])&gt;=4,1,0)</f>
        <v>2025</v>
      </c>
      <c r="D208" s="115">
        <f>YEAR(MC_2[[#This Row],[Date]])</f>
        <v>2024</v>
      </c>
      <c r="E208" s="112" t="s">
        <v>340</v>
      </c>
      <c r="F208" s="112" t="s">
        <v>340</v>
      </c>
      <c r="G208" s="116" t="str">
        <f>TEXT(MC_2[[#This Row],[Date]],"mmm-yy")</f>
        <v>Aug-24</v>
      </c>
      <c r="H208" s="116">
        <f>DAY(EOMONTH(MC_2[[#This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  <c r="AT208" s="119"/>
      <c r="AU208" s="119"/>
      <c r="AV208" s="119"/>
      <c r="AW208" s="119"/>
      <c r="AX208" s="119"/>
      <c r="AY208" s="119"/>
      <c r="AZ208" s="119"/>
      <c r="BA208" s="119"/>
      <c r="BB208" s="119"/>
      <c r="BC208" s="119"/>
      <c r="BD208" s="119"/>
      <c r="BE208" s="5">
        <f>SUM(MC_2[[#This Row],[IS1Inv1M1]:[IS9Inv19M2]])</f>
        <v>0</v>
      </c>
      <c r="BF208" s="119"/>
      <c r="BG208" s="119"/>
      <c r="BH208" s="119"/>
      <c r="BI208" s="119"/>
      <c r="BJ208" s="119"/>
      <c r="BK208" s="119"/>
      <c r="BL208" s="121"/>
    </row>
    <row r="209" spans="1:64">
      <c r="A209" s="119">
        <v>207</v>
      </c>
      <c r="B209" s="113">
        <f t="shared" si="3"/>
        <v>45529</v>
      </c>
      <c r="C209" s="114">
        <f>YEAR(MC_2[[#This Row],[Date]])+IF(MONTH(MC_2[[#This Row],[Date]])&gt;=4,1,0)</f>
        <v>2025</v>
      </c>
      <c r="D209" s="115">
        <f>YEAR(MC_2[[#This Row],[Date]])</f>
        <v>2024</v>
      </c>
      <c r="E209" s="112" t="s">
        <v>340</v>
      </c>
      <c r="F209" s="112" t="s">
        <v>340</v>
      </c>
      <c r="G209" s="116" t="str">
        <f>TEXT(MC_2[[#This Row],[Date]],"mmm-yy")</f>
        <v>Aug-24</v>
      </c>
      <c r="H209" s="116">
        <f>DAY(EOMONTH(MC_2[[#This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G209" s="119"/>
      <c r="AH209" s="119"/>
      <c r="AI209" s="119"/>
      <c r="AJ209" s="119"/>
      <c r="AK209" s="119"/>
      <c r="AL209" s="119"/>
      <c r="AM209" s="119"/>
      <c r="AN209" s="119"/>
      <c r="AO209" s="119"/>
      <c r="AP209" s="119"/>
      <c r="AQ209" s="119"/>
      <c r="AR209" s="119"/>
      <c r="AS209" s="119"/>
      <c r="AT209" s="119"/>
      <c r="AU209" s="119"/>
      <c r="AV209" s="119"/>
      <c r="AW209" s="119"/>
      <c r="AX209" s="119"/>
      <c r="AY209" s="119"/>
      <c r="AZ209" s="119"/>
      <c r="BA209" s="119"/>
      <c r="BB209" s="119"/>
      <c r="BC209" s="119"/>
      <c r="BD209" s="119"/>
      <c r="BE209" s="5">
        <f>SUM(MC_2[[#This Row],[IS1Inv1M1]:[IS9Inv19M2]])</f>
        <v>0</v>
      </c>
      <c r="BF209" s="119"/>
      <c r="BG209" s="119"/>
      <c r="BH209" s="119"/>
      <c r="BI209" s="119"/>
      <c r="BJ209" s="119"/>
      <c r="BK209" s="119"/>
      <c r="BL209" s="121"/>
    </row>
    <row r="210" spans="1:64">
      <c r="A210" s="119">
        <v>208</v>
      </c>
      <c r="B210" s="113">
        <f t="shared" si="3"/>
        <v>45530</v>
      </c>
      <c r="C210" s="114">
        <f>YEAR(MC_2[[#This Row],[Date]])+IF(MONTH(MC_2[[#This Row],[Date]])&gt;=4,1,0)</f>
        <v>2025</v>
      </c>
      <c r="D210" s="115">
        <f>YEAR(MC_2[[#This Row],[Date]])</f>
        <v>2024</v>
      </c>
      <c r="E210" s="112" t="s">
        <v>340</v>
      </c>
      <c r="F210" s="112" t="s">
        <v>340</v>
      </c>
      <c r="G210" s="116" t="str">
        <f>TEXT(MC_2[[#This Row],[Date]],"mmm-yy")</f>
        <v>Aug-24</v>
      </c>
      <c r="H210" s="116">
        <f>DAY(EOMONTH(MC_2[[#This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G210" s="119"/>
      <c r="AH210" s="119"/>
      <c r="AI210" s="119"/>
      <c r="AJ210" s="119"/>
      <c r="AK210" s="119"/>
      <c r="AL210" s="119"/>
      <c r="AM210" s="119"/>
      <c r="AN210" s="119"/>
      <c r="AO210" s="119"/>
      <c r="AP210" s="119"/>
      <c r="AQ210" s="119"/>
      <c r="AR210" s="119"/>
      <c r="AS210" s="119"/>
      <c r="AT210" s="119"/>
      <c r="AU210" s="119"/>
      <c r="AV210" s="119"/>
      <c r="AW210" s="119"/>
      <c r="AX210" s="119"/>
      <c r="AY210" s="119"/>
      <c r="AZ210" s="119"/>
      <c r="BA210" s="119"/>
      <c r="BB210" s="119"/>
      <c r="BC210" s="119"/>
      <c r="BD210" s="119"/>
      <c r="BE210" s="5">
        <f>SUM(MC_2[[#This Row],[IS1Inv1M1]:[IS9Inv19M2]])</f>
        <v>0</v>
      </c>
      <c r="BF210" s="119"/>
      <c r="BG210" s="119"/>
      <c r="BH210" s="119"/>
      <c r="BI210" s="119"/>
      <c r="BJ210" s="119"/>
      <c r="BK210" s="119"/>
      <c r="BL210" s="121"/>
    </row>
    <row r="211" spans="1:64">
      <c r="A211" s="119">
        <v>209</v>
      </c>
      <c r="B211" s="113">
        <f t="shared" si="3"/>
        <v>45531</v>
      </c>
      <c r="C211" s="114">
        <f>YEAR(MC_2[[#This Row],[Date]])+IF(MONTH(MC_2[[#This Row],[Date]])&gt;=4,1,0)</f>
        <v>2025</v>
      </c>
      <c r="D211" s="115">
        <f>YEAR(MC_2[[#This Row],[Date]])</f>
        <v>2024</v>
      </c>
      <c r="E211" s="112" t="s">
        <v>340</v>
      </c>
      <c r="F211" s="112" t="s">
        <v>340</v>
      </c>
      <c r="G211" s="116" t="str">
        <f>TEXT(MC_2[[#This Row],[Date]],"mmm-yy")</f>
        <v>Aug-24</v>
      </c>
      <c r="H211" s="116">
        <f>DAY(EOMONTH(MC_2[[#This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G211" s="119"/>
      <c r="AH211" s="119"/>
      <c r="AI211" s="119"/>
      <c r="AJ211" s="119"/>
      <c r="AK211" s="119"/>
      <c r="AL211" s="119"/>
      <c r="AM211" s="119"/>
      <c r="AN211" s="119"/>
      <c r="AO211" s="119"/>
      <c r="AP211" s="119"/>
      <c r="AQ211" s="119"/>
      <c r="AR211" s="119"/>
      <c r="AS211" s="119"/>
      <c r="AT211" s="119"/>
      <c r="AU211" s="119"/>
      <c r="AV211" s="119"/>
      <c r="AW211" s="119"/>
      <c r="AX211" s="119"/>
      <c r="AY211" s="119"/>
      <c r="AZ211" s="119"/>
      <c r="BA211" s="119"/>
      <c r="BB211" s="119"/>
      <c r="BC211" s="119"/>
      <c r="BD211" s="119"/>
      <c r="BE211" s="5">
        <f>SUM(MC_2[[#This Row],[IS1Inv1M1]:[IS9Inv19M2]])</f>
        <v>0</v>
      </c>
      <c r="BF211" s="119"/>
      <c r="BG211" s="119"/>
      <c r="BH211" s="119"/>
      <c r="BI211" s="119"/>
      <c r="BJ211" s="119"/>
      <c r="BK211" s="119"/>
      <c r="BL211" s="121"/>
    </row>
    <row r="212" spans="1:64">
      <c r="A212" s="119">
        <v>210</v>
      </c>
      <c r="B212" s="113">
        <f t="shared" si="3"/>
        <v>45532</v>
      </c>
      <c r="C212" s="114">
        <f>YEAR(MC_2[[#This Row],[Date]])+IF(MONTH(MC_2[[#This Row],[Date]])&gt;=4,1,0)</f>
        <v>2025</v>
      </c>
      <c r="D212" s="115">
        <f>YEAR(MC_2[[#This Row],[Date]])</f>
        <v>2024</v>
      </c>
      <c r="E212" s="112" t="s">
        <v>340</v>
      </c>
      <c r="F212" s="112" t="s">
        <v>340</v>
      </c>
      <c r="G212" s="116" t="str">
        <f>TEXT(MC_2[[#This Row],[Date]],"mmm-yy")</f>
        <v>Aug-24</v>
      </c>
      <c r="H212" s="116">
        <f>DAY(EOMONTH(MC_2[[#This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119"/>
      <c r="AN212" s="119"/>
      <c r="AO212" s="119"/>
      <c r="AP212" s="119"/>
      <c r="AQ212" s="119"/>
      <c r="AR212" s="119"/>
      <c r="AS212" s="119"/>
      <c r="AT212" s="119"/>
      <c r="AU212" s="119"/>
      <c r="AV212" s="119"/>
      <c r="AW212" s="119"/>
      <c r="AX212" s="119"/>
      <c r="AY212" s="119"/>
      <c r="AZ212" s="119"/>
      <c r="BA212" s="119"/>
      <c r="BB212" s="119"/>
      <c r="BC212" s="119"/>
      <c r="BD212" s="119"/>
      <c r="BE212" s="5">
        <f>SUM(MC_2[[#This Row],[IS1Inv1M1]:[IS9Inv19M2]])</f>
        <v>0</v>
      </c>
      <c r="BF212" s="119"/>
      <c r="BG212" s="119"/>
      <c r="BH212" s="119"/>
      <c r="BI212" s="119"/>
      <c r="BJ212" s="119"/>
      <c r="BK212" s="119"/>
      <c r="BL212" s="121"/>
    </row>
    <row r="213" spans="1:64">
      <c r="A213" s="119">
        <v>211</v>
      </c>
      <c r="B213" s="113">
        <f t="shared" si="3"/>
        <v>45533</v>
      </c>
      <c r="C213" s="114">
        <f>YEAR(MC_2[[#This Row],[Date]])+IF(MONTH(MC_2[[#This Row],[Date]])&gt;=4,1,0)</f>
        <v>2025</v>
      </c>
      <c r="D213" s="115">
        <f>YEAR(MC_2[[#This Row],[Date]])</f>
        <v>2024</v>
      </c>
      <c r="E213" s="112" t="s">
        <v>340</v>
      </c>
      <c r="F213" s="112" t="s">
        <v>340</v>
      </c>
      <c r="G213" s="116" t="str">
        <f>TEXT(MC_2[[#This Row],[Date]],"mmm-yy")</f>
        <v>Aug-24</v>
      </c>
      <c r="H213" s="116">
        <f>DAY(EOMONTH(MC_2[[#This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9"/>
      <c r="BC213" s="119"/>
      <c r="BD213" s="119"/>
      <c r="BE213" s="5">
        <f>SUM(MC_2[[#This Row],[IS1Inv1M1]:[IS9Inv19M2]])</f>
        <v>0</v>
      </c>
      <c r="BF213" s="119"/>
      <c r="BG213" s="119"/>
      <c r="BH213" s="119"/>
      <c r="BI213" s="119"/>
      <c r="BJ213" s="119"/>
      <c r="BK213" s="119"/>
      <c r="BL213" s="121"/>
    </row>
    <row r="214" spans="1:64">
      <c r="A214" s="119">
        <v>212</v>
      </c>
      <c r="B214" s="113">
        <f t="shared" si="3"/>
        <v>45534</v>
      </c>
      <c r="C214" s="114">
        <f>YEAR(MC_2[[#This Row],[Date]])+IF(MONTH(MC_2[[#This Row],[Date]])&gt;=4,1,0)</f>
        <v>2025</v>
      </c>
      <c r="D214" s="115">
        <f>YEAR(MC_2[[#This Row],[Date]])</f>
        <v>2024</v>
      </c>
      <c r="E214" s="112" t="s">
        <v>340</v>
      </c>
      <c r="F214" s="112" t="s">
        <v>340</v>
      </c>
      <c r="G214" s="116" t="str">
        <f>TEXT(MC_2[[#This Row],[Date]],"mmm-yy")</f>
        <v>Aug-24</v>
      </c>
      <c r="H214" s="116">
        <f>DAY(EOMONTH(MC_2[[#This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119"/>
      <c r="AN214" s="119"/>
      <c r="AO214" s="119"/>
      <c r="AP214" s="119"/>
      <c r="AQ214" s="119"/>
      <c r="AR214" s="119"/>
      <c r="AS214" s="119"/>
      <c r="AT214" s="119"/>
      <c r="AU214" s="119"/>
      <c r="AV214" s="119"/>
      <c r="AW214" s="119"/>
      <c r="AX214" s="119"/>
      <c r="AY214" s="119"/>
      <c r="AZ214" s="119"/>
      <c r="BA214" s="119"/>
      <c r="BB214" s="119"/>
      <c r="BC214" s="119"/>
      <c r="BD214" s="119"/>
      <c r="BE214" s="5">
        <f>SUM(MC_2[[#This Row],[IS1Inv1M1]:[IS9Inv19M2]])</f>
        <v>0</v>
      </c>
      <c r="BF214" s="119"/>
      <c r="BG214" s="119"/>
      <c r="BH214" s="119"/>
      <c r="BI214" s="119"/>
      <c r="BJ214" s="119"/>
      <c r="BK214" s="119"/>
      <c r="BL214" s="121"/>
    </row>
    <row r="215" spans="1:64">
      <c r="A215" s="119">
        <v>213</v>
      </c>
      <c r="B215" s="113">
        <f t="shared" si="3"/>
        <v>45535</v>
      </c>
      <c r="C215" s="114">
        <f>YEAR(MC_2[[#This Row],[Date]])+IF(MONTH(MC_2[[#This Row],[Date]])&gt;=4,1,0)</f>
        <v>2025</v>
      </c>
      <c r="D215" s="115">
        <f>YEAR(MC_2[[#This Row],[Date]])</f>
        <v>2024</v>
      </c>
      <c r="E215" s="112" t="s">
        <v>340</v>
      </c>
      <c r="F215" s="112" t="s">
        <v>340</v>
      </c>
      <c r="G215" s="116" t="str">
        <f>TEXT(MC_2[[#This Row],[Date]],"mmm-yy")</f>
        <v>Aug-24</v>
      </c>
      <c r="H215" s="116">
        <f>DAY(EOMONTH(MC_2[[#This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/>
      <c r="AJ215" s="119"/>
      <c r="AK215" s="119"/>
      <c r="AL215" s="119"/>
      <c r="AM215" s="119"/>
      <c r="AN215" s="119"/>
      <c r="AO215" s="119"/>
      <c r="AP215" s="119"/>
      <c r="AQ215" s="119"/>
      <c r="AR215" s="119"/>
      <c r="AS215" s="119"/>
      <c r="AT215" s="119"/>
      <c r="AU215" s="119"/>
      <c r="AV215" s="119"/>
      <c r="AW215" s="119"/>
      <c r="AX215" s="119"/>
      <c r="AY215" s="119"/>
      <c r="AZ215" s="119"/>
      <c r="BA215" s="119"/>
      <c r="BB215" s="119"/>
      <c r="BC215" s="119"/>
      <c r="BD215" s="119"/>
      <c r="BE215" s="5">
        <f>SUM(MC_2[[#This Row],[IS1Inv1M1]:[IS9Inv19M2]])</f>
        <v>0</v>
      </c>
      <c r="BF215" s="119"/>
      <c r="BG215" s="119"/>
      <c r="BH215" s="119"/>
      <c r="BI215" s="119"/>
      <c r="BJ215" s="119"/>
      <c r="BK215" s="119"/>
      <c r="BL215" s="121"/>
    </row>
    <row r="216" spans="1:64">
      <c r="A216" s="119">
        <v>214</v>
      </c>
      <c r="B216" s="113">
        <f t="shared" si="3"/>
        <v>45536</v>
      </c>
      <c r="C216" s="114">
        <f>YEAR(MC_2[[#This Row],[Date]])+IF(MONTH(MC_2[[#This Row],[Date]])&gt;=4,1,0)</f>
        <v>2025</v>
      </c>
      <c r="D216" s="115">
        <f>YEAR(MC_2[[#This Row],[Date]])</f>
        <v>2024</v>
      </c>
      <c r="E216" s="112" t="s">
        <v>340</v>
      </c>
      <c r="F216" s="112" t="s">
        <v>340</v>
      </c>
      <c r="G216" s="116" t="str">
        <f>TEXT(MC_2[[#This Row],[Date]],"mmm-yy")</f>
        <v>Sep-24</v>
      </c>
      <c r="H216" s="116">
        <f>DAY(EOMONTH(MC_2[[#This Row],[Month Year]],0))</f>
        <v>30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/>
      <c r="AL216" s="119"/>
      <c r="AM216" s="119"/>
      <c r="AN216" s="119"/>
      <c r="AO216" s="119"/>
      <c r="AP216" s="119"/>
      <c r="AQ216" s="119"/>
      <c r="AR216" s="119"/>
      <c r="AS216" s="119"/>
      <c r="AT216" s="119"/>
      <c r="AU216" s="119"/>
      <c r="AV216" s="119"/>
      <c r="AW216" s="119"/>
      <c r="AX216" s="119"/>
      <c r="AY216" s="119"/>
      <c r="AZ216" s="119"/>
      <c r="BA216" s="119"/>
      <c r="BB216" s="119"/>
      <c r="BC216" s="119"/>
      <c r="BD216" s="119"/>
      <c r="BE216" s="5">
        <f>SUM(MC_2[[#This Row],[IS1Inv1M1]:[IS9Inv19M2]])</f>
        <v>0</v>
      </c>
      <c r="BF216" s="119"/>
      <c r="BG216" s="119"/>
      <c r="BH216" s="119"/>
      <c r="BI216" s="119"/>
      <c r="BJ216" s="119"/>
      <c r="BK216" s="119"/>
      <c r="BL216" s="121"/>
    </row>
    <row r="217" spans="1:64">
      <c r="A217" s="119">
        <v>215</v>
      </c>
      <c r="B217" s="113">
        <f t="shared" si="3"/>
        <v>45537</v>
      </c>
      <c r="C217" s="114">
        <f>YEAR(MC_2[[#This Row],[Date]])+IF(MONTH(MC_2[[#This Row],[Date]])&gt;=4,1,0)</f>
        <v>2025</v>
      </c>
      <c r="D217" s="115">
        <f>YEAR(MC_2[[#This Row],[Date]])</f>
        <v>2024</v>
      </c>
      <c r="E217" s="112" t="s">
        <v>340</v>
      </c>
      <c r="F217" s="112" t="s">
        <v>340</v>
      </c>
      <c r="G217" s="116" t="str">
        <f>TEXT(MC_2[[#This Row],[Date]],"mmm-yy")</f>
        <v>Sep-24</v>
      </c>
      <c r="H217" s="116">
        <f>DAY(EOMONTH(MC_2[[#This Row],[Month Year]],0))</f>
        <v>30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/>
      <c r="AH217" s="119"/>
      <c r="AI217" s="119"/>
      <c r="AJ217" s="119"/>
      <c r="AK217" s="119"/>
      <c r="AL217" s="119"/>
      <c r="AM217" s="119"/>
      <c r="AN217" s="119"/>
      <c r="AO217" s="119"/>
      <c r="AP217" s="119"/>
      <c r="AQ217" s="119"/>
      <c r="AR217" s="119"/>
      <c r="AS217" s="119"/>
      <c r="AT217" s="119"/>
      <c r="AU217" s="119"/>
      <c r="AV217" s="119"/>
      <c r="AW217" s="119"/>
      <c r="AX217" s="119"/>
      <c r="AY217" s="119"/>
      <c r="AZ217" s="119"/>
      <c r="BA217" s="119"/>
      <c r="BB217" s="119"/>
      <c r="BC217" s="119"/>
      <c r="BD217" s="119"/>
      <c r="BE217" s="5">
        <f>SUM(MC_2[[#This Row],[IS1Inv1M1]:[IS9Inv19M2]])</f>
        <v>0</v>
      </c>
      <c r="BF217" s="119"/>
      <c r="BG217" s="119"/>
      <c r="BH217" s="119"/>
      <c r="BI217" s="119"/>
      <c r="BJ217" s="119"/>
      <c r="BK217" s="119"/>
      <c r="BL217" s="121"/>
    </row>
    <row r="218" spans="1:64">
      <c r="A218" s="119">
        <v>216</v>
      </c>
      <c r="B218" s="113">
        <f t="shared" si="3"/>
        <v>45538</v>
      </c>
      <c r="C218" s="114">
        <f>YEAR(MC_2[[#This Row],[Date]])+IF(MONTH(MC_2[[#This Row],[Date]])&gt;=4,1,0)</f>
        <v>2025</v>
      </c>
      <c r="D218" s="115">
        <f>YEAR(MC_2[[#This Row],[Date]])</f>
        <v>2024</v>
      </c>
      <c r="E218" s="112" t="s">
        <v>340</v>
      </c>
      <c r="F218" s="112" t="s">
        <v>340</v>
      </c>
      <c r="G218" s="116" t="str">
        <f>TEXT(MC_2[[#This Row],[Date]],"mmm-yy")</f>
        <v>Sep-24</v>
      </c>
      <c r="H218" s="116">
        <f>DAY(EOMONTH(MC_2[[#This Row],[Month Year]],0))</f>
        <v>30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/>
      <c r="AH218" s="119"/>
      <c r="AI218" s="119"/>
      <c r="AJ218" s="119"/>
      <c r="AK218" s="119"/>
      <c r="AL218" s="119"/>
      <c r="AM218" s="119"/>
      <c r="AN218" s="119"/>
      <c r="AO218" s="119"/>
      <c r="AP218" s="119"/>
      <c r="AQ218" s="119"/>
      <c r="AR218" s="119"/>
      <c r="AS218" s="119"/>
      <c r="AT218" s="119"/>
      <c r="AU218" s="119"/>
      <c r="AV218" s="119"/>
      <c r="AW218" s="119"/>
      <c r="AX218" s="119"/>
      <c r="AY218" s="119"/>
      <c r="AZ218" s="119"/>
      <c r="BA218" s="119"/>
      <c r="BB218" s="119"/>
      <c r="BC218" s="119"/>
      <c r="BD218" s="119"/>
      <c r="BE218" s="5">
        <f>SUM(MC_2[[#This Row],[IS1Inv1M1]:[IS9Inv19M2]])</f>
        <v>0</v>
      </c>
      <c r="BF218" s="119"/>
      <c r="BG218" s="119"/>
      <c r="BH218" s="119"/>
      <c r="BI218" s="119"/>
      <c r="BJ218" s="119"/>
      <c r="BK218" s="119"/>
      <c r="BL218" s="121"/>
    </row>
    <row r="219" spans="1:64">
      <c r="A219" s="119">
        <v>217</v>
      </c>
      <c r="B219" s="113">
        <f t="shared" si="3"/>
        <v>45539</v>
      </c>
      <c r="C219" s="114">
        <f>YEAR(MC_2[[#This Row],[Date]])+IF(MONTH(MC_2[[#This Row],[Date]])&gt;=4,1,0)</f>
        <v>2025</v>
      </c>
      <c r="D219" s="115">
        <f>YEAR(MC_2[[#This Row],[Date]])</f>
        <v>2024</v>
      </c>
      <c r="E219" s="112" t="s">
        <v>340</v>
      </c>
      <c r="F219" s="112" t="s">
        <v>340</v>
      </c>
      <c r="G219" s="116" t="str">
        <f>TEXT(MC_2[[#This Row],[Date]],"mmm-yy")</f>
        <v>Sep-24</v>
      </c>
      <c r="H219" s="116">
        <f>DAY(EOMONTH(MC_2[[#This Row],[Month Year]],0))</f>
        <v>30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/>
      <c r="AH219" s="119"/>
      <c r="AI219" s="119"/>
      <c r="AJ219" s="119"/>
      <c r="AK219" s="119"/>
      <c r="AL219" s="119"/>
      <c r="AM219" s="119"/>
      <c r="AN219" s="119"/>
      <c r="AO219" s="119"/>
      <c r="AP219" s="119"/>
      <c r="AQ219" s="119"/>
      <c r="AR219" s="119"/>
      <c r="AS219" s="119"/>
      <c r="AT219" s="119"/>
      <c r="AU219" s="119"/>
      <c r="AV219" s="119"/>
      <c r="AW219" s="119"/>
      <c r="AX219" s="119"/>
      <c r="AY219" s="119"/>
      <c r="AZ219" s="119"/>
      <c r="BA219" s="119"/>
      <c r="BB219" s="119"/>
      <c r="BC219" s="119"/>
      <c r="BD219" s="119"/>
      <c r="BE219" s="5">
        <f>SUM(MC_2[[#This Row],[IS1Inv1M1]:[IS9Inv19M2]])</f>
        <v>0</v>
      </c>
      <c r="BF219" s="119"/>
      <c r="BG219" s="119"/>
      <c r="BH219" s="119"/>
      <c r="BI219" s="119"/>
      <c r="BJ219" s="119"/>
      <c r="BK219" s="119"/>
      <c r="BL219" s="121"/>
    </row>
    <row r="220" spans="1:64">
      <c r="A220" s="119">
        <v>218</v>
      </c>
      <c r="B220" s="113">
        <f t="shared" si="3"/>
        <v>45540</v>
      </c>
      <c r="C220" s="114">
        <f>YEAR(MC_2[[#This Row],[Date]])+IF(MONTH(MC_2[[#This Row],[Date]])&gt;=4,1,0)</f>
        <v>2025</v>
      </c>
      <c r="D220" s="115">
        <f>YEAR(MC_2[[#This Row],[Date]])</f>
        <v>2024</v>
      </c>
      <c r="E220" s="112" t="s">
        <v>340</v>
      </c>
      <c r="F220" s="112" t="s">
        <v>340</v>
      </c>
      <c r="G220" s="116" t="str">
        <f>TEXT(MC_2[[#This Row],[Date]],"mmm-yy")</f>
        <v>Sep-24</v>
      </c>
      <c r="H220" s="116">
        <f>DAY(EOMONTH(MC_2[[#This Row],[Month Year]],0))</f>
        <v>30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/>
      <c r="AH220" s="119"/>
      <c r="AI220" s="119"/>
      <c r="AJ220" s="119"/>
      <c r="AK220" s="119"/>
      <c r="AL220" s="119"/>
      <c r="AM220" s="119"/>
      <c r="AN220" s="119"/>
      <c r="AO220" s="119"/>
      <c r="AP220" s="119"/>
      <c r="AQ220" s="119"/>
      <c r="AR220" s="119"/>
      <c r="AS220" s="119"/>
      <c r="AT220" s="119"/>
      <c r="AU220" s="119"/>
      <c r="AV220" s="119"/>
      <c r="AW220" s="119"/>
      <c r="AX220" s="119"/>
      <c r="AY220" s="119"/>
      <c r="AZ220" s="119"/>
      <c r="BA220" s="119"/>
      <c r="BB220" s="119"/>
      <c r="BC220" s="119"/>
      <c r="BD220" s="119"/>
      <c r="BE220" s="5">
        <f>SUM(MC_2[[#This Row],[IS1Inv1M1]:[IS9Inv19M2]])</f>
        <v>0</v>
      </c>
      <c r="BF220" s="119"/>
      <c r="BG220" s="119"/>
      <c r="BH220" s="119"/>
      <c r="BI220" s="119"/>
      <c r="BJ220" s="119"/>
      <c r="BK220" s="119"/>
      <c r="BL220" s="121"/>
    </row>
    <row r="221" spans="1:64">
      <c r="A221" s="119">
        <v>219</v>
      </c>
      <c r="B221" s="113">
        <f t="shared" si="3"/>
        <v>45541</v>
      </c>
      <c r="C221" s="114">
        <f>YEAR(MC_2[[#This Row],[Date]])+IF(MONTH(MC_2[[#This Row],[Date]])&gt;=4,1,0)</f>
        <v>2025</v>
      </c>
      <c r="D221" s="115">
        <f>YEAR(MC_2[[#This Row],[Date]])</f>
        <v>2024</v>
      </c>
      <c r="E221" s="112" t="s">
        <v>340</v>
      </c>
      <c r="F221" s="112" t="s">
        <v>340</v>
      </c>
      <c r="G221" s="116" t="str">
        <f>TEXT(MC_2[[#This Row],[Date]],"mmm-yy")</f>
        <v>Sep-24</v>
      </c>
      <c r="H221" s="116">
        <f>DAY(EOMONTH(MC_2[[#This Row],[Month Year]],0))</f>
        <v>30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119"/>
      <c r="AN221" s="119"/>
      <c r="AO221" s="119"/>
      <c r="AP221" s="119"/>
      <c r="AQ221" s="119"/>
      <c r="AR221" s="119"/>
      <c r="AS221" s="119"/>
      <c r="AT221" s="119"/>
      <c r="AU221" s="119"/>
      <c r="AV221" s="119"/>
      <c r="AW221" s="119"/>
      <c r="AX221" s="119"/>
      <c r="AY221" s="119"/>
      <c r="AZ221" s="119"/>
      <c r="BA221" s="119"/>
      <c r="BB221" s="119"/>
      <c r="BC221" s="119"/>
      <c r="BD221" s="119"/>
      <c r="BE221" s="5">
        <f>SUM(MC_2[[#This Row],[IS1Inv1M1]:[IS9Inv19M2]])</f>
        <v>0</v>
      </c>
      <c r="BF221" s="119"/>
      <c r="BG221" s="119"/>
      <c r="BH221" s="119"/>
      <c r="BI221" s="119"/>
      <c r="BJ221" s="119"/>
      <c r="BK221" s="119"/>
      <c r="BL221" s="121"/>
    </row>
    <row r="222" spans="1:64">
      <c r="A222" s="119">
        <v>220</v>
      </c>
      <c r="B222" s="113">
        <f t="shared" si="3"/>
        <v>45542</v>
      </c>
      <c r="C222" s="114">
        <f>YEAR(MC_2[[#This Row],[Date]])+IF(MONTH(MC_2[[#This Row],[Date]])&gt;=4,1,0)</f>
        <v>2025</v>
      </c>
      <c r="D222" s="115">
        <f>YEAR(MC_2[[#This Row],[Date]])</f>
        <v>2024</v>
      </c>
      <c r="E222" s="112" t="s">
        <v>340</v>
      </c>
      <c r="F222" s="112" t="s">
        <v>340</v>
      </c>
      <c r="G222" s="116" t="str">
        <f>TEXT(MC_2[[#This Row],[Date]],"mmm-yy")</f>
        <v>Sep-24</v>
      </c>
      <c r="H222" s="116">
        <f>DAY(EOMONTH(MC_2[[#This Row],[Month Year]],0))</f>
        <v>30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/>
      <c r="AI222" s="119"/>
      <c r="AJ222" s="119"/>
      <c r="AK222" s="119"/>
      <c r="AL222" s="119"/>
      <c r="AM222" s="119"/>
      <c r="AN222" s="119"/>
      <c r="AO222" s="119"/>
      <c r="AP222" s="119"/>
      <c r="AQ222" s="119"/>
      <c r="AR222" s="119"/>
      <c r="AS222" s="119"/>
      <c r="AT222" s="119"/>
      <c r="AU222" s="119"/>
      <c r="AV222" s="119"/>
      <c r="AW222" s="119"/>
      <c r="AX222" s="119"/>
      <c r="AY222" s="119"/>
      <c r="AZ222" s="119"/>
      <c r="BA222" s="119"/>
      <c r="BB222" s="119"/>
      <c r="BC222" s="119"/>
      <c r="BD222" s="119"/>
      <c r="BE222" s="5">
        <f>SUM(MC_2[[#This Row],[IS1Inv1M1]:[IS9Inv19M2]])</f>
        <v>0</v>
      </c>
      <c r="BF222" s="119"/>
      <c r="BG222" s="119"/>
      <c r="BH222" s="119"/>
      <c r="BI222" s="119"/>
      <c r="BJ222" s="119"/>
      <c r="BK222" s="119"/>
      <c r="BL222" s="121"/>
    </row>
    <row r="223" spans="1:64">
      <c r="A223" s="119">
        <v>221</v>
      </c>
      <c r="B223" s="113">
        <f t="shared" si="3"/>
        <v>45543</v>
      </c>
      <c r="C223" s="114">
        <f>YEAR(MC_2[[#This Row],[Date]])+IF(MONTH(MC_2[[#This Row],[Date]])&gt;=4,1,0)</f>
        <v>2025</v>
      </c>
      <c r="D223" s="115">
        <f>YEAR(MC_2[[#This Row],[Date]])</f>
        <v>2024</v>
      </c>
      <c r="E223" s="112" t="s">
        <v>340</v>
      </c>
      <c r="F223" s="112" t="s">
        <v>340</v>
      </c>
      <c r="G223" s="116" t="str">
        <f>TEXT(MC_2[[#This Row],[Date]],"mmm-yy")</f>
        <v>Sep-24</v>
      </c>
      <c r="H223" s="116">
        <f>DAY(EOMONTH(MC_2[[#This Row],[Month Year]],0))</f>
        <v>30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/>
      <c r="AM223" s="119"/>
      <c r="AN223" s="119"/>
      <c r="AO223" s="119"/>
      <c r="AP223" s="119"/>
      <c r="AQ223" s="119"/>
      <c r="AR223" s="119"/>
      <c r="AS223" s="119"/>
      <c r="AT223" s="119"/>
      <c r="AU223" s="119"/>
      <c r="AV223" s="119"/>
      <c r="AW223" s="119"/>
      <c r="AX223" s="119"/>
      <c r="AY223" s="119"/>
      <c r="AZ223" s="119"/>
      <c r="BA223" s="119"/>
      <c r="BB223" s="119"/>
      <c r="BC223" s="119"/>
      <c r="BD223" s="119"/>
      <c r="BE223" s="5">
        <f>SUM(MC_2[[#This Row],[IS1Inv1M1]:[IS9Inv19M2]])</f>
        <v>0</v>
      </c>
      <c r="BF223" s="119"/>
      <c r="BG223" s="119"/>
      <c r="BH223" s="119"/>
      <c r="BI223" s="119"/>
      <c r="BJ223" s="119"/>
      <c r="BK223" s="119"/>
      <c r="BL223" s="121"/>
    </row>
    <row r="224" spans="1:64">
      <c r="A224" s="119">
        <v>222</v>
      </c>
      <c r="B224" s="113">
        <f t="shared" si="3"/>
        <v>45544</v>
      </c>
      <c r="C224" s="114">
        <f>YEAR(MC_2[[#This Row],[Date]])+IF(MONTH(MC_2[[#This Row],[Date]])&gt;=4,1,0)</f>
        <v>2025</v>
      </c>
      <c r="D224" s="115">
        <f>YEAR(MC_2[[#This Row],[Date]])</f>
        <v>2024</v>
      </c>
      <c r="E224" s="112" t="s">
        <v>340</v>
      </c>
      <c r="F224" s="112" t="s">
        <v>340</v>
      </c>
      <c r="G224" s="116" t="str">
        <f>TEXT(MC_2[[#This Row],[Date]],"mmm-yy")</f>
        <v>Sep-24</v>
      </c>
      <c r="H224" s="116">
        <f>DAY(EOMONTH(MC_2[[#This Row],[Month Year]],0))</f>
        <v>30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G224" s="119"/>
      <c r="AH224" s="119"/>
      <c r="AI224" s="119"/>
      <c r="AJ224" s="119"/>
      <c r="AK224" s="119"/>
      <c r="AL224" s="119"/>
      <c r="AM224" s="112"/>
      <c r="AN224" s="112"/>
      <c r="AO224" s="112"/>
      <c r="AP224" s="112"/>
      <c r="AQ224" s="112"/>
      <c r="AR224" s="112"/>
      <c r="AS224" s="112"/>
      <c r="AT224" s="112"/>
      <c r="AU224" s="112"/>
      <c r="AV224" s="112"/>
      <c r="AW224" s="112"/>
      <c r="AX224" s="112"/>
      <c r="AY224" s="112"/>
      <c r="AZ224" s="112"/>
      <c r="BA224" s="112"/>
      <c r="BB224" s="112"/>
      <c r="BC224" s="112"/>
      <c r="BD224" s="112"/>
      <c r="BE224" s="5">
        <f>SUM(MC_2[[#This Row],[IS1Inv1M1]:[IS9Inv19M2]])</f>
        <v>0</v>
      </c>
      <c r="BF224" s="119"/>
      <c r="BG224" s="119"/>
      <c r="BH224" s="119"/>
      <c r="BI224" s="119"/>
      <c r="BJ224" s="119"/>
      <c r="BK224" s="119"/>
      <c r="BL224" s="121"/>
    </row>
    <row r="225" spans="1:64">
      <c r="A225" s="119">
        <v>223</v>
      </c>
      <c r="B225" s="113">
        <f t="shared" si="3"/>
        <v>45545</v>
      </c>
      <c r="C225" s="114">
        <f>YEAR(MC_2[[#This Row],[Date]])+IF(MONTH(MC_2[[#This Row],[Date]])&gt;=4,1,0)</f>
        <v>2025</v>
      </c>
      <c r="D225" s="115">
        <f>YEAR(MC_2[[#This Row],[Date]])</f>
        <v>2024</v>
      </c>
      <c r="E225" s="112" t="s">
        <v>340</v>
      </c>
      <c r="F225" s="112" t="s">
        <v>340</v>
      </c>
      <c r="G225" s="116" t="str">
        <f>TEXT(MC_2[[#This Row],[Date]],"mmm-yy")</f>
        <v>Sep-24</v>
      </c>
      <c r="H225" s="116">
        <f>DAY(EOMONTH(MC_2[[#This Row],[Month Year]],0))</f>
        <v>30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  <c r="AT225" s="119"/>
      <c r="AU225" s="119"/>
      <c r="AV225" s="119"/>
      <c r="AW225" s="119"/>
      <c r="AX225" s="119"/>
      <c r="AY225" s="119"/>
      <c r="AZ225" s="119"/>
      <c r="BA225" s="119"/>
      <c r="BB225" s="119"/>
      <c r="BC225" s="119"/>
      <c r="BD225" s="119"/>
      <c r="BE225" s="5">
        <f>SUM(MC_2[[#This Row],[IS1Inv1M1]:[IS9Inv19M2]])</f>
        <v>0</v>
      </c>
      <c r="BF225" s="119"/>
      <c r="BG225" s="119"/>
      <c r="BH225" s="119"/>
      <c r="BI225" s="119"/>
      <c r="BJ225" s="119"/>
      <c r="BK225" s="119"/>
      <c r="BL225" s="121"/>
    </row>
    <row r="226" spans="1:64">
      <c r="A226" s="119">
        <v>224</v>
      </c>
      <c r="B226" s="113">
        <f t="shared" si="3"/>
        <v>45546</v>
      </c>
      <c r="C226" s="114">
        <f>YEAR(MC_2[[#This Row],[Date]])+IF(MONTH(MC_2[[#This Row],[Date]])&gt;=4,1,0)</f>
        <v>2025</v>
      </c>
      <c r="D226" s="115">
        <f>YEAR(MC_2[[#This Row],[Date]])</f>
        <v>2024</v>
      </c>
      <c r="E226" s="112" t="s">
        <v>340</v>
      </c>
      <c r="F226" s="112" t="s">
        <v>340</v>
      </c>
      <c r="G226" s="116" t="str">
        <f>TEXT(MC_2[[#This Row],[Date]],"mmm-yy")</f>
        <v>Sep-24</v>
      </c>
      <c r="H226" s="116">
        <f>DAY(EOMONTH(MC_2[[#This Row],[Month Year]],0))</f>
        <v>30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119"/>
      <c r="AN226" s="119"/>
      <c r="AO226" s="119"/>
      <c r="AP226" s="119"/>
      <c r="AQ226" s="119"/>
      <c r="AR226" s="119"/>
      <c r="AS226" s="119"/>
      <c r="AT226" s="119"/>
      <c r="AU226" s="119"/>
      <c r="AV226" s="119"/>
      <c r="AW226" s="119"/>
      <c r="AX226" s="119"/>
      <c r="AY226" s="119"/>
      <c r="AZ226" s="119"/>
      <c r="BA226" s="119"/>
      <c r="BB226" s="119"/>
      <c r="BC226" s="119"/>
      <c r="BD226" s="119"/>
      <c r="BE226" s="5">
        <f>SUM(MC_2[[#This Row],[IS1Inv1M1]:[IS9Inv19M2]])</f>
        <v>0</v>
      </c>
      <c r="BF226" s="119"/>
      <c r="BG226" s="119"/>
      <c r="BH226" s="119"/>
      <c r="BI226" s="119"/>
      <c r="BJ226" s="119"/>
      <c r="BK226" s="119"/>
      <c r="BL226" s="121"/>
    </row>
    <row r="227" spans="1:64">
      <c r="A227" s="119">
        <v>225</v>
      </c>
      <c r="B227" s="113">
        <f t="shared" si="3"/>
        <v>45547</v>
      </c>
      <c r="C227" s="114">
        <f>YEAR(MC_2[[#This Row],[Date]])+IF(MONTH(MC_2[[#This Row],[Date]])&gt;=4,1,0)</f>
        <v>2025</v>
      </c>
      <c r="D227" s="115">
        <f>YEAR(MC_2[[#This Row],[Date]])</f>
        <v>2024</v>
      </c>
      <c r="E227" s="112" t="s">
        <v>340</v>
      </c>
      <c r="F227" s="112" t="s">
        <v>340</v>
      </c>
      <c r="G227" s="116" t="str">
        <f>TEXT(MC_2[[#This Row],[Date]],"mmm-yy")</f>
        <v>Sep-24</v>
      </c>
      <c r="H227" s="116">
        <f>DAY(EOMONTH(MC_2[[#This Row],[Month Year]],0))</f>
        <v>30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119"/>
      <c r="AN227" s="119"/>
      <c r="AO227" s="119"/>
      <c r="AP227" s="119"/>
      <c r="AQ227" s="119"/>
      <c r="AR227" s="119"/>
      <c r="AS227" s="119"/>
      <c r="AT227" s="119"/>
      <c r="AU227" s="119"/>
      <c r="AV227" s="119"/>
      <c r="AW227" s="119"/>
      <c r="AX227" s="119"/>
      <c r="AY227" s="119"/>
      <c r="AZ227" s="119"/>
      <c r="BA227" s="119"/>
      <c r="BB227" s="119"/>
      <c r="BC227" s="119"/>
      <c r="BD227" s="119"/>
      <c r="BE227" s="5">
        <f>SUM(MC_2[[#This Row],[IS1Inv1M1]:[IS9Inv19M2]])</f>
        <v>0</v>
      </c>
      <c r="BF227" s="119"/>
      <c r="BG227" s="119"/>
      <c r="BH227" s="119"/>
      <c r="BI227" s="119"/>
      <c r="BJ227" s="119"/>
      <c r="BK227" s="119"/>
      <c r="BL227" s="121"/>
    </row>
    <row r="228" spans="1:64">
      <c r="A228" s="119">
        <v>226</v>
      </c>
      <c r="B228" s="113">
        <f t="shared" si="3"/>
        <v>45548</v>
      </c>
      <c r="C228" s="114">
        <f>YEAR(MC_2[[#This Row],[Date]])+IF(MONTH(MC_2[[#This Row],[Date]])&gt;=4,1,0)</f>
        <v>2025</v>
      </c>
      <c r="D228" s="115">
        <f>YEAR(MC_2[[#This Row],[Date]])</f>
        <v>2024</v>
      </c>
      <c r="E228" s="112" t="s">
        <v>340</v>
      </c>
      <c r="F228" s="112" t="s">
        <v>340</v>
      </c>
      <c r="G228" s="116" t="str">
        <f>TEXT(MC_2[[#This Row],[Date]],"mmm-yy")</f>
        <v>Sep-24</v>
      </c>
      <c r="H228" s="116">
        <f>DAY(EOMONTH(MC_2[[#This Row],[Month Year]],0))</f>
        <v>30</v>
      </c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19"/>
      <c r="BD228" s="119"/>
      <c r="BE228" s="5">
        <f>SUM(MC_2[[#This Row],[IS1Inv1M1]:[IS9Inv19M2]])</f>
        <v>0</v>
      </c>
      <c r="BF228" s="119"/>
      <c r="BG228" s="119"/>
      <c r="BH228" s="119"/>
      <c r="BI228" s="119"/>
      <c r="BJ228" s="119"/>
      <c r="BK228" s="119"/>
      <c r="BL228" s="121"/>
    </row>
    <row r="229" spans="1:64">
      <c r="A229" s="119">
        <v>227</v>
      </c>
      <c r="B229" s="113">
        <f t="shared" si="3"/>
        <v>45549</v>
      </c>
      <c r="C229" s="114">
        <f>YEAR(MC_2[[#This Row],[Date]])+IF(MONTH(MC_2[[#This Row],[Date]])&gt;=4,1,0)</f>
        <v>2025</v>
      </c>
      <c r="D229" s="115">
        <f>YEAR(MC_2[[#This Row],[Date]])</f>
        <v>2024</v>
      </c>
      <c r="E229" s="112" t="s">
        <v>340</v>
      </c>
      <c r="F229" s="112" t="s">
        <v>340</v>
      </c>
      <c r="G229" s="116" t="str">
        <f>TEXT(MC_2[[#This Row],[Date]],"mmm-yy")</f>
        <v>Sep-24</v>
      </c>
      <c r="H229" s="116">
        <f>DAY(EOMONTH(MC_2[[#This Row],[Month Year]],0))</f>
        <v>30</v>
      </c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119"/>
      <c r="AN229" s="119"/>
      <c r="AO229" s="119"/>
      <c r="AP229" s="119"/>
      <c r="AQ229" s="119"/>
      <c r="AR229" s="119"/>
      <c r="AS229" s="119"/>
      <c r="AT229" s="119"/>
      <c r="AU229" s="119"/>
      <c r="AV229" s="119"/>
      <c r="AW229" s="119"/>
      <c r="AX229" s="119"/>
      <c r="AY229" s="119"/>
      <c r="AZ229" s="119"/>
      <c r="BA229" s="119"/>
      <c r="BB229" s="119"/>
      <c r="BC229" s="119"/>
      <c r="BD229" s="119"/>
      <c r="BE229" s="5">
        <f>SUM(MC_2[[#This Row],[IS1Inv1M1]:[IS9Inv19M2]])</f>
        <v>0</v>
      </c>
      <c r="BF229" s="119"/>
      <c r="BG229" s="119"/>
      <c r="BH229" s="119"/>
      <c r="BI229" s="119"/>
      <c r="BJ229" s="119"/>
      <c r="BK229" s="119"/>
      <c r="BL229" s="121"/>
    </row>
    <row r="230" spans="1:64">
      <c r="A230" s="119">
        <v>228</v>
      </c>
      <c r="B230" s="113">
        <f t="shared" si="3"/>
        <v>45550</v>
      </c>
      <c r="C230" s="114">
        <f>YEAR(MC_2[[#This Row],[Date]])+IF(MONTH(MC_2[[#This Row],[Date]])&gt;=4,1,0)</f>
        <v>2025</v>
      </c>
      <c r="D230" s="115">
        <f>YEAR(MC_2[[#This Row],[Date]])</f>
        <v>2024</v>
      </c>
      <c r="E230" s="112" t="s">
        <v>340</v>
      </c>
      <c r="F230" s="112" t="s">
        <v>340</v>
      </c>
      <c r="G230" s="116" t="str">
        <f>TEXT(MC_2[[#This Row],[Date]],"mmm-yy")</f>
        <v>Sep-24</v>
      </c>
      <c r="H230" s="116">
        <f>DAY(EOMONTH(MC_2[[#This Row],[Month Year]],0))</f>
        <v>30</v>
      </c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119"/>
      <c r="AN230" s="119"/>
      <c r="AO230" s="119"/>
      <c r="AP230" s="119"/>
      <c r="AQ230" s="119"/>
      <c r="AR230" s="119"/>
      <c r="AS230" s="119"/>
      <c r="AT230" s="119"/>
      <c r="AU230" s="119"/>
      <c r="AV230" s="119"/>
      <c r="AW230" s="119"/>
      <c r="AX230" s="119"/>
      <c r="AY230" s="119"/>
      <c r="AZ230" s="119"/>
      <c r="BA230" s="119"/>
      <c r="BB230" s="119"/>
      <c r="BC230" s="119"/>
      <c r="BD230" s="119"/>
      <c r="BE230" s="5">
        <f>SUM(MC_2[[#This Row],[IS1Inv1M1]:[IS9Inv19M2]])</f>
        <v>0</v>
      </c>
      <c r="BF230" s="119"/>
      <c r="BG230" s="119"/>
      <c r="BH230" s="119"/>
      <c r="BI230" s="119"/>
      <c r="BJ230" s="119"/>
      <c r="BK230" s="119"/>
      <c r="BL230" s="121"/>
    </row>
    <row r="231" spans="1:64">
      <c r="A231" s="119">
        <v>229</v>
      </c>
      <c r="B231" s="113">
        <f t="shared" si="3"/>
        <v>45551</v>
      </c>
      <c r="C231" s="114">
        <f>YEAR(MC_2[[#This Row],[Date]])+IF(MONTH(MC_2[[#This Row],[Date]])&gt;=4,1,0)</f>
        <v>2025</v>
      </c>
      <c r="D231" s="115">
        <f>YEAR(MC_2[[#This Row],[Date]])</f>
        <v>2024</v>
      </c>
      <c r="E231" s="112" t="s">
        <v>340</v>
      </c>
      <c r="F231" s="112" t="s">
        <v>340</v>
      </c>
      <c r="G231" s="116" t="str">
        <f>TEXT(MC_2[[#This Row],[Date]],"mmm-yy")</f>
        <v>Sep-24</v>
      </c>
      <c r="H231" s="116">
        <f>DAY(EOMONTH(MC_2[[#This Row],[Month Year]],0))</f>
        <v>30</v>
      </c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119"/>
      <c r="AN231" s="119"/>
      <c r="AO231" s="119"/>
      <c r="AP231" s="119"/>
      <c r="AQ231" s="119"/>
      <c r="AR231" s="119"/>
      <c r="AS231" s="119"/>
      <c r="AT231" s="119"/>
      <c r="AU231" s="119"/>
      <c r="AV231" s="119"/>
      <c r="AW231" s="119"/>
      <c r="AX231" s="119"/>
      <c r="AY231" s="119"/>
      <c r="AZ231" s="119"/>
      <c r="BA231" s="119"/>
      <c r="BB231" s="119"/>
      <c r="BC231" s="119"/>
      <c r="BD231" s="119"/>
      <c r="BE231" s="5">
        <f>SUM(MC_2[[#This Row],[IS1Inv1M1]:[IS9Inv19M2]])</f>
        <v>0</v>
      </c>
      <c r="BF231" s="119"/>
      <c r="BG231" s="119"/>
      <c r="BH231" s="119"/>
      <c r="BI231" s="119"/>
      <c r="BJ231" s="119"/>
      <c r="BK231" s="119"/>
      <c r="BL231" s="121"/>
    </row>
    <row r="232" spans="1:64">
      <c r="A232" s="119">
        <v>230</v>
      </c>
      <c r="B232" s="113">
        <f t="shared" si="3"/>
        <v>45552</v>
      </c>
      <c r="C232" s="114">
        <f>YEAR(MC_2[[#This Row],[Date]])+IF(MONTH(MC_2[[#This Row],[Date]])&gt;=4,1,0)</f>
        <v>2025</v>
      </c>
      <c r="D232" s="115">
        <f>YEAR(MC_2[[#This Row],[Date]])</f>
        <v>2024</v>
      </c>
      <c r="E232" s="112" t="s">
        <v>340</v>
      </c>
      <c r="F232" s="112" t="s">
        <v>340</v>
      </c>
      <c r="G232" s="116" t="str">
        <f>TEXT(MC_2[[#This Row],[Date]],"mmm-yy")</f>
        <v>Sep-24</v>
      </c>
      <c r="H232" s="116">
        <f>DAY(EOMONTH(MC_2[[#This Row],[Month Year]],0))</f>
        <v>30</v>
      </c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119"/>
      <c r="AN232" s="119"/>
      <c r="AO232" s="119"/>
      <c r="AP232" s="119"/>
      <c r="AQ232" s="119"/>
      <c r="AR232" s="119"/>
      <c r="AS232" s="119"/>
      <c r="AT232" s="119"/>
      <c r="AU232" s="119"/>
      <c r="AV232" s="119"/>
      <c r="AW232" s="119"/>
      <c r="AX232" s="119"/>
      <c r="AY232" s="119"/>
      <c r="AZ232" s="119"/>
      <c r="BA232" s="119"/>
      <c r="BB232" s="119"/>
      <c r="BC232" s="119"/>
      <c r="BD232" s="119"/>
      <c r="BE232" s="5">
        <f>SUM(MC_2[[#This Row],[IS1Inv1M1]:[IS9Inv19M2]])</f>
        <v>0</v>
      </c>
      <c r="BF232" s="119"/>
      <c r="BG232" s="119"/>
      <c r="BH232" s="119"/>
      <c r="BI232" s="119"/>
      <c r="BJ232" s="119"/>
      <c r="BK232" s="119"/>
      <c r="BL232" s="121"/>
    </row>
    <row r="233" spans="1:64">
      <c r="A233" s="119">
        <v>231</v>
      </c>
      <c r="B233" s="113">
        <f t="shared" si="3"/>
        <v>45553</v>
      </c>
      <c r="C233" s="114">
        <f>YEAR(MC_2[[#This Row],[Date]])+IF(MONTH(MC_2[[#This Row],[Date]])&gt;=4,1,0)</f>
        <v>2025</v>
      </c>
      <c r="D233" s="115">
        <f>YEAR(MC_2[[#This Row],[Date]])</f>
        <v>2024</v>
      </c>
      <c r="E233" s="112" t="s">
        <v>340</v>
      </c>
      <c r="F233" s="112" t="s">
        <v>340</v>
      </c>
      <c r="G233" s="116" t="str">
        <f>TEXT(MC_2[[#This Row],[Date]],"mmm-yy")</f>
        <v>Sep-24</v>
      </c>
      <c r="H233" s="116">
        <f>DAY(EOMONTH(MC_2[[#This Row],[Month Year]],0))</f>
        <v>30</v>
      </c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119"/>
      <c r="AN233" s="119"/>
      <c r="AO233" s="119"/>
      <c r="AP233" s="119"/>
      <c r="AQ233" s="119"/>
      <c r="AR233" s="119"/>
      <c r="AS233" s="119"/>
      <c r="AT233" s="119"/>
      <c r="AU233" s="119"/>
      <c r="AV233" s="119"/>
      <c r="AW233" s="119"/>
      <c r="AX233" s="119"/>
      <c r="AY233" s="119"/>
      <c r="AZ233" s="119"/>
      <c r="BA233" s="119"/>
      <c r="BB233" s="119"/>
      <c r="BC233" s="119"/>
      <c r="BD233" s="119"/>
      <c r="BE233" s="5">
        <f>SUM(MC_2[[#This Row],[IS1Inv1M1]:[IS9Inv19M2]])</f>
        <v>0</v>
      </c>
      <c r="BF233" s="119"/>
      <c r="BG233" s="119"/>
      <c r="BH233" s="119"/>
      <c r="BI233" s="119"/>
      <c r="BJ233" s="119"/>
      <c r="BK233" s="119"/>
      <c r="BL233" s="121"/>
    </row>
    <row r="234" spans="1:64">
      <c r="A234" s="119">
        <v>232</v>
      </c>
      <c r="B234" s="113">
        <f t="shared" si="3"/>
        <v>45554</v>
      </c>
      <c r="C234" s="114">
        <f>YEAR(MC_2[[#This Row],[Date]])+IF(MONTH(MC_2[[#This Row],[Date]])&gt;=4,1,0)</f>
        <v>2025</v>
      </c>
      <c r="D234" s="115">
        <f>YEAR(MC_2[[#This Row],[Date]])</f>
        <v>2024</v>
      </c>
      <c r="E234" s="112" t="s">
        <v>340</v>
      </c>
      <c r="F234" s="112" t="s">
        <v>340</v>
      </c>
      <c r="G234" s="116" t="str">
        <f>TEXT(MC_2[[#This Row],[Date]],"mmm-yy")</f>
        <v>Sep-24</v>
      </c>
      <c r="H234" s="116">
        <f>DAY(EOMONTH(MC_2[[#This Row],[Month Year]],0))</f>
        <v>30</v>
      </c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119"/>
      <c r="AN234" s="119"/>
      <c r="AO234" s="119"/>
      <c r="AP234" s="119"/>
      <c r="AQ234" s="119"/>
      <c r="AR234" s="119"/>
      <c r="AS234" s="119"/>
      <c r="AT234" s="119"/>
      <c r="AU234" s="119"/>
      <c r="AV234" s="119"/>
      <c r="AW234" s="119"/>
      <c r="AX234" s="119"/>
      <c r="AY234" s="119"/>
      <c r="AZ234" s="119"/>
      <c r="BA234" s="119"/>
      <c r="BB234" s="119"/>
      <c r="BC234" s="119"/>
      <c r="BD234" s="119"/>
      <c r="BE234" s="5">
        <f>SUM(MC_2[[#This Row],[IS1Inv1M1]:[IS9Inv19M2]])</f>
        <v>0</v>
      </c>
      <c r="BF234" s="119"/>
      <c r="BG234" s="119"/>
      <c r="BH234" s="119"/>
      <c r="BI234" s="119"/>
      <c r="BJ234" s="119"/>
      <c r="BK234" s="119"/>
      <c r="BL234" s="121"/>
    </row>
    <row r="235" spans="1:64">
      <c r="A235" s="119">
        <v>233</v>
      </c>
      <c r="B235" s="113">
        <f t="shared" si="3"/>
        <v>45555</v>
      </c>
      <c r="C235" s="114">
        <f>YEAR(MC_2[[#This Row],[Date]])+IF(MONTH(MC_2[[#This Row],[Date]])&gt;=4,1,0)</f>
        <v>2025</v>
      </c>
      <c r="D235" s="115">
        <f>YEAR(MC_2[[#This Row],[Date]])</f>
        <v>2024</v>
      </c>
      <c r="E235" s="112" t="s">
        <v>340</v>
      </c>
      <c r="F235" s="112" t="s">
        <v>340</v>
      </c>
      <c r="G235" s="116" t="str">
        <f>TEXT(MC_2[[#This Row],[Date]],"mmm-yy")</f>
        <v>Sep-24</v>
      </c>
      <c r="H235" s="116">
        <f>DAY(EOMONTH(MC_2[[#This Row],[Month Year]],0))</f>
        <v>30</v>
      </c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119"/>
      <c r="AN235" s="119"/>
      <c r="AO235" s="119"/>
      <c r="AP235" s="119"/>
      <c r="AQ235" s="119"/>
      <c r="AR235" s="119"/>
      <c r="AS235" s="119"/>
      <c r="AT235" s="119"/>
      <c r="AU235" s="119"/>
      <c r="AV235" s="119"/>
      <c r="AW235" s="119"/>
      <c r="AX235" s="119"/>
      <c r="AY235" s="119"/>
      <c r="AZ235" s="119"/>
      <c r="BA235" s="119"/>
      <c r="BB235" s="119"/>
      <c r="BC235" s="119"/>
      <c r="BD235" s="119"/>
      <c r="BE235" s="5">
        <f>SUM(MC_2[[#This Row],[IS1Inv1M1]:[IS9Inv19M2]])</f>
        <v>0</v>
      </c>
      <c r="BF235" s="119"/>
      <c r="BG235" s="119"/>
      <c r="BH235" s="119"/>
      <c r="BI235" s="119"/>
      <c r="BJ235" s="119"/>
      <c r="BK235" s="119"/>
      <c r="BL235" s="121"/>
    </row>
    <row r="236" spans="1:64">
      <c r="A236" s="119">
        <v>234</v>
      </c>
      <c r="B236" s="113">
        <f t="shared" si="3"/>
        <v>45556</v>
      </c>
      <c r="C236" s="114">
        <f>YEAR(MC_2[[#This Row],[Date]])+IF(MONTH(MC_2[[#This Row],[Date]])&gt;=4,1,0)</f>
        <v>2025</v>
      </c>
      <c r="D236" s="115">
        <f>YEAR(MC_2[[#This Row],[Date]])</f>
        <v>2024</v>
      </c>
      <c r="E236" s="112" t="s">
        <v>340</v>
      </c>
      <c r="F236" s="112" t="s">
        <v>340</v>
      </c>
      <c r="G236" s="116" t="str">
        <f>TEXT(MC_2[[#This Row],[Date]],"mmm-yy")</f>
        <v>Sep-24</v>
      </c>
      <c r="H236" s="116">
        <f>DAY(EOMONTH(MC_2[[#This Row],[Month Year]],0))</f>
        <v>30</v>
      </c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119"/>
      <c r="AN236" s="119"/>
      <c r="AO236" s="119"/>
      <c r="AP236" s="119"/>
      <c r="AQ236" s="119"/>
      <c r="AR236" s="119"/>
      <c r="AS236" s="119"/>
      <c r="AT236" s="119"/>
      <c r="AU236" s="119"/>
      <c r="AV236" s="119"/>
      <c r="AW236" s="119"/>
      <c r="AX236" s="119"/>
      <c r="AY236" s="119"/>
      <c r="AZ236" s="119"/>
      <c r="BA236" s="119"/>
      <c r="BB236" s="119"/>
      <c r="BC236" s="119"/>
      <c r="BD236" s="119"/>
      <c r="BE236" s="5">
        <f>SUM(MC_2[[#This Row],[IS1Inv1M1]:[IS9Inv19M2]])</f>
        <v>0</v>
      </c>
      <c r="BF236" s="119"/>
      <c r="BG236" s="119"/>
      <c r="BH236" s="119"/>
      <c r="BI236" s="119"/>
      <c r="BJ236" s="119"/>
      <c r="BK236" s="119"/>
      <c r="BL236" s="121"/>
    </row>
    <row r="237" spans="1:64">
      <c r="A237" s="119">
        <v>235</v>
      </c>
      <c r="B237" s="113">
        <f t="shared" si="3"/>
        <v>45557</v>
      </c>
      <c r="C237" s="114">
        <f>YEAR(MC_2[[#This Row],[Date]])+IF(MONTH(MC_2[[#This Row],[Date]])&gt;=4,1,0)</f>
        <v>2025</v>
      </c>
      <c r="D237" s="115">
        <f>YEAR(MC_2[[#This Row],[Date]])</f>
        <v>2024</v>
      </c>
      <c r="E237" s="112" t="s">
        <v>340</v>
      </c>
      <c r="F237" s="112" t="s">
        <v>340</v>
      </c>
      <c r="G237" s="116" t="str">
        <f>TEXT(MC_2[[#This Row],[Date]],"mmm-yy")</f>
        <v>Sep-24</v>
      </c>
      <c r="H237" s="116">
        <f>DAY(EOMONTH(MC_2[[#This Row],[Month Year]],0))</f>
        <v>30</v>
      </c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119"/>
      <c r="AN237" s="119"/>
      <c r="AO237" s="119"/>
      <c r="AP237" s="119"/>
      <c r="AQ237" s="119"/>
      <c r="AR237" s="119"/>
      <c r="AS237" s="119"/>
      <c r="AT237" s="119"/>
      <c r="AU237" s="119"/>
      <c r="AV237" s="119"/>
      <c r="AW237" s="119"/>
      <c r="AX237" s="119"/>
      <c r="AY237" s="119"/>
      <c r="AZ237" s="119"/>
      <c r="BA237" s="119"/>
      <c r="BB237" s="119"/>
      <c r="BC237" s="119"/>
      <c r="BD237" s="119"/>
      <c r="BE237" s="5">
        <f>SUM(MC_2[[#This Row],[IS1Inv1M1]:[IS9Inv19M2]])</f>
        <v>0</v>
      </c>
      <c r="BF237" s="119"/>
      <c r="BG237" s="119"/>
      <c r="BH237" s="119"/>
      <c r="BI237" s="119"/>
      <c r="BJ237" s="119"/>
      <c r="BK237" s="119"/>
      <c r="BL237" s="121"/>
    </row>
    <row r="238" spans="1:64">
      <c r="A238" s="119">
        <v>236</v>
      </c>
      <c r="B238" s="113">
        <f t="shared" si="3"/>
        <v>45558</v>
      </c>
      <c r="C238" s="114">
        <f>YEAR(MC_2[[#This Row],[Date]])+IF(MONTH(MC_2[[#This Row],[Date]])&gt;=4,1,0)</f>
        <v>2025</v>
      </c>
      <c r="D238" s="115">
        <f>YEAR(MC_2[[#This Row],[Date]])</f>
        <v>2024</v>
      </c>
      <c r="E238" s="112" t="s">
        <v>340</v>
      </c>
      <c r="F238" s="112" t="s">
        <v>340</v>
      </c>
      <c r="G238" s="116" t="str">
        <f>TEXT(MC_2[[#This Row],[Date]],"mmm-yy")</f>
        <v>Sep-24</v>
      </c>
      <c r="H238" s="116">
        <f>DAY(EOMONTH(MC_2[[#This Row],[Month Year]],0))</f>
        <v>30</v>
      </c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  <c r="AU238" s="119"/>
      <c r="AV238" s="119"/>
      <c r="AW238" s="119"/>
      <c r="AX238" s="119"/>
      <c r="AY238" s="119"/>
      <c r="AZ238" s="119"/>
      <c r="BA238" s="119"/>
      <c r="BB238" s="119"/>
      <c r="BC238" s="119"/>
      <c r="BD238" s="119"/>
      <c r="BE238" s="5">
        <f>SUM(MC_2[[#This Row],[IS1Inv1M1]:[IS9Inv19M2]])</f>
        <v>0</v>
      </c>
      <c r="BF238" s="119"/>
      <c r="BG238" s="119"/>
      <c r="BH238" s="119"/>
      <c r="BI238" s="119"/>
      <c r="BJ238" s="119"/>
      <c r="BK238" s="119"/>
      <c r="BL238" s="121"/>
    </row>
    <row r="239" spans="1:64">
      <c r="A239" s="119">
        <v>237</v>
      </c>
      <c r="B239" s="113">
        <f t="shared" si="3"/>
        <v>45559</v>
      </c>
      <c r="C239" s="114">
        <f>YEAR(MC_2[[#This Row],[Date]])+IF(MONTH(MC_2[[#This Row],[Date]])&gt;=4,1,0)</f>
        <v>2025</v>
      </c>
      <c r="D239" s="115">
        <f>YEAR(MC_2[[#This Row],[Date]])</f>
        <v>2024</v>
      </c>
      <c r="E239" s="112" t="s">
        <v>340</v>
      </c>
      <c r="F239" s="112" t="s">
        <v>340</v>
      </c>
      <c r="G239" s="116" t="str">
        <f>TEXT(MC_2[[#This Row],[Date]],"mmm-yy")</f>
        <v>Sep-24</v>
      </c>
      <c r="H239" s="116">
        <f>DAY(EOMONTH(MC_2[[#This Row],[Month Year]],0))</f>
        <v>30</v>
      </c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119"/>
      <c r="AN239" s="119"/>
      <c r="AO239" s="119"/>
      <c r="AP239" s="119"/>
      <c r="AQ239" s="119"/>
      <c r="AR239" s="119"/>
      <c r="AS239" s="119"/>
      <c r="AT239" s="119"/>
      <c r="AU239" s="119"/>
      <c r="AV239" s="119"/>
      <c r="AW239" s="119"/>
      <c r="AX239" s="119"/>
      <c r="AY239" s="119"/>
      <c r="AZ239" s="119"/>
      <c r="BA239" s="119"/>
      <c r="BB239" s="119"/>
      <c r="BC239" s="119"/>
      <c r="BD239" s="119"/>
      <c r="BE239" s="5">
        <f>SUM(MC_2[[#This Row],[IS1Inv1M1]:[IS9Inv19M2]])</f>
        <v>0</v>
      </c>
      <c r="BF239" s="119"/>
      <c r="BG239" s="119"/>
      <c r="BH239" s="119"/>
      <c r="BI239" s="119"/>
      <c r="BJ239" s="119"/>
      <c r="BK239" s="119"/>
      <c r="BL239" s="121"/>
    </row>
    <row r="240" spans="1:64">
      <c r="A240" s="119">
        <v>238</v>
      </c>
      <c r="B240" s="113">
        <f t="shared" si="3"/>
        <v>45560</v>
      </c>
      <c r="C240" s="114">
        <f>YEAR(MC_2[[#This Row],[Date]])+IF(MONTH(MC_2[[#This Row],[Date]])&gt;=4,1,0)</f>
        <v>2025</v>
      </c>
      <c r="D240" s="115">
        <f>YEAR(MC_2[[#This Row],[Date]])</f>
        <v>2024</v>
      </c>
      <c r="E240" s="112" t="s">
        <v>340</v>
      </c>
      <c r="F240" s="112" t="s">
        <v>340</v>
      </c>
      <c r="G240" s="116" t="str">
        <f>TEXT(MC_2[[#This Row],[Date]],"mmm-yy")</f>
        <v>Sep-24</v>
      </c>
      <c r="H240" s="116">
        <f>DAY(EOMONTH(MC_2[[#This Row],[Month Year]],0))</f>
        <v>30</v>
      </c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119"/>
      <c r="AN240" s="119"/>
      <c r="AO240" s="119"/>
      <c r="AP240" s="119"/>
      <c r="AQ240" s="119"/>
      <c r="AR240" s="119"/>
      <c r="AS240" s="119"/>
      <c r="AT240" s="119"/>
      <c r="AU240" s="119"/>
      <c r="AV240" s="119"/>
      <c r="AW240" s="119"/>
      <c r="AX240" s="119"/>
      <c r="AY240" s="119"/>
      <c r="AZ240" s="119"/>
      <c r="BA240" s="119"/>
      <c r="BB240" s="119"/>
      <c r="BC240" s="119"/>
      <c r="BD240" s="119"/>
      <c r="BE240" s="5">
        <f>SUM(MC_2[[#This Row],[IS1Inv1M1]:[IS9Inv19M2]])</f>
        <v>0</v>
      </c>
      <c r="BF240" s="119"/>
      <c r="BG240" s="119"/>
      <c r="BH240" s="119"/>
      <c r="BI240" s="119"/>
      <c r="BJ240" s="119"/>
      <c r="BK240" s="119"/>
      <c r="BL240" s="121"/>
    </row>
    <row r="241" spans="1:64">
      <c r="A241" s="119">
        <v>239</v>
      </c>
      <c r="B241" s="113">
        <f t="shared" si="3"/>
        <v>45561</v>
      </c>
      <c r="C241" s="114">
        <f>YEAR(MC_2[[#This Row],[Date]])+IF(MONTH(MC_2[[#This Row],[Date]])&gt;=4,1,0)</f>
        <v>2025</v>
      </c>
      <c r="D241" s="115">
        <f>YEAR(MC_2[[#This Row],[Date]])</f>
        <v>2024</v>
      </c>
      <c r="E241" s="112" t="s">
        <v>340</v>
      </c>
      <c r="F241" s="112" t="s">
        <v>340</v>
      </c>
      <c r="G241" s="116" t="str">
        <f>TEXT(MC_2[[#This Row],[Date]],"mmm-yy")</f>
        <v>Sep-24</v>
      </c>
      <c r="H241" s="116">
        <f>DAY(EOMONTH(MC_2[[#This Row],[Month Year]],0))</f>
        <v>30</v>
      </c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  <c r="AW241" s="112"/>
      <c r="AX241" s="112"/>
      <c r="AY241" s="112"/>
      <c r="AZ241" s="112"/>
      <c r="BA241" s="112"/>
      <c r="BB241" s="112"/>
      <c r="BC241" s="112"/>
      <c r="BD241" s="112"/>
      <c r="BE241" s="5">
        <f>SUM(MC_2[[#This Row],[IS1Inv1M1]:[IS9Inv19M2]])</f>
        <v>0</v>
      </c>
      <c r="BF241" s="119"/>
      <c r="BG241" s="119"/>
      <c r="BH241" s="119"/>
      <c r="BI241" s="119"/>
      <c r="BJ241" s="119"/>
      <c r="BK241" s="119"/>
      <c r="BL241" s="121"/>
    </row>
    <row r="242" spans="1:64">
      <c r="A242" s="119">
        <v>240</v>
      </c>
      <c r="B242" s="113">
        <f t="shared" si="3"/>
        <v>45562</v>
      </c>
      <c r="C242" s="114">
        <f>YEAR(MC_2[[#This Row],[Date]])+IF(MONTH(MC_2[[#This Row],[Date]])&gt;=4,1,0)</f>
        <v>2025</v>
      </c>
      <c r="D242" s="115">
        <f>YEAR(MC_2[[#This Row],[Date]])</f>
        <v>2024</v>
      </c>
      <c r="E242" s="112" t="s">
        <v>340</v>
      </c>
      <c r="F242" s="112" t="s">
        <v>340</v>
      </c>
      <c r="G242" s="116" t="str">
        <f>TEXT(MC_2[[#This Row],[Date]],"mmm-yy")</f>
        <v>Sep-24</v>
      </c>
      <c r="H242" s="116">
        <f>DAY(EOMONTH(MC_2[[#This Row],[Month Year]],0))</f>
        <v>30</v>
      </c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119"/>
      <c r="AN242" s="119"/>
      <c r="AO242" s="119"/>
      <c r="AP242" s="119"/>
      <c r="AQ242" s="119"/>
      <c r="AR242" s="119"/>
      <c r="AS242" s="119"/>
      <c r="AT242" s="119"/>
      <c r="AU242" s="119"/>
      <c r="AV242" s="119"/>
      <c r="AW242" s="119"/>
      <c r="AX242" s="119"/>
      <c r="AY242" s="119"/>
      <c r="AZ242" s="119"/>
      <c r="BA242" s="119"/>
      <c r="BB242" s="119"/>
      <c r="BC242" s="119"/>
      <c r="BD242" s="119"/>
      <c r="BE242" s="5">
        <f>SUM(MC_2[[#This Row],[IS1Inv1M1]:[IS9Inv19M2]])</f>
        <v>0</v>
      </c>
      <c r="BF242" s="119"/>
      <c r="BG242" s="119"/>
      <c r="BH242" s="119"/>
      <c r="BI242" s="119"/>
      <c r="BJ242" s="119"/>
      <c r="BK242" s="119"/>
      <c r="BL242" s="121"/>
    </row>
    <row r="243" spans="1:64">
      <c r="A243" s="119">
        <v>241</v>
      </c>
      <c r="B243" s="113">
        <f t="shared" si="3"/>
        <v>45563</v>
      </c>
      <c r="C243" s="114">
        <f>YEAR(MC_2[[#This Row],[Date]])+IF(MONTH(MC_2[[#This Row],[Date]])&gt;=4,1,0)</f>
        <v>2025</v>
      </c>
      <c r="D243" s="115">
        <f>YEAR(MC_2[[#This Row],[Date]])</f>
        <v>2024</v>
      </c>
      <c r="E243" s="112" t="s">
        <v>340</v>
      </c>
      <c r="F243" s="112" t="s">
        <v>340</v>
      </c>
      <c r="G243" s="116" t="str">
        <f>TEXT(MC_2[[#This Row],[Date]],"mmm-yy")</f>
        <v>Sep-24</v>
      </c>
      <c r="H243" s="116">
        <f>DAY(EOMONTH(MC_2[[#This Row],[Month Year]],0))</f>
        <v>30</v>
      </c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119"/>
      <c r="AN243" s="119"/>
      <c r="AO243" s="119"/>
      <c r="AP243" s="119"/>
      <c r="AQ243" s="119"/>
      <c r="AR243" s="119"/>
      <c r="AS243" s="119"/>
      <c r="AT243" s="119"/>
      <c r="AU243" s="119"/>
      <c r="AV243" s="119"/>
      <c r="AW243" s="119"/>
      <c r="AX243" s="119"/>
      <c r="AY243" s="119"/>
      <c r="AZ243" s="119"/>
      <c r="BA243" s="119"/>
      <c r="BB243" s="119"/>
      <c r="BC243" s="119"/>
      <c r="BD243" s="119"/>
      <c r="BE243" s="5">
        <f>SUM(MC_2[[#This Row],[IS1Inv1M1]:[IS9Inv19M2]])</f>
        <v>0</v>
      </c>
      <c r="BF243" s="119"/>
      <c r="BG243" s="119"/>
      <c r="BH243" s="119"/>
      <c r="BI243" s="119"/>
      <c r="BJ243" s="119"/>
      <c r="BK243" s="119"/>
      <c r="BL243" s="121"/>
    </row>
    <row r="244" spans="1:64">
      <c r="A244" s="119">
        <v>242</v>
      </c>
      <c r="B244" s="113">
        <f t="shared" si="3"/>
        <v>45564</v>
      </c>
      <c r="C244" s="114">
        <f>YEAR(MC_2[[#This Row],[Date]])+IF(MONTH(MC_2[[#This Row],[Date]])&gt;=4,1,0)</f>
        <v>2025</v>
      </c>
      <c r="D244" s="115">
        <f>YEAR(MC_2[[#This Row],[Date]])</f>
        <v>2024</v>
      </c>
      <c r="E244" s="112" t="s">
        <v>340</v>
      </c>
      <c r="F244" s="112" t="s">
        <v>340</v>
      </c>
      <c r="G244" s="116" t="str">
        <f>TEXT(MC_2[[#This Row],[Date]],"mmm-yy")</f>
        <v>Sep-24</v>
      </c>
      <c r="H244" s="116">
        <f>DAY(EOMONTH(MC_2[[#This Row],[Month Year]],0))</f>
        <v>30</v>
      </c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119"/>
      <c r="AN244" s="119"/>
      <c r="AO244" s="119"/>
      <c r="AP244" s="119"/>
      <c r="AQ244" s="119"/>
      <c r="AR244" s="119"/>
      <c r="AS244" s="119"/>
      <c r="AT244" s="119"/>
      <c r="AU244" s="119"/>
      <c r="AV244" s="119"/>
      <c r="AW244" s="119"/>
      <c r="AX244" s="119"/>
      <c r="AY244" s="119"/>
      <c r="AZ244" s="119"/>
      <c r="BA244" s="119"/>
      <c r="BB244" s="119"/>
      <c r="BC244" s="119"/>
      <c r="BD244" s="119"/>
      <c r="BE244" s="5">
        <f>SUM(MC_2[[#This Row],[IS1Inv1M1]:[IS9Inv19M2]])</f>
        <v>0</v>
      </c>
      <c r="BF244" s="119"/>
      <c r="BG244" s="119"/>
      <c r="BH244" s="119"/>
      <c r="BI244" s="119"/>
      <c r="BJ244" s="119"/>
      <c r="BK244" s="119"/>
      <c r="BL244" s="121"/>
    </row>
    <row r="245" spans="1:64">
      <c r="A245" s="119">
        <v>243</v>
      </c>
      <c r="B245" s="113">
        <f t="shared" si="3"/>
        <v>45565</v>
      </c>
      <c r="C245" s="114">
        <f>YEAR(MC_2[[#This Row],[Date]])+IF(MONTH(MC_2[[#This Row],[Date]])&gt;=4,1,0)</f>
        <v>2025</v>
      </c>
      <c r="D245" s="115">
        <f>YEAR(MC_2[[#This Row],[Date]])</f>
        <v>2024</v>
      </c>
      <c r="E245" s="112" t="s">
        <v>340</v>
      </c>
      <c r="F245" s="112" t="s">
        <v>340</v>
      </c>
      <c r="G245" s="116" t="str">
        <f>TEXT(MC_2[[#This Row],[Date]],"mmm-yy")</f>
        <v>Sep-24</v>
      </c>
      <c r="H245" s="116">
        <f>DAY(EOMONTH(MC_2[[#This Row],[Month Year]],0))</f>
        <v>30</v>
      </c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119"/>
      <c r="AN245" s="119"/>
      <c r="AO245" s="119"/>
      <c r="AP245" s="119"/>
      <c r="AQ245" s="119"/>
      <c r="AR245" s="119"/>
      <c r="AS245" s="119"/>
      <c r="AT245" s="119"/>
      <c r="AU245" s="119"/>
      <c r="AV245" s="119"/>
      <c r="AW245" s="119"/>
      <c r="AX245" s="119"/>
      <c r="AY245" s="119"/>
      <c r="AZ245" s="119"/>
      <c r="BA245" s="119"/>
      <c r="BB245" s="119"/>
      <c r="BC245" s="119"/>
      <c r="BD245" s="119"/>
      <c r="BE245" s="5">
        <f>SUM(MC_2[[#This Row],[IS1Inv1M1]:[IS9Inv19M2]])</f>
        <v>0</v>
      </c>
      <c r="BF245" s="119"/>
      <c r="BG245" s="119"/>
      <c r="BH245" s="119"/>
      <c r="BI245" s="119"/>
      <c r="BJ245" s="119"/>
      <c r="BK245" s="119"/>
      <c r="BL245" s="121"/>
    </row>
    <row r="246" spans="1:64">
      <c r="A246" s="119">
        <v>244</v>
      </c>
      <c r="B246" s="113">
        <f t="shared" si="3"/>
        <v>45566</v>
      </c>
      <c r="C246" s="114">
        <f>YEAR(MC_2[[#This Row],[Date]])+IF(MONTH(MC_2[[#This Row],[Date]])&gt;=4,1,0)</f>
        <v>2025</v>
      </c>
      <c r="D246" s="115">
        <f>YEAR(MC_2[[#This Row],[Date]])</f>
        <v>2024</v>
      </c>
      <c r="E246" s="112" t="s">
        <v>340</v>
      </c>
      <c r="F246" s="112" t="s">
        <v>340</v>
      </c>
      <c r="G246" s="116" t="str">
        <f>TEXT(MC_2[[#This Row],[Date]],"mmm-yy")</f>
        <v>Oct-24</v>
      </c>
      <c r="H246" s="116">
        <f>DAY(EOMONTH(MC_2[[#This Row],[Month Year]],0))</f>
        <v>31</v>
      </c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119"/>
      <c r="AN246" s="119"/>
      <c r="AO246" s="119"/>
      <c r="AP246" s="119"/>
      <c r="AQ246" s="119"/>
      <c r="AR246" s="119"/>
      <c r="AS246" s="119"/>
      <c r="AT246" s="119"/>
      <c r="AU246" s="119"/>
      <c r="AV246" s="119"/>
      <c r="AW246" s="119"/>
      <c r="AX246" s="119"/>
      <c r="AY246" s="119"/>
      <c r="AZ246" s="119"/>
      <c r="BA246" s="119"/>
      <c r="BB246" s="119"/>
      <c r="BC246" s="119"/>
      <c r="BD246" s="119"/>
      <c r="BE246" s="5">
        <f>SUM(MC_2[[#This Row],[IS1Inv1M1]:[IS9Inv19M2]])</f>
        <v>0</v>
      </c>
      <c r="BF246" s="119"/>
      <c r="BG246" s="119"/>
      <c r="BH246" s="119"/>
      <c r="BI246" s="119"/>
      <c r="BJ246" s="119"/>
      <c r="BK246" s="119"/>
      <c r="BL246" s="121"/>
    </row>
    <row r="247" spans="1:64">
      <c r="A247" s="119">
        <v>245</v>
      </c>
      <c r="B247" s="113">
        <f t="shared" si="3"/>
        <v>45567</v>
      </c>
      <c r="C247" s="114">
        <f>YEAR(MC_2[[#This Row],[Date]])+IF(MONTH(MC_2[[#This Row],[Date]])&gt;=4,1,0)</f>
        <v>2025</v>
      </c>
      <c r="D247" s="115">
        <f>YEAR(MC_2[[#This Row],[Date]])</f>
        <v>2024</v>
      </c>
      <c r="E247" s="112" t="s">
        <v>340</v>
      </c>
      <c r="F247" s="112" t="s">
        <v>340</v>
      </c>
      <c r="G247" s="116" t="str">
        <f>TEXT(MC_2[[#This Row],[Date]],"mmm-yy")</f>
        <v>Oct-24</v>
      </c>
      <c r="H247" s="116">
        <f>DAY(EOMONTH(MC_2[[#This Row],[Month Year]],0))</f>
        <v>31</v>
      </c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119"/>
      <c r="AN247" s="119"/>
      <c r="AO247" s="119"/>
      <c r="AP247" s="119"/>
      <c r="AQ247" s="119"/>
      <c r="AR247" s="119"/>
      <c r="AS247" s="119"/>
      <c r="AT247" s="119"/>
      <c r="AU247" s="119"/>
      <c r="AV247" s="119"/>
      <c r="AW247" s="119"/>
      <c r="AX247" s="119"/>
      <c r="AY247" s="119"/>
      <c r="AZ247" s="119"/>
      <c r="BA247" s="119"/>
      <c r="BB247" s="119"/>
      <c r="BC247" s="119"/>
      <c r="BD247" s="119"/>
      <c r="BE247" s="5">
        <f>SUM(MC_2[[#This Row],[IS1Inv1M1]:[IS9Inv19M2]])</f>
        <v>0</v>
      </c>
      <c r="BF247" s="119"/>
      <c r="BG247" s="119"/>
      <c r="BH247" s="119"/>
      <c r="BI247" s="119"/>
      <c r="BJ247" s="119"/>
      <c r="BK247" s="119"/>
      <c r="BL247" s="121"/>
    </row>
    <row r="248" spans="1:64">
      <c r="A248" s="119">
        <v>246</v>
      </c>
      <c r="B248" s="113">
        <f t="shared" si="3"/>
        <v>45568</v>
      </c>
      <c r="C248" s="114">
        <f>YEAR(MC_2[[#This Row],[Date]])+IF(MONTH(MC_2[[#This Row],[Date]])&gt;=4,1,0)</f>
        <v>2025</v>
      </c>
      <c r="D248" s="115">
        <f>YEAR(MC_2[[#This Row],[Date]])</f>
        <v>2024</v>
      </c>
      <c r="E248" s="112" t="s">
        <v>340</v>
      </c>
      <c r="F248" s="112" t="s">
        <v>340</v>
      </c>
      <c r="G248" s="116" t="str">
        <f>TEXT(MC_2[[#This Row],[Date]],"mmm-yy")</f>
        <v>Oct-24</v>
      </c>
      <c r="H248" s="116">
        <f>DAY(EOMONTH(MC_2[[#This Row],[Month Year]],0))</f>
        <v>31</v>
      </c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119"/>
      <c r="AN248" s="119"/>
      <c r="AO248" s="119"/>
      <c r="AP248" s="119"/>
      <c r="AQ248" s="119"/>
      <c r="AR248" s="119"/>
      <c r="AS248" s="119"/>
      <c r="AT248" s="119"/>
      <c r="AU248" s="119"/>
      <c r="AV248" s="119"/>
      <c r="AW248" s="119"/>
      <c r="AX248" s="119"/>
      <c r="AY248" s="119"/>
      <c r="AZ248" s="119"/>
      <c r="BA248" s="119"/>
      <c r="BB248" s="119"/>
      <c r="BC248" s="119"/>
      <c r="BD248" s="119"/>
      <c r="BE248" s="5">
        <f>SUM(MC_2[[#This Row],[IS1Inv1M1]:[IS9Inv19M2]])</f>
        <v>0</v>
      </c>
      <c r="BF248" s="119"/>
      <c r="BG248" s="119"/>
      <c r="BH248" s="119"/>
      <c r="BI248" s="119"/>
      <c r="BJ248" s="119"/>
      <c r="BK248" s="119"/>
      <c r="BL248" s="121"/>
    </row>
    <row r="249" spans="1:64">
      <c r="A249" s="119">
        <v>247</v>
      </c>
      <c r="B249" s="113">
        <f t="shared" si="3"/>
        <v>45569</v>
      </c>
      <c r="C249" s="114">
        <f>YEAR(MC_2[[#This Row],[Date]])+IF(MONTH(MC_2[[#This Row],[Date]])&gt;=4,1,0)</f>
        <v>2025</v>
      </c>
      <c r="D249" s="115">
        <f>YEAR(MC_2[[#This Row],[Date]])</f>
        <v>2024</v>
      </c>
      <c r="E249" s="112" t="s">
        <v>340</v>
      </c>
      <c r="F249" s="112" t="s">
        <v>340</v>
      </c>
      <c r="G249" s="116" t="str">
        <f>TEXT(MC_2[[#This Row],[Date]],"mmm-yy")</f>
        <v>Oct-24</v>
      </c>
      <c r="H249" s="116">
        <f>DAY(EOMONTH(MC_2[[#This Row],[Month Year]],0))</f>
        <v>31</v>
      </c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119"/>
      <c r="AN249" s="119"/>
      <c r="AO249" s="119"/>
      <c r="AP249" s="119"/>
      <c r="AQ249" s="119"/>
      <c r="AR249" s="119"/>
      <c r="AS249" s="119"/>
      <c r="AT249" s="119"/>
      <c r="AU249" s="119"/>
      <c r="AV249" s="119"/>
      <c r="AW249" s="119"/>
      <c r="AX249" s="119"/>
      <c r="AY249" s="119"/>
      <c r="AZ249" s="119"/>
      <c r="BA249" s="119"/>
      <c r="BB249" s="119"/>
      <c r="BC249" s="119"/>
      <c r="BD249" s="119"/>
      <c r="BE249" s="5">
        <f>SUM(MC_2[[#This Row],[IS1Inv1M1]:[IS9Inv19M2]])</f>
        <v>0</v>
      </c>
      <c r="BF249" s="119"/>
      <c r="BG249" s="119"/>
      <c r="BH249" s="119"/>
      <c r="BI249" s="119"/>
      <c r="BJ249" s="119"/>
      <c r="BK249" s="119"/>
      <c r="BL249" s="121"/>
    </row>
    <row r="250" spans="1:64">
      <c r="A250" s="119">
        <v>248</v>
      </c>
      <c r="B250" s="113">
        <f t="shared" si="3"/>
        <v>45570</v>
      </c>
      <c r="C250" s="114">
        <f>YEAR(MC_2[[#This Row],[Date]])+IF(MONTH(MC_2[[#This Row],[Date]])&gt;=4,1,0)</f>
        <v>2025</v>
      </c>
      <c r="D250" s="115">
        <f>YEAR(MC_2[[#This Row],[Date]])</f>
        <v>2024</v>
      </c>
      <c r="E250" s="112" t="s">
        <v>340</v>
      </c>
      <c r="F250" s="112" t="s">
        <v>340</v>
      </c>
      <c r="G250" s="116" t="str">
        <f>TEXT(MC_2[[#This Row],[Date]],"mmm-yy")</f>
        <v>Oct-24</v>
      </c>
      <c r="H250" s="116">
        <f>DAY(EOMONTH(MC_2[[#This Row],[Month Year]],0))</f>
        <v>31</v>
      </c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119"/>
      <c r="AN250" s="119"/>
      <c r="AO250" s="119"/>
      <c r="AP250" s="119"/>
      <c r="AQ250" s="119"/>
      <c r="AR250" s="119"/>
      <c r="AS250" s="119"/>
      <c r="AT250" s="119"/>
      <c r="AU250" s="119"/>
      <c r="AV250" s="119"/>
      <c r="AW250" s="119"/>
      <c r="AX250" s="119"/>
      <c r="AY250" s="119"/>
      <c r="AZ250" s="119"/>
      <c r="BA250" s="119"/>
      <c r="BB250" s="119"/>
      <c r="BC250" s="119"/>
      <c r="BD250" s="119"/>
      <c r="BE250" s="5">
        <f>SUM(MC_2[[#This Row],[IS1Inv1M1]:[IS9Inv19M2]])</f>
        <v>0</v>
      </c>
      <c r="BF250" s="119"/>
      <c r="BG250" s="119"/>
      <c r="BH250" s="119"/>
      <c r="BI250" s="119"/>
      <c r="BJ250" s="119"/>
      <c r="BK250" s="119"/>
      <c r="BL250" s="121"/>
    </row>
    <row r="251" spans="1:64">
      <c r="A251" s="119">
        <v>249</v>
      </c>
      <c r="B251" s="113">
        <f t="shared" si="3"/>
        <v>45571</v>
      </c>
      <c r="C251" s="114">
        <f>YEAR(MC_2[[#This Row],[Date]])+IF(MONTH(MC_2[[#This Row],[Date]])&gt;=4,1,0)</f>
        <v>2025</v>
      </c>
      <c r="D251" s="115">
        <f>YEAR(MC_2[[#This Row],[Date]])</f>
        <v>2024</v>
      </c>
      <c r="E251" s="112" t="s">
        <v>340</v>
      </c>
      <c r="F251" s="112" t="s">
        <v>340</v>
      </c>
      <c r="G251" s="116" t="str">
        <f>TEXT(MC_2[[#This Row],[Date]],"mmm-yy")</f>
        <v>Oct-24</v>
      </c>
      <c r="H251" s="116">
        <f>DAY(EOMONTH(MC_2[[#This Row],[Month Year]],0))</f>
        <v>31</v>
      </c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119"/>
      <c r="AN251" s="119"/>
      <c r="AO251" s="119"/>
      <c r="AP251" s="119"/>
      <c r="AQ251" s="119"/>
      <c r="AR251" s="119"/>
      <c r="AS251" s="119"/>
      <c r="AT251" s="119"/>
      <c r="AU251" s="119"/>
      <c r="AV251" s="119"/>
      <c r="AW251" s="119"/>
      <c r="AX251" s="119"/>
      <c r="AY251" s="119"/>
      <c r="AZ251" s="119"/>
      <c r="BA251" s="119"/>
      <c r="BB251" s="119"/>
      <c r="BC251" s="119"/>
      <c r="BD251" s="119"/>
      <c r="BE251" s="5">
        <f>SUM(MC_2[[#This Row],[IS1Inv1M1]:[IS9Inv19M2]])</f>
        <v>0</v>
      </c>
      <c r="BF251" s="119"/>
      <c r="BG251" s="119"/>
      <c r="BH251" s="119"/>
      <c r="BI251" s="119"/>
      <c r="BJ251" s="119"/>
      <c r="BK251" s="119"/>
      <c r="BL251" s="121"/>
    </row>
    <row r="252" spans="1:64">
      <c r="A252" s="119">
        <v>250</v>
      </c>
      <c r="B252" s="113">
        <f t="shared" si="3"/>
        <v>45572</v>
      </c>
      <c r="C252" s="114">
        <f>YEAR(MC_2[[#This Row],[Date]])+IF(MONTH(MC_2[[#This Row],[Date]])&gt;=4,1,0)</f>
        <v>2025</v>
      </c>
      <c r="D252" s="115">
        <f>YEAR(MC_2[[#This Row],[Date]])</f>
        <v>2024</v>
      </c>
      <c r="E252" s="112" t="s">
        <v>340</v>
      </c>
      <c r="F252" s="112" t="s">
        <v>340</v>
      </c>
      <c r="G252" s="116" t="str">
        <f>TEXT(MC_2[[#This Row],[Date]],"mmm-yy")</f>
        <v>Oct-24</v>
      </c>
      <c r="H252" s="116">
        <f>DAY(EOMONTH(MC_2[[#This Row],[Month Year]],0))</f>
        <v>31</v>
      </c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119"/>
      <c r="AN252" s="119"/>
      <c r="AO252" s="119"/>
      <c r="AP252" s="119"/>
      <c r="AQ252" s="119"/>
      <c r="AR252" s="119"/>
      <c r="AS252" s="119"/>
      <c r="AT252" s="119"/>
      <c r="AU252" s="119"/>
      <c r="AV252" s="119"/>
      <c r="AW252" s="119"/>
      <c r="AX252" s="119"/>
      <c r="AY252" s="119"/>
      <c r="AZ252" s="119"/>
      <c r="BA252" s="119"/>
      <c r="BB252" s="119"/>
      <c r="BC252" s="119"/>
      <c r="BD252" s="119"/>
      <c r="BE252" s="5">
        <f>SUM(MC_2[[#This Row],[IS1Inv1M1]:[IS9Inv19M2]])</f>
        <v>0</v>
      </c>
      <c r="BF252" s="119"/>
      <c r="BG252" s="119"/>
      <c r="BH252" s="119"/>
      <c r="BI252" s="119"/>
      <c r="BJ252" s="119"/>
      <c r="BK252" s="119"/>
      <c r="BL252" s="121"/>
    </row>
    <row r="253" spans="1:64">
      <c r="A253" s="119">
        <v>251</v>
      </c>
      <c r="B253" s="113">
        <f t="shared" si="3"/>
        <v>45573</v>
      </c>
      <c r="C253" s="114">
        <f>YEAR(MC_2[[#This Row],[Date]])+IF(MONTH(MC_2[[#This Row],[Date]])&gt;=4,1,0)</f>
        <v>2025</v>
      </c>
      <c r="D253" s="115">
        <f>YEAR(MC_2[[#This Row],[Date]])</f>
        <v>2024</v>
      </c>
      <c r="E253" s="112" t="s">
        <v>340</v>
      </c>
      <c r="F253" s="112" t="s">
        <v>340</v>
      </c>
      <c r="G253" s="116" t="str">
        <f>TEXT(MC_2[[#This Row],[Date]],"mmm-yy")</f>
        <v>Oct-24</v>
      </c>
      <c r="H253" s="116">
        <f>DAY(EOMONTH(MC_2[[#This Row],[Month Year]],0))</f>
        <v>31</v>
      </c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119"/>
      <c r="AN253" s="119"/>
      <c r="AO253" s="119"/>
      <c r="AP253" s="119"/>
      <c r="AQ253" s="119"/>
      <c r="AR253" s="119"/>
      <c r="AS253" s="119"/>
      <c r="AT253" s="119"/>
      <c r="AU253" s="119"/>
      <c r="AV253" s="119"/>
      <c r="AW253" s="119"/>
      <c r="AX253" s="119"/>
      <c r="AY253" s="119"/>
      <c r="AZ253" s="119"/>
      <c r="BA253" s="119"/>
      <c r="BB253" s="119"/>
      <c r="BC253" s="119"/>
      <c r="BD253" s="119"/>
      <c r="BE253" s="5">
        <f>SUM(MC_2[[#This Row],[IS1Inv1M1]:[IS9Inv19M2]])</f>
        <v>0</v>
      </c>
      <c r="BF253" s="119"/>
      <c r="BG253" s="119"/>
      <c r="BH253" s="119"/>
      <c r="BI253" s="119"/>
      <c r="BJ253" s="119"/>
      <c r="BK253" s="119"/>
      <c r="BL253" s="121"/>
    </row>
    <row r="254" spans="1:64">
      <c r="A254" s="119">
        <v>252</v>
      </c>
      <c r="B254" s="113">
        <f t="shared" si="3"/>
        <v>45574</v>
      </c>
      <c r="C254" s="114">
        <f>YEAR(MC_2[[#This Row],[Date]])+IF(MONTH(MC_2[[#This Row],[Date]])&gt;=4,1,0)</f>
        <v>2025</v>
      </c>
      <c r="D254" s="115">
        <f>YEAR(MC_2[[#This Row],[Date]])</f>
        <v>2024</v>
      </c>
      <c r="E254" s="112" t="s">
        <v>340</v>
      </c>
      <c r="F254" s="112" t="s">
        <v>340</v>
      </c>
      <c r="G254" s="116" t="str">
        <f>TEXT(MC_2[[#This Row],[Date]],"mmm-yy")</f>
        <v>Oct-24</v>
      </c>
      <c r="H254" s="116">
        <f>DAY(EOMONTH(MC_2[[#This Row],[Month Year]],0))</f>
        <v>31</v>
      </c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119"/>
      <c r="AN254" s="119"/>
      <c r="AO254" s="119"/>
      <c r="AP254" s="119"/>
      <c r="AQ254" s="119"/>
      <c r="AR254" s="119"/>
      <c r="AS254" s="119"/>
      <c r="AT254" s="119"/>
      <c r="AU254" s="119"/>
      <c r="AV254" s="119"/>
      <c r="AW254" s="119"/>
      <c r="AX254" s="119"/>
      <c r="AY254" s="119"/>
      <c r="AZ254" s="119"/>
      <c r="BA254" s="119"/>
      <c r="BB254" s="119"/>
      <c r="BC254" s="119"/>
      <c r="BD254" s="119"/>
      <c r="BE254" s="5">
        <f>SUM(MC_2[[#This Row],[IS1Inv1M1]:[IS9Inv19M2]])</f>
        <v>0</v>
      </c>
      <c r="BF254" s="119"/>
      <c r="BG254" s="119"/>
      <c r="BH254" s="119"/>
      <c r="BI254" s="119"/>
      <c r="BJ254" s="119"/>
      <c r="BK254" s="119"/>
      <c r="BL254" s="121"/>
    </row>
    <row r="255" spans="1:64">
      <c r="A255" s="119">
        <v>253</v>
      </c>
      <c r="B255" s="113">
        <f t="shared" si="3"/>
        <v>45575</v>
      </c>
      <c r="C255" s="114">
        <f>YEAR(MC_2[[#This Row],[Date]])+IF(MONTH(MC_2[[#This Row],[Date]])&gt;=4,1,0)</f>
        <v>2025</v>
      </c>
      <c r="D255" s="115">
        <f>YEAR(MC_2[[#This Row],[Date]])</f>
        <v>2024</v>
      </c>
      <c r="E255" s="112" t="s">
        <v>340</v>
      </c>
      <c r="F255" s="112" t="s">
        <v>340</v>
      </c>
      <c r="G255" s="116" t="str">
        <f>TEXT(MC_2[[#This Row],[Date]],"mmm-yy")</f>
        <v>Oct-24</v>
      </c>
      <c r="H255" s="116">
        <f>DAY(EOMONTH(MC_2[[#This Row],[Month Year]],0))</f>
        <v>31</v>
      </c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119"/>
      <c r="AN255" s="119"/>
      <c r="AO255" s="119"/>
      <c r="AP255" s="119"/>
      <c r="AQ255" s="119"/>
      <c r="AR255" s="119"/>
      <c r="AS255" s="119"/>
      <c r="AT255" s="119"/>
      <c r="AU255" s="119"/>
      <c r="AV255" s="119"/>
      <c r="AW255" s="119"/>
      <c r="AX255" s="119"/>
      <c r="AY255" s="119"/>
      <c r="AZ255" s="119"/>
      <c r="BA255" s="119"/>
      <c r="BB255" s="119"/>
      <c r="BC255" s="119"/>
      <c r="BD255" s="119"/>
      <c r="BE255" s="5">
        <f>SUM(MC_2[[#This Row],[IS1Inv1M1]:[IS9Inv19M2]])</f>
        <v>0</v>
      </c>
      <c r="BF255" s="119"/>
      <c r="BG255" s="119"/>
      <c r="BH255" s="119"/>
      <c r="BI255" s="119"/>
      <c r="BJ255" s="119"/>
      <c r="BK255" s="119"/>
      <c r="BL255" s="121"/>
    </row>
    <row r="256" spans="1:64">
      <c r="A256" s="119">
        <v>254</v>
      </c>
      <c r="B256" s="113">
        <f t="shared" si="3"/>
        <v>45576</v>
      </c>
      <c r="C256" s="114">
        <f>YEAR(MC_2[[#This Row],[Date]])+IF(MONTH(MC_2[[#This Row],[Date]])&gt;=4,1,0)</f>
        <v>2025</v>
      </c>
      <c r="D256" s="115">
        <f>YEAR(MC_2[[#This Row],[Date]])</f>
        <v>2024</v>
      </c>
      <c r="E256" s="112" t="s">
        <v>340</v>
      </c>
      <c r="F256" s="112" t="s">
        <v>340</v>
      </c>
      <c r="G256" s="116" t="str">
        <f>TEXT(MC_2[[#This Row],[Date]],"mmm-yy")</f>
        <v>Oct-24</v>
      </c>
      <c r="H256" s="116">
        <f>DAY(EOMONTH(MC_2[[#This Row],[Month Year]],0))</f>
        <v>31</v>
      </c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119"/>
      <c r="AN256" s="119"/>
      <c r="AO256" s="119"/>
      <c r="AP256" s="119"/>
      <c r="AQ256" s="119"/>
      <c r="AR256" s="119"/>
      <c r="AS256" s="119"/>
      <c r="AT256" s="119"/>
      <c r="AU256" s="119"/>
      <c r="AV256" s="119"/>
      <c r="AW256" s="119"/>
      <c r="AX256" s="119"/>
      <c r="AY256" s="119"/>
      <c r="AZ256" s="119"/>
      <c r="BA256" s="119"/>
      <c r="BB256" s="119"/>
      <c r="BC256" s="119"/>
      <c r="BD256" s="119"/>
      <c r="BE256" s="5">
        <f>SUM(MC_2[[#This Row],[IS1Inv1M1]:[IS9Inv19M2]])</f>
        <v>0</v>
      </c>
      <c r="BF256" s="119"/>
      <c r="BG256" s="119"/>
      <c r="BH256" s="119"/>
      <c r="BI256" s="119"/>
      <c r="BJ256" s="119"/>
      <c r="BK256" s="119"/>
      <c r="BL256" s="121"/>
    </row>
    <row r="257" spans="1:64">
      <c r="A257" s="119">
        <v>255</v>
      </c>
      <c r="B257" s="113">
        <f t="shared" si="3"/>
        <v>45577</v>
      </c>
      <c r="C257" s="114">
        <f>YEAR(MC_2[[#This Row],[Date]])+IF(MONTH(MC_2[[#This Row],[Date]])&gt;=4,1,0)</f>
        <v>2025</v>
      </c>
      <c r="D257" s="115">
        <f>YEAR(MC_2[[#This Row],[Date]])</f>
        <v>2024</v>
      </c>
      <c r="E257" s="112" t="s">
        <v>340</v>
      </c>
      <c r="F257" s="112" t="s">
        <v>340</v>
      </c>
      <c r="G257" s="116" t="str">
        <f>TEXT(MC_2[[#This Row],[Date]],"mmm-yy")</f>
        <v>Oct-24</v>
      </c>
      <c r="H257" s="116">
        <f>DAY(EOMONTH(MC_2[[#This Row],[Month Year]],0))</f>
        <v>31</v>
      </c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119"/>
      <c r="AN257" s="119"/>
      <c r="AO257" s="119"/>
      <c r="AP257" s="119"/>
      <c r="AQ257" s="119"/>
      <c r="AR257" s="119"/>
      <c r="AS257" s="119"/>
      <c r="AT257" s="119"/>
      <c r="AU257" s="119"/>
      <c r="AV257" s="119"/>
      <c r="AW257" s="119"/>
      <c r="AX257" s="119"/>
      <c r="AY257" s="119"/>
      <c r="AZ257" s="119"/>
      <c r="BA257" s="119"/>
      <c r="BB257" s="119"/>
      <c r="BC257" s="119"/>
      <c r="BD257" s="119"/>
      <c r="BE257" s="5">
        <f>SUM(MC_2[[#This Row],[IS1Inv1M1]:[IS9Inv19M2]])</f>
        <v>0</v>
      </c>
      <c r="BF257" s="119"/>
      <c r="BG257" s="119"/>
      <c r="BH257" s="119"/>
      <c r="BI257" s="119"/>
      <c r="BJ257" s="119"/>
      <c r="BK257" s="119"/>
      <c r="BL257" s="121"/>
    </row>
    <row r="258" spans="1:64">
      <c r="A258" s="119">
        <v>256</v>
      </c>
      <c r="B258" s="113">
        <f t="shared" si="3"/>
        <v>45578</v>
      </c>
      <c r="C258" s="114">
        <f>YEAR(MC_2[[#This Row],[Date]])+IF(MONTH(MC_2[[#This Row],[Date]])&gt;=4,1,0)</f>
        <v>2025</v>
      </c>
      <c r="D258" s="115">
        <f>YEAR(MC_2[[#This Row],[Date]])</f>
        <v>2024</v>
      </c>
      <c r="E258" s="112" t="s">
        <v>340</v>
      </c>
      <c r="F258" s="112" t="s">
        <v>340</v>
      </c>
      <c r="G258" s="116" t="str">
        <f>TEXT(MC_2[[#This Row],[Date]],"mmm-yy")</f>
        <v>Oct-24</v>
      </c>
      <c r="H258" s="116">
        <f>DAY(EOMONTH(MC_2[[#This Row],[Month Year]],0))</f>
        <v>31</v>
      </c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112"/>
      <c r="AN258" s="112"/>
      <c r="AO258" s="112"/>
      <c r="AP258" s="112"/>
      <c r="AQ258" s="112"/>
      <c r="AR258" s="112"/>
      <c r="AS258" s="112"/>
      <c r="AT258" s="112"/>
      <c r="AU258" s="112"/>
      <c r="AV258" s="112"/>
      <c r="AW258" s="112"/>
      <c r="AX258" s="112"/>
      <c r="AY258" s="112"/>
      <c r="AZ258" s="112"/>
      <c r="BA258" s="112"/>
      <c r="BB258" s="112"/>
      <c r="BC258" s="112"/>
      <c r="BD258" s="112"/>
      <c r="BE258" s="5">
        <f>SUM(MC_2[[#This Row],[IS1Inv1M1]:[IS9Inv19M2]])</f>
        <v>0</v>
      </c>
      <c r="BF258" s="119"/>
      <c r="BG258" s="119"/>
      <c r="BH258" s="119"/>
      <c r="BI258" s="119"/>
      <c r="BJ258" s="119"/>
      <c r="BK258" s="119"/>
      <c r="BL258" s="121"/>
    </row>
    <row r="259" spans="1:64">
      <c r="A259" s="119">
        <v>257</v>
      </c>
      <c r="B259" s="113">
        <f t="shared" si="3"/>
        <v>45579</v>
      </c>
      <c r="C259" s="114">
        <f>YEAR(MC_2[[#This Row],[Date]])+IF(MONTH(MC_2[[#This Row],[Date]])&gt;=4,1,0)</f>
        <v>2025</v>
      </c>
      <c r="D259" s="115">
        <f>YEAR(MC_2[[#This Row],[Date]])</f>
        <v>2024</v>
      </c>
      <c r="E259" s="112" t="s">
        <v>340</v>
      </c>
      <c r="F259" s="112" t="s">
        <v>340</v>
      </c>
      <c r="G259" s="116" t="str">
        <f>TEXT(MC_2[[#This Row],[Date]],"mmm-yy")</f>
        <v>Oct-24</v>
      </c>
      <c r="H259" s="116">
        <f>DAY(EOMONTH(MC_2[[#This Row],[Month Year]],0))</f>
        <v>31</v>
      </c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119"/>
      <c r="AN259" s="119"/>
      <c r="AO259" s="119"/>
      <c r="AP259" s="119"/>
      <c r="AQ259" s="119"/>
      <c r="AR259" s="119"/>
      <c r="AS259" s="119"/>
      <c r="AT259" s="119"/>
      <c r="AU259" s="119"/>
      <c r="AV259" s="119"/>
      <c r="AW259" s="119"/>
      <c r="AX259" s="119"/>
      <c r="AY259" s="119"/>
      <c r="AZ259" s="119"/>
      <c r="BA259" s="119"/>
      <c r="BB259" s="119"/>
      <c r="BC259" s="119"/>
      <c r="BD259" s="119"/>
      <c r="BE259" s="5">
        <f>SUM(MC_2[[#This Row],[IS1Inv1M1]:[IS9Inv19M2]])</f>
        <v>0</v>
      </c>
      <c r="BF259" s="119"/>
      <c r="BG259" s="119"/>
      <c r="BH259" s="119"/>
      <c r="BI259" s="119"/>
      <c r="BJ259" s="119"/>
      <c r="BK259" s="119"/>
      <c r="BL259" s="121"/>
    </row>
    <row r="260" spans="1:64">
      <c r="A260" s="119">
        <v>258</v>
      </c>
      <c r="B260" s="113">
        <f t="shared" si="3"/>
        <v>45580</v>
      </c>
      <c r="C260" s="114">
        <f>YEAR(MC_2[[#This Row],[Date]])+IF(MONTH(MC_2[[#This Row],[Date]])&gt;=4,1,0)</f>
        <v>2025</v>
      </c>
      <c r="D260" s="115">
        <f>YEAR(MC_2[[#This Row],[Date]])</f>
        <v>2024</v>
      </c>
      <c r="E260" s="112" t="s">
        <v>340</v>
      </c>
      <c r="F260" s="112" t="s">
        <v>340</v>
      </c>
      <c r="G260" s="116" t="str">
        <f>TEXT(MC_2[[#This Row],[Date]],"mmm-yy")</f>
        <v>Oct-24</v>
      </c>
      <c r="H260" s="116">
        <f>DAY(EOMONTH(MC_2[[#This Row],[Month Year]],0))</f>
        <v>31</v>
      </c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119"/>
      <c r="AN260" s="119"/>
      <c r="AO260" s="119"/>
      <c r="AP260" s="119"/>
      <c r="AQ260" s="119"/>
      <c r="AR260" s="119"/>
      <c r="AS260" s="119"/>
      <c r="AT260" s="119"/>
      <c r="AU260" s="119"/>
      <c r="AV260" s="119"/>
      <c r="AW260" s="119"/>
      <c r="AX260" s="119"/>
      <c r="AY260" s="119"/>
      <c r="AZ260" s="119"/>
      <c r="BA260" s="119"/>
      <c r="BB260" s="119"/>
      <c r="BC260" s="119"/>
      <c r="BD260" s="119"/>
      <c r="BE260" s="5">
        <f>SUM(MC_2[[#This Row],[IS1Inv1M1]:[IS9Inv19M2]])</f>
        <v>0</v>
      </c>
      <c r="BF260" s="119"/>
      <c r="BG260" s="119"/>
      <c r="BH260" s="119"/>
      <c r="BI260" s="119"/>
      <c r="BJ260" s="119"/>
      <c r="BK260" s="119"/>
      <c r="BL260" s="121"/>
    </row>
    <row r="261" spans="1:64">
      <c r="A261" s="119">
        <v>259</v>
      </c>
      <c r="B261" s="113">
        <f t="shared" ref="B261:B324" si="4">B260+1</f>
        <v>45581</v>
      </c>
      <c r="C261" s="114">
        <f>YEAR(MC_2[[#This Row],[Date]])+IF(MONTH(MC_2[[#This Row],[Date]])&gt;=4,1,0)</f>
        <v>2025</v>
      </c>
      <c r="D261" s="115">
        <f>YEAR(MC_2[[#This Row],[Date]])</f>
        <v>2024</v>
      </c>
      <c r="E261" s="112" t="s">
        <v>340</v>
      </c>
      <c r="F261" s="112" t="s">
        <v>340</v>
      </c>
      <c r="G261" s="116" t="str">
        <f>TEXT(MC_2[[#This Row],[Date]],"mmm-yy")</f>
        <v>Oct-24</v>
      </c>
      <c r="H261" s="116">
        <f>DAY(EOMONTH(MC_2[[#This Row],[Month Year]],0))</f>
        <v>31</v>
      </c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119"/>
      <c r="AN261" s="119"/>
      <c r="AO261" s="119"/>
      <c r="AP261" s="119"/>
      <c r="AQ261" s="119"/>
      <c r="AR261" s="119"/>
      <c r="AS261" s="119"/>
      <c r="AT261" s="119"/>
      <c r="AU261" s="119"/>
      <c r="AV261" s="119"/>
      <c r="AW261" s="119"/>
      <c r="AX261" s="119"/>
      <c r="AY261" s="119"/>
      <c r="AZ261" s="119"/>
      <c r="BA261" s="119"/>
      <c r="BB261" s="119"/>
      <c r="BC261" s="119"/>
      <c r="BD261" s="119"/>
      <c r="BE261" s="5">
        <f>SUM(MC_2[[#This Row],[IS1Inv1M1]:[IS9Inv19M2]])</f>
        <v>0</v>
      </c>
      <c r="BF261" s="119"/>
      <c r="BG261" s="119"/>
      <c r="BH261" s="119"/>
      <c r="BI261" s="119"/>
      <c r="BJ261" s="119"/>
      <c r="BK261" s="119"/>
      <c r="BL261" s="121"/>
    </row>
    <row r="262" spans="1:64">
      <c r="A262" s="119">
        <v>260</v>
      </c>
      <c r="B262" s="113">
        <f t="shared" si="4"/>
        <v>45582</v>
      </c>
      <c r="C262" s="114">
        <f>YEAR(MC_2[[#This Row],[Date]])+IF(MONTH(MC_2[[#This Row],[Date]])&gt;=4,1,0)</f>
        <v>2025</v>
      </c>
      <c r="D262" s="115">
        <f>YEAR(MC_2[[#This Row],[Date]])</f>
        <v>2024</v>
      </c>
      <c r="E262" s="112" t="s">
        <v>340</v>
      </c>
      <c r="F262" s="112" t="s">
        <v>340</v>
      </c>
      <c r="G262" s="116" t="str">
        <f>TEXT(MC_2[[#This Row],[Date]],"mmm-yy")</f>
        <v>Oct-24</v>
      </c>
      <c r="H262" s="116">
        <f>DAY(EOMONTH(MC_2[[#This Row],[Month Year]],0))</f>
        <v>31</v>
      </c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119"/>
      <c r="AN262" s="119"/>
      <c r="AO262" s="119"/>
      <c r="AP262" s="119"/>
      <c r="AQ262" s="119"/>
      <c r="AR262" s="119"/>
      <c r="AS262" s="119"/>
      <c r="AT262" s="119"/>
      <c r="AU262" s="119"/>
      <c r="AV262" s="119"/>
      <c r="AW262" s="119"/>
      <c r="AX262" s="119"/>
      <c r="AY262" s="119"/>
      <c r="AZ262" s="119"/>
      <c r="BA262" s="119"/>
      <c r="BB262" s="119"/>
      <c r="BC262" s="119"/>
      <c r="BD262" s="119"/>
      <c r="BE262" s="5">
        <f>SUM(MC_2[[#This Row],[IS1Inv1M1]:[IS9Inv19M2]])</f>
        <v>0</v>
      </c>
      <c r="BF262" s="119"/>
      <c r="BG262" s="119"/>
      <c r="BH262" s="119"/>
      <c r="BI262" s="119"/>
      <c r="BJ262" s="119"/>
      <c r="BK262" s="119"/>
      <c r="BL262" s="121"/>
    </row>
    <row r="263" spans="1:64">
      <c r="A263" s="119">
        <v>261</v>
      </c>
      <c r="B263" s="113">
        <f t="shared" si="4"/>
        <v>45583</v>
      </c>
      <c r="C263" s="114">
        <f>YEAR(MC_2[[#This Row],[Date]])+IF(MONTH(MC_2[[#This Row],[Date]])&gt;=4,1,0)</f>
        <v>2025</v>
      </c>
      <c r="D263" s="115">
        <f>YEAR(MC_2[[#This Row],[Date]])</f>
        <v>2024</v>
      </c>
      <c r="E263" s="112" t="s">
        <v>340</v>
      </c>
      <c r="F263" s="112" t="s">
        <v>340</v>
      </c>
      <c r="G263" s="116" t="str">
        <f>TEXT(MC_2[[#This Row],[Date]],"mmm-yy")</f>
        <v>Oct-24</v>
      </c>
      <c r="H263" s="116">
        <f>DAY(EOMONTH(MC_2[[#This Row],[Month Year]],0))</f>
        <v>31</v>
      </c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119"/>
      <c r="AN263" s="119"/>
      <c r="AO263" s="119"/>
      <c r="AP263" s="119"/>
      <c r="AQ263" s="119"/>
      <c r="AR263" s="119"/>
      <c r="AS263" s="119"/>
      <c r="AT263" s="119"/>
      <c r="AU263" s="119"/>
      <c r="AV263" s="119"/>
      <c r="AW263" s="119"/>
      <c r="AX263" s="119"/>
      <c r="AY263" s="119"/>
      <c r="AZ263" s="119"/>
      <c r="BA263" s="119"/>
      <c r="BB263" s="119"/>
      <c r="BC263" s="119"/>
      <c r="BD263" s="119"/>
      <c r="BE263" s="5">
        <f>SUM(MC_2[[#This Row],[IS1Inv1M1]:[IS9Inv19M2]])</f>
        <v>0</v>
      </c>
      <c r="BF263" s="119"/>
      <c r="BG263" s="119"/>
      <c r="BH263" s="119"/>
      <c r="BI263" s="119"/>
      <c r="BJ263" s="119"/>
      <c r="BK263" s="119"/>
      <c r="BL263" s="121"/>
    </row>
    <row r="264" spans="1:64">
      <c r="A264" s="119">
        <v>262</v>
      </c>
      <c r="B264" s="113">
        <f t="shared" si="4"/>
        <v>45584</v>
      </c>
      <c r="C264" s="114">
        <f>YEAR(MC_2[[#This Row],[Date]])+IF(MONTH(MC_2[[#This Row],[Date]])&gt;=4,1,0)</f>
        <v>2025</v>
      </c>
      <c r="D264" s="115">
        <f>YEAR(MC_2[[#This Row],[Date]])</f>
        <v>2024</v>
      </c>
      <c r="E264" s="112" t="s">
        <v>340</v>
      </c>
      <c r="F264" s="112" t="s">
        <v>340</v>
      </c>
      <c r="G264" s="116" t="str">
        <f>TEXT(MC_2[[#This Row],[Date]],"mmm-yy")</f>
        <v>Oct-24</v>
      </c>
      <c r="H264" s="116">
        <f>DAY(EOMONTH(MC_2[[#This Row],[Month Year]],0))</f>
        <v>31</v>
      </c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119"/>
      <c r="AN264" s="119"/>
      <c r="AO264" s="119"/>
      <c r="AP264" s="119"/>
      <c r="AQ264" s="119"/>
      <c r="AR264" s="119"/>
      <c r="AS264" s="119"/>
      <c r="AT264" s="119"/>
      <c r="AU264" s="119"/>
      <c r="AV264" s="119"/>
      <c r="AW264" s="119"/>
      <c r="AX264" s="119"/>
      <c r="AY264" s="119"/>
      <c r="AZ264" s="119"/>
      <c r="BA264" s="119"/>
      <c r="BB264" s="119"/>
      <c r="BC264" s="119"/>
      <c r="BD264" s="119"/>
      <c r="BE264" s="5">
        <f>SUM(MC_2[[#This Row],[IS1Inv1M1]:[IS9Inv19M2]])</f>
        <v>0</v>
      </c>
      <c r="BF264" s="119"/>
      <c r="BG264" s="119"/>
      <c r="BH264" s="119"/>
      <c r="BI264" s="119"/>
      <c r="BJ264" s="119"/>
      <c r="BK264" s="119"/>
      <c r="BL264" s="121"/>
    </row>
    <row r="265" spans="1:64">
      <c r="A265" s="119">
        <v>263</v>
      </c>
      <c r="B265" s="113">
        <f t="shared" si="4"/>
        <v>45585</v>
      </c>
      <c r="C265" s="114">
        <f>YEAR(MC_2[[#This Row],[Date]])+IF(MONTH(MC_2[[#This Row],[Date]])&gt;=4,1,0)</f>
        <v>2025</v>
      </c>
      <c r="D265" s="115">
        <f>YEAR(MC_2[[#This Row],[Date]])</f>
        <v>2024</v>
      </c>
      <c r="E265" s="112" t="s">
        <v>340</v>
      </c>
      <c r="F265" s="112" t="s">
        <v>340</v>
      </c>
      <c r="G265" s="116" t="str">
        <f>TEXT(MC_2[[#This Row],[Date]],"mmm-yy")</f>
        <v>Oct-24</v>
      </c>
      <c r="H265" s="116">
        <f>DAY(EOMONTH(MC_2[[#This Row],[Month Year]],0))</f>
        <v>31</v>
      </c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119"/>
      <c r="AN265" s="119"/>
      <c r="AO265" s="119"/>
      <c r="AP265" s="119"/>
      <c r="AQ265" s="119"/>
      <c r="AR265" s="119"/>
      <c r="AS265" s="119"/>
      <c r="AT265" s="119"/>
      <c r="AU265" s="119"/>
      <c r="AV265" s="119"/>
      <c r="AW265" s="119"/>
      <c r="AX265" s="119"/>
      <c r="AY265" s="119"/>
      <c r="AZ265" s="119"/>
      <c r="BA265" s="119"/>
      <c r="BB265" s="119"/>
      <c r="BC265" s="119"/>
      <c r="BD265" s="119"/>
      <c r="BE265" s="5">
        <f>SUM(MC_2[[#This Row],[IS1Inv1M1]:[IS9Inv19M2]])</f>
        <v>0</v>
      </c>
      <c r="BF265" s="119"/>
      <c r="BG265" s="119"/>
      <c r="BH265" s="119"/>
      <c r="BI265" s="119"/>
      <c r="BJ265" s="119"/>
      <c r="BK265" s="119"/>
      <c r="BL265" s="121"/>
    </row>
    <row r="266" spans="1:64">
      <c r="A266" s="119">
        <v>264</v>
      </c>
      <c r="B266" s="113">
        <f t="shared" si="4"/>
        <v>45586</v>
      </c>
      <c r="C266" s="114">
        <f>YEAR(MC_2[[#This Row],[Date]])+IF(MONTH(MC_2[[#This Row],[Date]])&gt;=4,1,0)</f>
        <v>2025</v>
      </c>
      <c r="D266" s="115">
        <f>YEAR(MC_2[[#This Row],[Date]])</f>
        <v>2024</v>
      </c>
      <c r="E266" s="112" t="s">
        <v>340</v>
      </c>
      <c r="F266" s="112" t="s">
        <v>340</v>
      </c>
      <c r="G266" s="116" t="str">
        <f>TEXT(MC_2[[#This Row],[Date]],"mmm-yy")</f>
        <v>Oct-24</v>
      </c>
      <c r="H266" s="116">
        <f>DAY(EOMONTH(MC_2[[#This Row],[Month Year]],0))</f>
        <v>31</v>
      </c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119"/>
      <c r="AN266" s="119"/>
      <c r="AO266" s="119"/>
      <c r="AP266" s="119"/>
      <c r="AQ266" s="119"/>
      <c r="AR266" s="119"/>
      <c r="AS266" s="119"/>
      <c r="AT266" s="119"/>
      <c r="AU266" s="119"/>
      <c r="AV266" s="119"/>
      <c r="AW266" s="119"/>
      <c r="AX266" s="119"/>
      <c r="AY266" s="119"/>
      <c r="AZ266" s="119"/>
      <c r="BA266" s="119"/>
      <c r="BB266" s="119"/>
      <c r="BC266" s="119"/>
      <c r="BD266" s="119"/>
      <c r="BE266" s="5">
        <f>SUM(MC_2[[#This Row],[IS1Inv1M1]:[IS9Inv19M2]])</f>
        <v>0</v>
      </c>
      <c r="BF266" s="119"/>
      <c r="BG266" s="119"/>
      <c r="BH266" s="119"/>
      <c r="BI266" s="119"/>
      <c r="BJ266" s="119"/>
      <c r="BK266" s="119"/>
      <c r="BL266" s="121"/>
    </row>
    <row r="267" spans="1:64">
      <c r="A267" s="119">
        <v>265</v>
      </c>
      <c r="B267" s="113">
        <f t="shared" si="4"/>
        <v>45587</v>
      </c>
      <c r="C267" s="114">
        <f>YEAR(MC_2[[#This Row],[Date]])+IF(MONTH(MC_2[[#This Row],[Date]])&gt;=4,1,0)</f>
        <v>2025</v>
      </c>
      <c r="D267" s="115">
        <f>YEAR(MC_2[[#This Row],[Date]])</f>
        <v>2024</v>
      </c>
      <c r="E267" s="112" t="s">
        <v>340</v>
      </c>
      <c r="F267" s="112" t="s">
        <v>340</v>
      </c>
      <c r="G267" s="116" t="str">
        <f>TEXT(MC_2[[#This Row],[Date]],"mmm-yy")</f>
        <v>Oct-24</v>
      </c>
      <c r="H267" s="116">
        <f>DAY(EOMONTH(MC_2[[#This Row],[Month Year]],0))</f>
        <v>31</v>
      </c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119"/>
      <c r="AN267" s="119"/>
      <c r="AO267" s="119"/>
      <c r="AP267" s="119"/>
      <c r="AQ267" s="119"/>
      <c r="AR267" s="119"/>
      <c r="AS267" s="119"/>
      <c r="AT267" s="119"/>
      <c r="AU267" s="119"/>
      <c r="AV267" s="119"/>
      <c r="AW267" s="119"/>
      <c r="AX267" s="119"/>
      <c r="AY267" s="119"/>
      <c r="AZ267" s="119"/>
      <c r="BA267" s="119"/>
      <c r="BB267" s="119"/>
      <c r="BC267" s="119"/>
      <c r="BD267" s="119"/>
      <c r="BE267" s="5">
        <f>SUM(MC_2[[#This Row],[IS1Inv1M1]:[IS9Inv19M2]])</f>
        <v>0</v>
      </c>
      <c r="BF267" s="119"/>
      <c r="BG267" s="119"/>
      <c r="BH267" s="119"/>
      <c r="BI267" s="119"/>
      <c r="BJ267" s="119"/>
      <c r="BK267" s="119"/>
      <c r="BL267" s="121"/>
    </row>
    <row r="268" spans="1:64">
      <c r="A268" s="119">
        <v>266</v>
      </c>
      <c r="B268" s="113">
        <f t="shared" si="4"/>
        <v>45588</v>
      </c>
      <c r="C268" s="114">
        <f>YEAR(MC_2[[#This Row],[Date]])+IF(MONTH(MC_2[[#This Row],[Date]])&gt;=4,1,0)</f>
        <v>2025</v>
      </c>
      <c r="D268" s="115">
        <f>YEAR(MC_2[[#This Row],[Date]])</f>
        <v>2024</v>
      </c>
      <c r="E268" s="112" t="s">
        <v>340</v>
      </c>
      <c r="F268" s="112" t="s">
        <v>340</v>
      </c>
      <c r="G268" s="116" t="str">
        <f>TEXT(MC_2[[#This Row],[Date]],"mmm-yy")</f>
        <v>Oct-24</v>
      </c>
      <c r="H268" s="116">
        <f>DAY(EOMONTH(MC_2[[#This Row],[Month Year]],0))</f>
        <v>31</v>
      </c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119"/>
      <c r="AN268" s="119"/>
      <c r="AO268" s="119"/>
      <c r="AP268" s="119"/>
      <c r="AQ268" s="119"/>
      <c r="AR268" s="119"/>
      <c r="AS268" s="119"/>
      <c r="AT268" s="119"/>
      <c r="AU268" s="119"/>
      <c r="AV268" s="119"/>
      <c r="AW268" s="119"/>
      <c r="AX268" s="119"/>
      <c r="AY268" s="119"/>
      <c r="AZ268" s="119"/>
      <c r="BA268" s="119"/>
      <c r="BB268" s="119"/>
      <c r="BC268" s="119"/>
      <c r="BD268" s="119"/>
      <c r="BE268" s="5">
        <f>SUM(MC_2[[#This Row],[IS1Inv1M1]:[IS9Inv19M2]])</f>
        <v>0</v>
      </c>
      <c r="BF268" s="119"/>
      <c r="BG268" s="119"/>
      <c r="BH268" s="119"/>
      <c r="BI268" s="119"/>
      <c r="BJ268" s="119"/>
      <c r="BK268" s="119"/>
      <c r="BL268" s="121"/>
    </row>
    <row r="269" spans="1:64">
      <c r="A269" s="119">
        <v>267</v>
      </c>
      <c r="B269" s="113">
        <f t="shared" si="4"/>
        <v>45589</v>
      </c>
      <c r="C269" s="114">
        <f>YEAR(MC_2[[#This Row],[Date]])+IF(MONTH(MC_2[[#This Row],[Date]])&gt;=4,1,0)</f>
        <v>2025</v>
      </c>
      <c r="D269" s="115">
        <f>YEAR(MC_2[[#This Row],[Date]])</f>
        <v>2024</v>
      </c>
      <c r="E269" s="112" t="s">
        <v>340</v>
      </c>
      <c r="F269" s="112" t="s">
        <v>340</v>
      </c>
      <c r="G269" s="116" t="str">
        <f>TEXT(MC_2[[#This Row],[Date]],"mmm-yy")</f>
        <v>Oct-24</v>
      </c>
      <c r="H269" s="116">
        <f>DAY(EOMONTH(MC_2[[#This Row],[Month Year]],0))</f>
        <v>31</v>
      </c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19"/>
      <c r="AZ269" s="119"/>
      <c r="BA269" s="119"/>
      <c r="BB269" s="119"/>
      <c r="BC269" s="119"/>
      <c r="BD269" s="119"/>
      <c r="BE269" s="5">
        <f>SUM(MC_2[[#This Row],[IS1Inv1M1]:[IS9Inv19M2]])</f>
        <v>0</v>
      </c>
      <c r="BF269" s="119"/>
      <c r="BG269" s="119"/>
      <c r="BH269" s="119"/>
      <c r="BI269" s="119"/>
      <c r="BJ269" s="119"/>
      <c r="BK269" s="119"/>
      <c r="BL269" s="121"/>
    </row>
    <row r="270" spans="1:64">
      <c r="A270" s="119">
        <v>268</v>
      </c>
      <c r="B270" s="113">
        <f t="shared" si="4"/>
        <v>45590</v>
      </c>
      <c r="C270" s="114">
        <f>YEAR(MC_2[[#This Row],[Date]])+IF(MONTH(MC_2[[#This Row],[Date]])&gt;=4,1,0)</f>
        <v>2025</v>
      </c>
      <c r="D270" s="115">
        <f>YEAR(MC_2[[#This Row],[Date]])</f>
        <v>2024</v>
      </c>
      <c r="E270" s="112" t="s">
        <v>340</v>
      </c>
      <c r="F270" s="112" t="s">
        <v>340</v>
      </c>
      <c r="G270" s="116" t="str">
        <f>TEXT(MC_2[[#This Row],[Date]],"mmm-yy")</f>
        <v>Oct-24</v>
      </c>
      <c r="H270" s="116">
        <f>DAY(EOMONTH(MC_2[[#This Row],[Month Year]],0))</f>
        <v>31</v>
      </c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  <c r="AU270" s="119"/>
      <c r="AV270" s="119"/>
      <c r="AW270" s="119"/>
      <c r="AX270" s="119"/>
      <c r="AY270" s="119"/>
      <c r="AZ270" s="119"/>
      <c r="BA270" s="119"/>
      <c r="BB270" s="119"/>
      <c r="BC270" s="119"/>
      <c r="BD270" s="119"/>
      <c r="BE270" s="5">
        <f>SUM(MC_2[[#This Row],[IS1Inv1M1]:[IS9Inv19M2]])</f>
        <v>0</v>
      </c>
      <c r="BF270" s="119"/>
      <c r="BG270" s="119"/>
      <c r="BH270" s="119"/>
      <c r="BI270" s="119"/>
      <c r="BJ270" s="119"/>
      <c r="BK270" s="119"/>
      <c r="BL270" s="121"/>
    </row>
    <row r="271" spans="1:64">
      <c r="A271" s="119">
        <v>269</v>
      </c>
      <c r="B271" s="113">
        <f t="shared" si="4"/>
        <v>45591</v>
      </c>
      <c r="C271" s="114">
        <f>YEAR(MC_2[[#This Row],[Date]])+IF(MONTH(MC_2[[#This Row],[Date]])&gt;=4,1,0)</f>
        <v>2025</v>
      </c>
      <c r="D271" s="115">
        <f>YEAR(MC_2[[#This Row],[Date]])</f>
        <v>2024</v>
      </c>
      <c r="E271" s="112" t="s">
        <v>340</v>
      </c>
      <c r="F271" s="112" t="s">
        <v>340</v>
      </c>
      <c r="G271" s="116" t="str">
        <f>TEXT(MC_2[[#This Row],[Date]],"mmm-yy")</f>
        <v>Oct-24</v>
      </c>
      <c r="H271" s="116">
        <f>DAY(EOMONTH(MC_2[[#This Row],[Month Year]],0))</f>
        <v>31</v>
      </c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19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  <c r="AU271" s="119"/>
      <c r="AV271" s="119"/>
      <c r="AW271" s="119"/>
      <c r="AX271" s="119"/>
      <c r="AY271" s="119"/>
      <c r="AZ271" s="119"/>
      <c r="BA271" s="119"/>
      <c r="BB271" s="119"/>
      <c r="BC271" s="119"/>
      <c r="BD271" s="119"/>
      <c r="BE271" s="5">
        <f>SUM(MC_2[[#This Row],[IS1Inv1M1]:[IS9Inv19M2]])</f>
        <v>0</v>
      </c>
      <c r="BF271" s="119"/>
      <c r="BG271" s="119"/>
      <c r="BH271" s="119"/>
      <c r="BI271" s="119"/>
      <c r="BJ271" s="119"/>
      <c r="BK271" s="119"/>
      <c r="BL271" s="121"/>
    </row>
    <row r="272" spans="1:64">
      <c r="A272" s="119">
        <v>270</v>
      </c>
      <c r="B272" s="113">
        <f t="shared" si="4"/>
        <v>45592</v>
      </c>
      <c r="C272" s="114">
        <f>YEAR(MC_2[[#This Row],[Date]])+IF(MONTH(MC_2[[#This Row],[Date]])&gt;=4,1,0)</f>
        <v>2025</v>
      </c>
      <c r="D272" s="115">
        <f>YEAR(MC_2[[#This Row],[Date]])</f>
        <v>2024</v>
      </c>
      <c r="E272" s="112" t="s">
        <v>340</v>
      </c>
      <c r="F272" s="112" t="s">
        <v>340</v>
      </c>
      <c r="G272" s="116" t="str">
        <f>TEXT(MC_2[[#This Row],[Date]],"mmm-yy")</f>
        <v>Oct-24</v>
      </c>
      <c r="H272" s="116">
        <f>DAY(EOMONTH(MC_2[[#This Row],[Month Year]],0))</f>
        <v>31</v>
      </c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  <c r="AU272" s="119"/>
      <c r="AV272" s="119"/>
      <c r="AW272" s="119"/>
      <c r="AX272" s="119"/>
      <c r="AY272" s="119"/>
      <c r="AZ272" s="119"/>
      <c r="BA272" s="119"/>
      <c r="BB272" s="119"/>
      <c r="BC272" s="119"/>
      <c r="BD272" s="119"/>
      <c r="BE272" s="5">
        <f>SUM(MC_2[[#This Row],[IS1Inv1M1]:[IS9Inv19M2]])</f>
        <v>0</v>
      </c>
      <c r="BF272" s="119"/>
      <c r="BG272" s="119"/>
      <c r="BH272" s="119"/>
      <c r="BI272" s="119"/>
      <c r="BJ272" s="119"/>
      <c r="BK272" s="119"/>
      <c r="BL272" s="121"/>
    </row>
    <row r="273" spans="1:64">
      <c r="A273" s="119">
        <v>271</v>
      </c>
      <c r="B273" s="113">
        <f t="shared" si="4"/>
        <v>45593</v>
      </c>
      <c r="C273" s="114">
        <f>YEAR(MC_2[[#This Row],[Date]])+IF(MONTH(MC_2[[#This Row],[Date]])&gt;=4,1,0)</f>
        <v>2025</v>
      </c>
      <c r="D273" s="115">
        <f>YEAR(MC_2[[#This Row],[Date]])</f>
        <v>2024</v>
      </c>
      <c r="E273" s="112" t="s">
        <v>340</v>
      </c>
      <c r="F273" s="112" t="s">
        <v>340</v>
      </c>
      <c r="G273" s="116" t="str">
        <f>TEXT(MC_2[[#This Row],[Date]],"mmm-yy")</f>
        <v>Oct-24</v>
      </c>
      <c r="H273" s="116">
        <f>DAY(EOMONTH(MC_2[[#This Row],[Month Year]],0))</f>
        <v>31</v>
      </c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  <c r="AU273" s="119"/>
      <c r="AV273" s="119"/>
      <c r="AW273" s="119"/>
      <c r="AX273" s="119"/>
      <c r="AY273" s="119"/>
      <c r="AZ273" s="119"/>
      <c r="BA273" s="119"/>
      <c r="BB273" s="119"/>
      <c r="BC273" s="119"/>
      <c r="BD273" s="119"/>
      <c r="BE273" s="5">
        <f>SUM(MC_2[[#This Row],[IS1Inv1M1]:[IS9Inv19M2]])</f>
        <v>0</v>
      </c>
      <c r="BF273" s="119"/>
      <c r="BG273" s="119"/>
      <c r="BH273" s="119"/>
      <c r="BI273" s="119"/>
      <c r="BJ273" s="119"/>
      <c r="BK273" s="119"/>
      <c r="BL273" s="121"/>
    </row>
    <row r="274" spans="1:64">
      <c r="A274" s="119">
        <v>272</v>
      </c>
      <c r="B274" s="113">
        <f t="shared" si="4"/>
        <v>45594</v>
      </c>
      <c r="C274" s="114">
        <f>YEAR(MC_2[[#This Row],[Date]])+IF(MONTH(MC_2[[#This Row],[Date]])&gt;=4,1,0)</f>
        <v>2025</v>
      </c>
      <c r="D274" s="115">
        <f>YEAR(MC_2[[#This Row],[Date]])</f>
        <v>2024</v>
      </c>
      <c r="E274" s="112" t="s">
        <v>340</v>
      </c>
      <c r="F274" s="112" t="s">
        <v>340</v>
      </c>
      <c r="G274" s="116" t="str">
        <f>TEXT(MC_2[[#This Row],[Date]],"mmm-yy")</f>
        <v>Oct-24</v>
      </c>
      <c r="H274" s="116">
        <f>DAY(EOMONTH(MC_2[[#This Row],[Month Year]],0))</f>
        <v>31</v>
      </c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  <c r="AU274" s="119"/>
      <c r="AV274" s="119"/>
      <c r="AW274" s="119"/>
      <c r="AX274" s="119"/>
      <c r="AY274" s="119"/>
      <c r="AZ274" s="119"/>
      <c r="BA274" s="119"/>
      <c r="BB274" s="119"/>
      <c r="BC274" s="119"/>
      <c r="BD274" s="119"/>
      <c r="BE274" s="5">
        <f>SUM(MC_2[[#This Row],[IS1Inv1M1]:[IS9Inv19M2]])</f>
        <v>0</v>
      </c>
      <c r="BF274" s="119"/>
      <c r="BG274" s="119"/>
      <c r="BH274" s="119"/>
      <c r="BI274" s="119"/>
      <c r="BJ274" s="119"/>
      <c r="BK274" s="119"/>
      <c r="BL274" s="121"/>
    </row>
    <row r="275" spans="1:64">
      <c r="A275" s="119">
        <v>273</v>
      </c>
      <c r="B275" s="113">
        <f t="shared" si="4"/>
        <v>45595</v>
      </c>
      <c r="C275" s="114">
        <f>YEAR(MC_2[[#This Row],[Date]])+IF(MONTH(MC_2[[#This Row],[Date]])&gt;=4,1,0)</f>
        <v>2025</v>
      </c>
      <c r="D275" s="115">
        <f>YEAR(MC_2[[#This Row],[Date]])</f>
        <v>2024</v>
      </c>
      <c r="E275" s="112" t="s">
        <v>340</v>
      </c>
      <c r="F275" s="112" t="s">
        <v>340</v>
      </c>
      <c r="G275" s="116" t="str">
        <f>TEXT(MC_2[[#This Row],[Date]],"mmm-yy")</f>
        <v>Oct-24</v>
      </c>
      <c r="H275" s="116">
        <f>DAY(EOMONTH(MC_2[[#This Row],[Month Year]],0))</f>
        <v>31</v>
      </c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2"/>
      <c r="AN275" s="112"/>
      <c r="AO275" s="112"/>
      <c r="AP275" s="112"/>
      <c r="AQ275" s="112"/>
      <c r="AR275" s="112"/>
      <c r="AS275" s="112"/>
      <c r="AT275" s="112"/>
      <c r="AU275" s="112"/>
      <c r="AV275" s="112"/>
      <c r="AW275" s="112"/>
      <c r="AX275" s="112"/>
      <c r="AY275" s="112"/>
      <c r="AZ275" s="112"/>
      <c r="BA275" s="112"/>
      <c r="BB275" s="112"/>
      <c r="BC275" s="112"/>
      <c r="BD275" s="112"/>
      <c r="BE275" s="5">
        <f>SUM(MC_2[[#This Row],[IS1Inv1M1]:[IS9Inv19M2]])</f>
        <v>0</v>
      </c>
      <c r="BF275" s="119"/>
      <c r="BG275" s="119"/>
      <c r="BH275" s="119"/>
      <c r="BI275" s="119"/>
      <c r="BJ275" s="119"/>
      <c r="BK275" s="119"/>
      <c r="BL275" s="121"/>
    </row>
    <row r="276" spans="1:64">
      <c r="A276" s="119">
        <v>274</v>
      </c>
      <c r="B276" s="113">
        <f t="shared" si="4"/>
        <v>45596</v>
      </c>
      <c r="C276" s="114">
        <f>YEAR(MC_2[[#This Row],[Date]])+IF(MONTH(MC_2[[#This Row],[Date]])&gt;=4,1,0)</f>
        <v>2025</v>
      </c>
      <c r="D276" s="115">
        <f>YEAR(MC_2[[#This Row],[Date]])</f>
        <v>2024</v>
      </c>
      <c r="E276" s="112" t="s">
        <v>340</v>
      </c>
      <c r="F276" s="112" t="s">
        <v>340</v>
      </c>
      <c r="G276" s="116" t="str">
        <f>TEXT(MC_2[[#This Row],[Date]],"mmm-yy")</f>
        <v>Oct-24</v>
      </c>
      <c r="H276" s="116">
        <f>DAY(EOMONTH(MC_2[[#This Row],[Month Year]],0))</f>
        <v>31</v>
      </c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  <c r="AU276" s="119"/>
      <c r="AV276" s="119"/>
      <c r="AW276" s="119"/>
      <c r="AX276" s="119"/>
      <c r="AY276" s="119"/>
      <c r="AZ276" s="119"/>
      <c r="BA276" s="119"/>
      <c r="BB276" s="119"/>
      <c r="BC276" s="119"/>
      <c r="BD276" s="119"/>
      <c r="BE276" s="5">
        <f>SUM(MC_2[[#This Row],[IS1Inv1M1]:[IS9Inv19M2]])</f>
        <v>0</v>
      </c>
      <c r="BF276" s="119"/>
      <c r="BG276" s="119"/>
      <c r="BH276" s="119"/>
      <c r="BI276" s="119"/>
      <c r="BJ276" s="119"/>
      <c r="BK276" s="119"/>
      <c r="BL276" s="121"/>
    </row>
    <row r="277" spans="1:64">
      <c r="A277" s="119">
        <v>275</v>
      </c>
      <c r="B277" s="113">
        <f t="shared" si="4"/>
        <v>45597</v>
      </c>
      <c r="C277" s="114">
        <f>YEAR(MC_2[[#This Row],[Date]])+IF(MONTH(MC_2[[#This Row],[Date]])&gt;=4,1,0)</f>
        <v>2025</v>
      </c>
      <c r="D277" s="115">
        <f>YEAR(MC_2[[#This Row],[Date]])</f>
        <v>2024</v>
      </c>
      <c r="E277" s="112" t="s">
        <v>340</v>
      </c>
      <c r="F277" s="112" t="s">
        <v>340</v>
      </c>
      <c r="G277" s="116" t="str">
        <f>TEXT(MC_2[[#This Row],[Date]],"mmm-yy")</f>
        <v>Nov-24</v>
      </c>
      <c r="H277" s="116">
        <f>DAY(EOMONTH(MC_2[[#This Row],[Month Year]],0))</f>
        <v>30</v>
      </c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  <c r="AU277" s="119"/>
      <c r="AV277" s="119"/>
      <c r="AW277" s="119"/>
      <c r="AX277" s="119"/>
      <c r="AY277" s="119"/>
      <c r="AZ277" s="119"/>
      <c r="BA277" s="119"/>
      <c r="BB277" s="119"/>
      <c r="BC277" s="119"/>
      <c r="BD277" s="119"/>
      <c r="BE277" s="5">
        <f>SUM(MC_2[[#This Row],[IS1Inv1M1]:[IS9Inv19M2]])</f>
        <v>0</v>
      </c>
      <c r="BF277" s="119"/>
      <c r="BG277" s="119"/>
      <c r="BH277" s="119"/>
      <c r="BI277" s="119"/>
      <c r="BJ277" s="119"/>
      <c r="BK277" s="119"/>
      <c r="BL277" s="121"/>
    </row>
    <row r="278" spans="1:64">
      <c r="A278" s="119">
        <v>276</v>
      </c>
      <c r="B278" s="113">
        <f t="shared" si="4"/>
        <v>45598</v>
      </c>
      <c r="C278" s="114">
        <f>YEAR(MC_2[[#This Row],[Date]])+IF(MONTH(MC_2[[#This Row],[Date]])&gt;=4,1,0)</f>
        <v>2025</v>
      </c>
      <c r="D278" s="115">
        <f>YEAR(MC_2[[#This Row],[Date]])</f>
        <v>2024</v>
      </c>
      <c r="E278" s="112" t="s">
        <v>340</v>
      </c>
      <c r="F278" s="112" t="s">
        <v>340</v>
      </c>
      <c r="G278" s="116" t="str">
        <f>TEXT(MC_2[[#This Row],[Date]],"mmm-yy")</f>
        <v>Nov-24</v>
      </c>
      <c r="H278" s="116">
        <f>DAY(EOMONTH(MC_2[[#This Row],[Month Year]],0))</f>
        <v>30</v>
      </c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  <c r="AU278" s="119"/>
      <c r="AV278" s="119"/>
      <c r="AW278" s="119"/>
      <c r="AX278" s="119"/>
      <c r="AY278" s="119"/>
      <c r="AZ278" s="119"/>
      <c r="BA278" s="119"/>
      <c r="BB278" s="119"/>
      <c r="BC278" s="119"/>
      <c r="BD278" s="119"/>
      <c r="BE278" s="5">
        <f>SUM(MC_2[[#This Row],[IS1Inv1M1]:[IS9Inv19M2]])</f>
        <v>0</v>
      </c>
      <c r="BF278" s="119"/>
      <c r="BG278" s="119"/>
      <c r="BH278" s="119"/>
      <c r="BI278" s="119"/>
      <c r="BJ278" s="119"/>
      <c r="BK278" s="119"/>
      <c r="BL278" s="121"/>
    </row>
    <row r="279" spans="1:64">
      <c r="A279" s="119">
        <v>277</v>
      </c>
      <c r="B279" s="113">
        <f t="shared" si="4"/>
        <v>45599</v>
      </c>
      <c r="C279" s="114">
        <f>YEAR(MC_2[[#This Row],[Date]])+IF(MONTH(MC_2[[#This Row],[Date]])&gt;=4,1,0)</f>
        <v>2025</v>
      </c>
      <c r="D279" s="115">
        <f>YEAR(MC_2[[#This Row],[Date]])</f>
        <v>2024</v>
      </c>
      <c r="E279" s="112" t="s">
        <v>340</v>
      </c>
      <c r="F279" s="112" t="s">
        <v>340</v>
      </c>
      <c r="G279" s="116" t="str">
        <f>TEXT(MC_2[[#This Row],[Date]],"mmm-yy")</f>
        <v>Nov-24</v>
      </c>
      <c r="H279" s="116">
        <f>DAY(EOMONTH(MC_2[[#This Row],[Month Year]],0))</f>
        <v>30</v>
      </c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  <c r="AU279" s="119"/>
      <c r="AV279" s="119"/>
      <c r="AW279" s="119"/>
      <c r="AX279" s="119"/>
      <c r="AY279" s="119"/>
      <c r="AZ279" s="119"/>
      <c r="BA279" s="119"/>
      <c r="BB279" s="119"/>
      <c r="BC279" s="119"/>
      <c r="BD279" s="119"/>
      <c r="BE279" s="5">
        <f>SUM(MC_2[[#This Row],[IS1Inv1M1]:[IS9Inv19M2]])</f>
        <v>0</v>
      </c>
      <c r="BF279" s="119"/>
      <c r="BG279" s="119"/>
      <c r="BH279" s="119"/>
      <c r="BI279" s="119"/>
      <c r="BJ279" s="119"/>
      <c r="BK279" s="119"/>
      <c r="BL279" s="121"/>
    </row>
    <row r="280" spans="1:64">
      <c r="A280" s="119">
        <v>278</v>
      </c>
      <c r="B280" s="113">
        <f t="shared" si="4"/>
        <v>45600</v>
      </c>
      <c r="C280" s="114">
        <f>YEAR(MC_2[[#This Row],[Date]])+IF(MONTH(MC_2[[#This Row],[Date]])&gt;=4,1,0)</f>
        <v>2025</v>
      </c>
      <c r="D280" s="115">
        <f>YEAR(MC_2[[#This Row],[Date]])</f>
        <v>2024</v>
      </c>
      <c r="E280" s="112" t="s">
        <v>340</v>
      </c>
      <c r="F280" s="112" t="s">
        <v>340</v>
      </c>
      <c r="G280" s="116" t="str">
        <f>TEXT(MC_2[[#This Row],[Date]],"mmm-yy")</f>
        <v>Nov-24</v>
      </c>
      <c r="H280" s="116">
        <f>DAY(EOMONTH(MC_2[[#This Row],[Month Year]],0))</f>
        <v>30</v>
      </c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  <c r="AU280" s="119"/>
      <c r="AV280" s="119"/>
      <c r="AW280" s="119"/>
      <c r="AX280" s="119"/>
      <c r="AY280" s="119"/>
      <c r="AZ280" s="119"/>
      <c r="BA280" s="119"/>
      <c r="BB280" s="119"/>
      <c r="BC280" s="119"/>
      <c r="BD280" s="119"/>
      <c r="BE280" s="5">
        <f>SUM(MC_2[[#This Row],[IS1Inv1M1]:[IS9Inv19M2]])</f>
        <v>0</v>
      </c>
      <c r="BF280" s="119"/>
      <c r="BG280" s="119"/>
      <c r="BH280" s="119"/>
      <c r="BI280" s="119"/>
      <c r="BJ280" s="119"/>
      <c r="BK280" s="119"/>
      <c r="BL280" s="121"/>
    </row>
    <row r="281" spans="1:64">
      <c r="A281" s="119">
        <v>279</v>
      </c>
      <c r="B281" s="113">
        <f t="shared" si="4"/>
        <v>45601</v>
      </c>
      <c r="C281" s="114">
        <f>YEAR(MC_2[[#This Row],[Date]])+IF(MONTH(MC_2[[#This Row],[Date]])&gt;=4,1,0)</f>
        <v>2025</v>
      </c>
      <c r="D281" s="115">
        <f>YEAR(MC_2[[#This Row],[Date]])</f>
        <v>2024</v>
      </c>
      <c r="E281" s="112" t="s">
        <v>340</v>
      </c>
      <c r="F281" s="112" t="s">
        <v>340</v>
      </c>
      <c r="G281" s="116" t="str">
        <f>TEXT(MC_2[[#This Row],[Date]],"mmm-yy")</f>
        <v>Nov-24</v>
      </c>
      <c r="H281" s="116">
        <f>DAY(EOMONTH(MC_2[[#This Row],[Month Year]],0))</f>
        <v>30</v>
      </c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119"/>
      <c r="AZ281" s="119"/>
      <c r="BA281" s="119"/>
      <c r="BB281" s="119"/>
      <c r="BC281" s="119"/>
      <c r="BD281" s="119"/>
      <c r="BE281" s="5">
        <f>SUM(MC_2[[#This Row],[IS1Inv1M1]:[IS9Inv19M2]])</f>
        <v>0</v>
      </c>
      <c r="BF281" s="119"/>
      <c r="BG281" s="119"/>
      <c r="BH281" s="119"/>
      <c r="BI281" s="119"/>
      <c r="BJ281" s="119"/>
      <c r="BK281" s="119"/>
      <c r="BL281" s="121"/>
    </row>
    <row r="282" spans="1:64">
      <c r="A282" s="119">
        <v>280</v>
      </c>
      <c r="B282" s="113">
        <f t="shared" si="4"/>
        <v>45602</v>
      </c>
      <c r="C282" s="114">
        <f>YEAR(MC_2[[#This Row],[Date]])+IF(MONTH(MC_2[[#This Row],[Date]])&gt;=4,1,0)</f>
        <v>2025</v>
      </c>
      <c r="D282" s="115">
        <f>YEAR(MC_2[[#This Row],[Date]])</f>
        <v>2024</v>
      </c>
      <c r="E282" s="112" t="s">
        <v>340</v>
      </c>
      <c r="F282" s="112" t="s">
        <v>340</v>
      </c>
      <c r="G282" s="116" t="str">
        <f>TEXT(MC_2[[#This Row],[Date]],"mmm-yy")</f>
        <v>Nov-24</v>
      </c>
      <c r="H282" s="116">
        <f>DAY(EOMONTH(MC_2[[#This Row],[Month Year]],0))</f>
        <v>30</v>
      </c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119"/>
      <c r="AZ282" s="119"/>
      <c r="BA282" s="119"/>
      <c r="BB282" s="119"/>
      <c r="BC282" s="119"/>
      <c r="BD282" s="119"/>
      <c r="BE282" s="5">
        <f>SUM(MC_2[[#This Row],[IS1Inv1M1]:[IS9Inv19M2]])</f>
        <v>0</v>
      </c>
      <c r="BF282" s="119"/>
      <c r="BG282" s="119"/>
      <c r="BH282" s="119"/>
      <c r="BI282" s="119"/>
      <c r="BJ282" s="119"/>
      <c r="BK282" s="119"/>
      <c r="BL282" s="121"/>
    </row>
    <row r="283" spans="1:64">
      <c r="A283" s="119">
        <v>281</v>
      </c>
      <c r="B283" s="113">
        <f t="shared" si="4"/>
        <v>45603</v>
      </c>
      <c r="C283" s="114">
        <f>YEAR(MC_2[[#This Row],[Date]])+IF(MONTH(MC_2[[#This Row],[Date]])&gt;=4,1,0)</f>
        <v>2025</v>
      </c>
      <c r="D283" s="115">
        <f>YEAR(MC_2[[#This Row],[Date]])</f>
        <v>2024</v>
      </c>
      <c r="E283" s="112" t="s">
        <v>340</v>
      </c>
      <c r="F283" s="112" t="s">
        <v>340</v>
      </c>
      <c r="G283" s="116" t="str">
        <f>TEXT(MC_2[[#This Row],[Date]],"mmm-yy")</f>
        <v>Nov-24</v>
      </c>
      <c r="H283" s="116">
        <f>DAY(EOMONTH(MC_2[[#This Row],[Month Year]],0))</f>
        <v>30</v>
      </c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119"/>
      <c r="AZ283" s="119"/>
      <c r="BA283" s="119"/>
      <c r="BB283" s="119"/>
      <c r="BC283" s="119"/>
      <c r="BD283" s="119"/>
      <c r="BE283" s="5">
        <f>SUM(MC_2[[#This Row],[IS1Inv1M1]:[IS9Inv19M2]])</f>
        <v>0</v>
      </c>
      <c r="BF283" s="119"/>
      <c r="BG283" s="119"/>
      <c r="BH283" s="119"/>
      <c r="BI283" s="119"/>
      <c r="BJ283" s="119"/>
      <c r="BK283" s="119"/>
      <c r="BL283" s="121"/>
    </row>
    <row r="284" spans="1:64">
      <c r="A284" s="119">
        <v>282</v>
      </c>
      <c r="B284" s="113">
        <f t="shared" si="4"/>
        <v>45604</v>
      </c>
      <c r="C284" s="114">
        <f>YEAR(MC_2[[#This Row],[Date]])+IF(MONTH(MC_2[[#This Row],[Date]])&gt;=4,1,0)</f>
        <v>2025</v>
      </c>
      <c r="D284" s="115">
        <f>YEAR(MC_2[[#This Row],[Date]])</f>
        <v>2024</v>
      </c>
      <c r="E284" s="112" t="s">
        <v>340</v>
      </c>
      <c r="F284" s="112" t="s">
        <v>340</v>
      </c>
      <c r="G284" s="116" t="str">
        <f>TEXT(MC_2[[#This Row],[Date]],"mmm-yy")</f>
        <v>Nov-24</v>
      </c>
      <c r="H284" s="116">
        <f>DAY(EOMONTH(MC_2[[#This Row],[Month Year]],0))</f>
        <v>30</v>
      </c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119"/>
      <c r="AZ284" s="119"/>
      <c r="BA284" s="119"/>
      <c r="BB284" s="119"/>
      <c r="BC284" s="119"/>
      <c r="BD284" s="119"/>
      <c r="BE284" s="5">
        <f>SUM(MC_2[[#This Row],[IS1Inv1M1]:[IS9Inv19M2]])</f>
        <v>0</v>
      </c>
      <c r="BF284" s="119"/>
      <c r="BG284" s="119"/>
      <c r="BH284" s="119"/>
      <c r="BI284" s="119"/>
      <c r="BJ284" s="119"/>
      <c r="BK284" s="119"/>
      <c r="BL284" s="121"/>
    </row>
    <row r="285" spans="1:64">
      <c r="A285" s="119">
        <v>283</v>
      </c>
      <c r="B285" s="113">
        <f t="shared" si="4"/>
        <v>45605</v>
      </c>
      <c r="C285" s="114">
        <f>YEAR(MC_2[[#This Row],[Date]])+IF(MONTH(MC_2[[#This Row],[Date]])&gt;=4,1,0)</f>
        <v>2025</v>
      </c>
      <c r="D285" s="115">
        <f>YEAR(MC_2[[#This Row],[Date]])</f>
        <v>2024</v>
      </c>
      <c r="E285" s="112" t="s">
        <v>340</v>
      </c>
      <c r="F285" s="112" t="s">
        <v>340</v>
      </c>
      <c r="G285" s="116" t="str">
        <f>TEXT(MC_2[[#This Row],[Date]],"mmm-yy")</f>
        <v>Nov-24</v>
      </c>
      <c r="H285" s="116">
        <f>DAY(EOMONTH(MC_2[[#This Row],[Month Year]],0))</f>
        <v>30</v>
      </c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119"/>
      <c r="AZ285" s="119"/>
      <c r="BA285" s="119"/>
      <c r="BB285" s="119"/>
      <c r="BC285" s="119"/>
      <c r="BD285" s="119"/>
      <c r="BE285" s="5">
        <f>SUM(MC_2[[#This Row],[IS1Inv1M1]:[IS9Inv19M2]])</f>
        <v>0</v>
      </c>
      <c r="BF285" s="119"/>
      <c r="BG285" s="119"/>
      <c r="BH285" s="119"/>
      <c r="BI285" s="119"/>
      <c r="BJ285" s="119"/>
      <c r="BK285" s="119"/>
      <c r="BL285" s="121"/>
    </row>
    <row r="286" spans="1:64">
      <c r="A286" s="119">
        <v>284</v>
      </c>
      <c r="B286" s="113">
        <f t="shared" si="4"/>
        <v>45606</v>
      </c>
      <c r="C286" s="114">
        <f>YEAR(MC_2[[#This Row],[Date]])+IF(MONTH(MC_2[[#This Row],[Date]])&gt;=4,1,0)</f>
        <v>2025</v>
      </c>
      <c r="D286" s="115">
        <f>YEAR(MC_2[[#This Row],[Date]])</f>
        <v>2024</v>
      </c>
      <c r="E286" s="112" t="s">
        <v>340</v>
      </c>
      <c r="F286" s="112" t="s">
        <v>340</v>
      </c>
      <c r="G286" s="116" t="str">
        <f>TEXT(MC_2[[#This Row],[Date]],"mmm-yy")</f>
        <v>Nov-24</v>
      </c>
      <c r="H286" s="116">
        <f>DAY(EOMONTH(MC_2[[#This Row],[Month Year]],0))</f>
        <v>30</v>
      </c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119"/>
      <c r="AZ286" s="119"/>
      <c r="BA286" s="119"/>
      <c r="BB286" s="119"/>
      <c r="BC286" s="119"/>
      <c r="BD286" s="119"/>
      <c r="BE286" s="5">
        <f>SUM(MC_2[[#This Row],[IS1Inv1M1]:[IS9Inv19M2]])</f>
        <v>0</v>
      </c>
      <c r="BF286" s="119"/>
      <c r="BG286" s="119"/>
      <c r="BH286" s="119"/>
      <c r="BI286" s="119"/>
      <c r="BJ286" s="119"/>
      <c r="BK286" s="119"/>
      <c r="BL286" s="121"/>
    </row>
    <row r="287" spans="1:64">
      <c r="A287" s="119">
        <v>285</v>
      </c>
      <c r="B287" s="113">
        <f t="shared" si="4"/>
        <v>45607</v>
      </c>
      <c r="C287" s="114">
        <f>YEAR(MC_2[[#This Row],[Date]])+IF(MONTH(MC_2[[#This Row],[Date]])&gt;=4,1,0)</f>
        <v>2025</v>
      </c>
      <c r="D287" s="115">
        <f>YEAR(MC_2[[#This Row],[Date]])</f>
        <v>2024</v>
      </c>
      <c r="E287" s="112" t="s">
        <v>340</v>
      </c>
      <c r="F287" s="112" t="s">
        <v>340</v>
      </c>
      <c r="G287" s="116" t="str">
        <f>TEXT(MC_2[[#This Row],[Date]],"mmm-yy")</f>
        <v>Nov-24</v>
      </c>
      <c r="H287" s="116">
        <f>DAY(EOMONTH(MC_2[[#This Row],[Month Year]],0))</f>
        <v>30</v>
      </c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119"/>
      <c r="AZ287" s="119"/>
      <c r="BA287" s="119"/>
      <c r="BB287" s="119"/>
      <c r="BC287" s="119"/>
      <c r="BD287" s="119"/>
      <c r="BE287" s="5">
        <f>SUM(MC_2[[#This Row],[IS1Inv1M1]:[IS9Inv19M2]])</f>
        <v>0</v>
      </c>
      <c r="BF287" s="119"/>
      <c r="BG287" s="119"/>
      <c r="BH287" s="119"/>
      <c r="BI287" s="119"/>
      <c r="BJ287" s="119"/>
      <c r="BK287" s="119"/>
      <c r="BL287" s="121"/>
    </row>
    <row r="288" spans="1:64">
      <c r="A288" s="119">
        <v>286</v>
      </c>
      <c r="B288" s="113">
        <f t="shared" si="4"/>
        <v>45608</v>
      </c>
      <c r="C288" s="114">
        <f>YEAR(MC_2[[#This Row],[Date]])+IF(MONTH(MC_2[[#This Row],[Date]])&gt;=4,1,0)</f>
        <v>2025</v>
      </c>
      <c r="D288" s="115">
        <f>YEAR(MC_2[[#This Row],[Date]])</f>
        <v>2024</v>
      </c>
      <c r="E288" s="112" t="s">
        <v>340</v>
      </c>
      <c r="F288" s="112" t="s">
        <v>340</v>
      </c>
      <c r="G288" s="116" t="str">
        <f>TEXT(MC_2[[#This Row],[Date]],"mmm-yy")</f>
        <v>Nov-24</v>
      </c>
      <c r="H288" s="116">
        <f>DAY(EOMONTH(MC_2[[#This Row],[Month Year]],0))</f>
        <v>30</v>
      </c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119"/>
      <c r="AZ288" s="119"/>
      <c r="BA288" s="119"/>
      <c r="BB288" s="119"/>
      <c r="BC288" s="119"/>
      <c r="BD288" s="119"/>
      <c r="BE288" s="5">
        <f>SUM(MC_2[[#This Row],[IS1Inv1M1]:[IS9Inv19M2]])</f>
        <v>0</v>
      </c>
      <c r="BF288" s="119"/>
      <c r="BG288" s="119"/>
      <c r="BH288" s="119"/>
      <c r="BI288" s="119"/>
      <c r="BJ288" s="119"/>
      <c r="BK288" s="119"/>
      <c r="BL288" s="121"/>
    </row>
    <row r="289" spans="1:64">
      <c r="A289" s="119">
        <v>287</v>
      </c>
      <c r="B289" s="113">
        <f t="shared" si="4"/>
        <v>45609</v>
      </c>
      <c r="C289" s="114">
        <f>YEAR(MC_2[[#This Row],[Date]])+IF(MONTH(MC_2[[#This Row],[Date]])&gt;=4,1,0)</f>
        <v>2025</v>
      </c>
      <c r="D289" s="115">
        <f>YEAR(MC_2[[#This Row],[Date]])</f>
        <v>2024</v>
      </c>
      <c r="E289" s="112" t="s">
        <v>340</v>
      </c>
      <c r="F289" s="112" t="s">
        <v>340</v>
      </c>
      <c r="G289" s="116" t="str">
        <f>TEXT(MC_2[[#This Row],[Date]],"mmm-yy")</f>
        <v>Nov-24</v>
      </c>
      <c r="H289" s="116">
        <f>DAY(EOMONTH(MC_2[[#This Row],[Month Year]],0))</f>
        <v>30</v>
      </c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19"/>
      <c r="AZ289" s="119"/>
      <c r="BA289" s="119"/>
      <c r="BB289" s="119"/>
      <c r="BC289" s="119"/>
      <c r="BD289" s="119"/>
      <c r="BE289" s="5">
        <f>SUM(MC_2[[#This Row],[IS1Inv1M1]:[IS9Inv19M2]])</f>
        <v>0</v>
      </c>
      <c r="BF289" s="119"/>
      <c r="BG289" s="119"/>
      <c r="BH289" s="119"/>
      <c r="BI289" s="119"/>
      <c r="BJ289" s="119"/>
      <c r="BK289" s="119"/>
      <c r="BL289" s="121"/>
    </row>
    <row r="290" spans="1:64">
      <c r="A290" s="119">
        <v>288</v>
      </c>
      <c r="B290" s="113">
        <f t="shared" si="4"/>
        <v>45610</v>
      </c>
      <c r="C290" s="114">
        <f>YEAR(MC_2[[#This Row],[Date]])+IF(MONTH(MC_2[[#This Row],[Date]])&gt;=4,1,0)</f>
        <v>2025</v>
      </c>
      <c r="D290" s="115">
        <f>YEAR(MC_2[[#This Row],[Date]])</f>
        <v>2024</v>
      </c>
      <c r="E290" s="112" t="s">
        <v>340</v>
      </c>
      <c r="F290" s="112" t="s">
        <v>340</v>
      </c>
      <c r="G290" s="116" t="str">
        <f>TEXT(MC_2[[#This Row],[Date]],"mmm-yy")</f>
        <v>Nov-24</v>
      </c>
      <c r="H290" s="116">
        <f>DAY(EOMONTH(MC_2[[#This Row],[Month Year]],0))</f>
        <v>30</v>
      </c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119"/>
      <c r="AZ290" s="119"/>
      <c r="BA290" s="119"/>
      <c r="BB290" s="119"/>
      <c r="BC290" s="119"/>
      <c r="BD290" s="119"/>
      <c r="BE290" s="5">
        <f>SUM(MC_2[[#This Row],[IS1Inv1M1]:[IS9Inv19M2]])</f>
        <v>0</v>
      </c>
      <c r="BF290" s="119"/>
      <c r="BG290" s="119"/>
      <c r="BH290" s="119"/>
      <c r="BI290" s="119"/>
      <c r="BJ290" s="119"/>
      <c r="BK290" s="119"/>
      <c r="BL290" s="121"/>
    </row>
    <row r="291" spans="1:64">
      <c r="A291" s="119">
        <v>289</v>
      </c>
      <c r="B291" s="113">
        <f t="shared" si="4"/>
        <v>45611</v>
      </c>
      <c r="C291" s="114">
        <f>YEAR(MC_2[[#This Row],[Date]])+IF(MONTH(MC_2[[#This Row],[Date]])&gt;=4,1,0)</f>
        <v>2025</v>
      </c>
      <c r="D291" s="115">
        <f>YEAR(MC_2[[#This Row],[Date]])</f>
        <v>2024</v>
      </c>
      <c r="E291" s="112" t="s">
        <v>340</v>
      </c>
      <c r="F291" s="112" t="s">
        <v>340</v>
      </c>
      <c r="G291" s="116" t="str">
        <f>TEXT(MC_2[[#This Row],[Date]],"mmm-yy")</f>
        <v>Nov-24</v>
      </c>
      <c r="H291" s="116">
        <f>DAY(EOMONTH(MC_2[[#This Row],[Month Year]],0))</f>
        <v>30</v>
      </c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119"/>
      <c r="AZ291" s="119"/>
      <c r="BA291" s="119"/>
      <c r="BB291" s="119"/>
      <c r="BC291" s="119"/>
      <c r="BD291" s="119"/>
      <c r="BE291" s="5">
        <f>SUM(MC_2[[#This Row],[IS1Inv1M1]:[IS9Inv19M2]])</f>
        <v>0</v>
      </c>
      <c r="BF291" s="119"/>
      <c r="BG291" s="119"/>
      <c r="BH291" s="119"/>
      <c r="BI291" s="119"/>
      <c r="BJ291" s="119"/>
      <c r="BK291" s="119"/>
      <c r="BL291" s="121"/>
    </row>
    <row r="292" spans="1:64">
      <c r="A292" s="119">
        <v>290</v>
      </c>
      <c r="B292" s="113">
        <f t="shared" si="4"/>
        <v>45612</v>
      </c>
      <c r="C292" s="114">
        <f>YEAR(MC_2[[#This Row],[Date]])+IF(MONTH(MC_2[[#This Row],[Date]])&gt;=4,1,0)</f>
        <v>2025</v>
      </c>
      <c r="D292" s="115">
        <f>YEAR(MC_2[[#This Row],[Date]])</f>
        <v>2024</v>
      </c>
      <c r="E292" s="112" t="s">
        <v>340</v>
      </c>
      <c r="F292" s="112" t="s">
        <v>340</v>
      </c>
      <c r="G292" s="116" t="str">
        <f>TEXT(MC_2[[#This Row],[Date]],"mmm-yy")</f>
        <v>Nov-24</v>
      </c>
      <c r="H292" s="116">
        <f>DAY(EOMONTH(MC_2[[#This Row],[Month Year]],0))</f>
        <v>30</v>
      </c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2"/>
      <c r="AN292" s="112"/>
      <c r="AO292" s="112"/>
      <c r="AP292" s="112"/>
      <c r="AQ292" s="112"/>
      <c r="AR292" s="112"/>
      <c r="AS292" s="112"/>
      <c r="AT292" s="112"/>
      <c r="AU292" s="112"/>
      <c r="AV292" s="112"/>
      <c r="AW292" s="112"/>
      <c r="AX292" s="112"/>
      <c r="AY292" s="112"/>
      <c r="AZ292" s="112"/>
      <c r="BA292" s="112"/>
      <c r="BB292" s="112"/>
      <c r="BC292" s="112"/>
      <c r="BD292" s="112"/>
      <c r="BE292" s="5">
        <f>SUM(MC_2[[#This Row],[IS1Inv1M1]:[IS9Inv19M2]])</f>
        <v>0</v>
      </c>
      <c r="BF292" s="119"/>
      <c r="BG292" s="119"/>
      <c r="BH292" s="119"/>
      <c r="BI292" s="119"/>
      <c r="BJ292" s="119"/>
      <c r="BK292" s="119"/>
      <c r="BL292" s="121"/>
    </row>
    <row r="293" spans="1:64">
      <c r="A293" s="119">
        <v>291</v>
      </c>
      <c r="B293" s="113">
        <f t="shared" si="4"/>
        <v>45613</v>
      </c>
      <c r="C293" s="114">
        <f>YEAR(MC_2[[#This Row],[Date]])+IF(MONTH(MC_2[[#This Row],[Date]])&gt;=4,1,0)</f>
        <v>2025</v>
      </c>
      <c r="D293" s="115">
        <f>YEAR(MC_2[[#This Row],[Date]])</f>
        <v>2024</v>
      </c>
      <c r="E293" s="112" t="s">
        <v>340</v>
      </c>
      <c r="F293" s="112" t="s">
        <v>340</v>
      </c>
      <c r="G293" s="116" t="str">
        <f>TEXT(MC_2[[#This Row],[Date]],"mmm-yy")</f>
        <v>Nov-24</v>
      </c>
      <c r="H293" s="116">
        <f>DAY(EOMONTH(MC_2[[#This Row],[Month Year]],0))</f>
        <v>30</v>
      </c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119"/>
      <c r="AZ293" s="119"/>
      <c r="BA293" s="119"/>
      <c r="BB293" s="119"/>
      <c r="BC293" s="119"/>
      <c r="BD293" s="119"/>
      <c r="BE293" s="5">
        <f>SUM(MC_2[[#This Row],[IS1Inv1M1]:[IS9Inv19M2]])</f>
        <v>0</v>
      </c>
      <c r="BF293" s="119"/>
      <c r="BG293" s="119"/>
      <c r="BH293" s="119"/>
      <c r="BI293" s="119"/>
      <c r="BJ293" s="119"/>
      <c r="BK293" s="119"/>
      <c r="BL293" s="121"/>
    </row>
    <row r="294" spans="1:64">
      <c r="A294" s="119">
        <v>292</v>
      </c>
      <c r="B294" s="113">
        <f t="shared" si="4"/>
        <v>45614</v>
      </c>
      <c r="C294" s="114">
        <f>YEAR(MC_2[[#This Row],[Date]])+IF(MONTH(MC_2[[#This Row],[Date]])&gt;=4,1,0)</f>
        <v>2025</v>
      </c>
      <c r="D294" s="115">
        <f>YEAR(MC_2[[#This Row],[Date]])</f>
        <v>2024</v>
      </c>
      <c r="E294" s="112" t="s">
        <v>340</v>
      </c>
      <c r="F294" s="112" t="s">
        <v>340</v>
      </c>
      <c r="G294" s="116" t="str">
        <f>TEXT(MC_2[[#This Row],[Date]],"mmm-yy")</f>
        <v>Nov-24</v>
      </c>
      <c r="H294" s="116">
        <f>DAY(EOMONTH(MC_2[[#This Row],[Month Year]],0))</f>
        <v>30</v>
      </c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119"/>
      <c r="AZ294" s="119"/>
      <c r="BA294" s="119"/>
      <c r="BB294" s="119"/>
      <c r="BC294" s="119"/>
      <c r="BD294" s="119"/>
      <c r="BE294" s="5">
        <f>SUM(MC_2[[#This Row],[IS1Inv1M1]:[IS9Inv19M2]])</f>
        <v>0</v>
      </c>
      <c r="BF294" s="119"/>
      <c r="BG294" s="119"/>
      <c r="BH294" s="119"/>
      <c r="BI294" s="119"/>
      <c r="BJ294" s="119"/>
      <c r="BK294" s="119"/>
      <c r="BL294" s="121"/>
    </row>
    <row r="295" spans="1:64">
      <c r="A295" s="119">
        <v>293</v>
      </c>
      <c r="B295" s="113">
        <f t="shared" si="4"/>
        <v>45615</v>
      </c>
      <c r="C295" s="114">
        <f>YEAR(MC_2[[#This Row],[Date]])+IF(MONTH(MC_2[[#This Row],[Date]])&gt;=4,1,0)</f>
        <v>2025</v>
      </c>
      <c r="D295" s="115">
        <f>YEAR(MC_2[[#This Row],[Date]])</f>
        <v>2024</v>
      </c>
      <c r="E295" s="112" t="s">
        <v>340</v>
      </c>
      <c r="F295" s="112" t="s">
        <v>340</v>
      </c>
      <c r="G295" s="116" t="str">
        <f>TEXT(MC_2[[#This Row],[Date]],"mmm-yy")</f>
        <v>Nov-24</v>
      </c>
      <c r="H295" s="116">
        <f>DAY(EOMONTH(MC_2[[#This Row],[Month Year]],0))</f>
        <v>30</v>
      </c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119"/>
      <c r="AZ295" s="119"/>
      <c r="BA295" s="119"/>
      <c r="BB295" s="119"/>
      <c r="BC295" s="119"/>
      <c r="BD295" s="119"/>
      <c r="BE295" s="5">
        <f>SUM(MC_2[[#This Row],[IS1Inv1M1]:[IS9Inv19M2]])</f>
        <v>0</v>
      </c>
      <c r="BF295" s="119"/>
      <c r="BG295" s="119"/>
      <c r="BH295" s="119"/>
      <c r="BI295" s="119"/>
      <c r="BJ295" s="119"/>
      <c r="BK295" s="119"/>
      <c r="BL295" s="121"/>
    </row>
    <row r="296" spans="1:64">
      <c r="A296" s="119">
        <v>294</v>
      </c>
      <c r="B296" s="113">
        <f t="shared" si="4"/>
        <v>45616</v>
      </c>
      <c r="C296" s="114">
        <f>YEAR(MC_2[[#This Row],[Date]])+IF(MONTH(MC_2[[#This Row],[Date]])&gt;=4,1,0)</f>
        <v>2025</v>
      </c>
      <c r="D296" s="115">
        <f>YEAR(MC_2[[#This Row],[Date]])</f>
        <v>2024</v>
      </c>
      <c r="E296" s="112" t="s">
        <v>340</v>
      </c>
      <c r="F296" s="112" t="s">
        <v>340</v>
      </c>
      <c r="G296" s="116" t="str">
        <f>TEXT(MC_2[[#This Row],[Date]],"mmm-yy")</f>
        <v>Nov-24</v>
      </c>
      <c r="H296" s="116">
        <f>DAY(EOMONTH(MC_2[[#This Row],[Month Year]],0))</f>
        <v>30</v>
      </c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119"/>
      <c r="AZ296" s="119"/>
      <c r="BA296" s="119"/>
      <c r="BB296" s="119"/>
      <c r="BC296" s="119"/>
      <c r="BD296" s="119"/>
      <c r="BE296" s="5">
        <f>SUM(MC_2[[#This Row],[IS1Inv1M1]:[IS9Inv19M2]])</f>
        <v>0</v>
      </c>
      <c r="BF296" s="119"/>
      <c r="BG296" s="119"/>
      <c r="BH296" s="119"/>
      <c r="BI296" s="119"/>
      <c r="BJ296" s="119"/>
      <c r="BK296" s="119"/>
      <c r="BL296" s="121"/>
    </row>
    <row r="297" spans="1:64">
      <c r="A297" s="119">
        <v>295</v>
      </c>
      <c r="B297" s="113">
        <f t="shared" si="4"/>
        <v>45617</v>
      </c>
      <c r="C297" s="114">
        <f>YEAR(MC_2[[#This Row],[Date]])+IF(MONTH(MC_2[[#This Row],[Date]])&gt;=4,1,0)</f>
        <v>2025</v>
      </c>
      <c r="D297" s="115">
        <f>YEAR(MC_2[[#This Row],[Date]])</f>
        <v>2024</v>
      </c>
      <c r="E297" s="112" t="s">
        <v>340</v>
      </c>
      <c r="F297" s="112" t="s">
        <v>340</v>
      </c>
      <c r="G297" s="116" t="str">
        <f>TEXT(MC_2[[#This Row],[Date]],"mmm-yy")</f>
        <v>Nov-24</v>
      </c>
      <c r="H297" s="116">
        <f>DAY(EOMONTH(MC_2[[#This Row],[Month Year]],0))</f>
        <v>30</v>
      </c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119"/>
      <c r="AZ297" s="119"/>
      <c r="BA297" s="119"/>
      <c r="BB297" s="119"/>
      <c r="BC297" s="119"/>
      <c r="BD297" s="119"/>
      <c r="BE297" s="5">
        <f>SUM(MC_2[[#This Row],[IS1Inv1M1]:[IS9Inv19M2]])</f>
        <v>0</v>
      </c>
      <c r="BF297" s="119"/>
      <c r="BG297" s="119"/>
      <c r="BH297" s="119"/>
      <c r="BI297" s="119"/>
      <c r="BJ297" s="119"/>
      <c r="BK297" s="119"/>
      <c r="BL297" s="121"/>
    </row>
    <row r="298" spans="1:64">
      <c r="A298" s="119">
        <v>296</v>
      </c>
      <c r="B298" s="113">
        <f t="shared" si="4"/>
        <v>45618</v>
      </c>
      <c r="C298" s="114">
        <f>YEAR(MC_2[[#This Row],[Date]])+IF(MONTH(MC_2[[#This Row],[Date]])&gt;=4,1,0)</f>
        <v>2025</v>
      </c>
      <c r="D298" s="115">
        <f>YEAR(MC_2[[#This Row],[Date]])</f>
        <v>2024</v>
      </c>
      <c r="E298" s="112" t="s">
        <v>340</v>
      </c>
      <c r="F298" s="112" t="s">
        <v>340</v>
      </c>
      <c r="G298" s="116" t="str">
        <f>TEXT(MC_2[[#This Row],[Date]],"mmm-yy")</f>
        <v>Nov-24</v>
      </c>
      <c r="H298" s="116">
        <f>DAY(EOMONTH(MC_2[[#This Row],[Month Year]],0))</f>
        <v>30</v>
      </c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119"/>
      <c r="AZ298" s="119"/>
      <c r="BA298" s="119"/>
      <c r="BB298" s="119"/>
      <c r="BC298" s="119"/>
      <c r="BD298" s="119"/>
      <c r="BE298" s="5">
        <f>SUM(MC_2[[#This Row],[IS1Inv1M1]:[IS9Inv19M2]])</f>
        <v>0</v>
      </c>
      <c r="BF298" s="119"/>
      <c r="BG298" s="119"/>
      <c r="BH298" s="119"/>
      <c r="BI298" s="119"/>
      <c r="BJ298" s="119"/>
      <c r="BK298" s="119"/>
      <c r="BL298" s="121"/>
    </row>
    <row r="299" spans="1:64">
      <c r="A299" s="119">
        <v>297</v>
      </c>
      <c r="B299" s="113">
        <f t="shared" si="4"/>
        <v>45619</v>
      </c>
      <c r="C299" s="114">
        <f>YEAR(MC_2[[#This Row],[Date]])+IF(MONTH(MC_2[[#This Row],[Date]])&gt;=4,1,0)</f>
        <v>2025</v>
      </c>
      <c r="D299" s="115">
        <f>YEAR(MC_2[[#This Row],[Date]])</f>
        <v>2024</v>
      </c>
      <c r="E299" s="112" t="s">
        <v>340</v>
      </c>
      <c r="F299" s="112" t="s">
        <v>340</v>
      </c>
      <c r="G299" s="116" t="str">
        <f>TEXT(MC_2[[#This Row],[Date]],"mmm-yy")</f>
        <v>Nov-24</v>
      </c>
      <c r="H299" s="116">
        <f>DAY(EOMONTH(MC_2[[#This Row],[Month Year]],0))</f>
        <v>30</v>
      </c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119"/>
      <c r="AZ299" s="119"/>
      <c r="BA299" s="119"/>
      <c r="BB299" s="119"/>
      <c r="BC299" s="119"/>
      <c r="BD299" s="119"/>
      <c r="BE299" s="5">
        <f>SUM(MC_2[[#This Row],[IS1Inv1M1]:[IS9Inv19M2]])</f>
        <v>0</v>
      </c>
      <c r="BF299" s="119"/>
      <c r="BG299" s="119"/>
      <c r="BH299" s="119"/>
      <c r="BI299" s="119"/>
      <c r="BJ299" s="119"/>
      <c r="BK299" s="119"/>
      <c r="BL299" s="121"/>
    </row>
    <row r="300" spans="1:64">
      <c r="A300" s="119">
        <v>298</v>
      </c>
      <c r="B300" s="113">
        <f t="shared" si="4"/>
        <v>45620</v>
      </c>
      <c r="C300" s="114">
        <f>YEAR(MC_2[[#This Row],[Date]])+IF(MONTH(MC_2[[#This Row],[Date]])&gt;=4,1,0)</f>
        <v>2025</v>
      </c>
      <c r="D300" s="115">
        <f>YEAR(MC_2[[#This Row],[Date]])</f>
        <v>2024</v>
      </c>
      <c r="E300" s="112" t="s">
        <v>340</v>
      </c>
      <c r="F300" s="112" t="s">
        <v>340</v>
      </c>
      <c r="G300" s="116" t="str">
        <f>TEXT(MC_2[[#This Row],[Date]],"mmm-yy")</f>
        <v>Nov-24</v>
      </c>
      <c r="H300" s="116">
        <f>DAY(EOMONTH(MC_2[[#This Row],[Month Year]],0))</f>
        <v>30</v>
      </c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119"/>
      <c r="AZ300" s="119"/>
      <c r="BA300" s="119"/>
      <c r="BB300" s="119"/>
      <c r="BC300" s="119"/>
      <c r="BD300" s="119"/>
      <c r="BE300" s="5">
        <f>SUM(MC_2[[#This Row],[IS1Inv1M1]:[IS9Inv19M2]])</f>
        <v>0</v>
      </c>
      <c r="BF300" s="119"/>
      <c r="BG300" s="119"/>
      <c r="BH300" s="119"/>
      <c r="BI300" s="119"/>
      <c r="BJ300" s="119"/>
      <c r="BK300" s="119"/>
      <c r="BL300" s="121"/>
    </row>
    <row r="301" spans="1:64">
      <c r="A301" s="119">
        <v>299</v>
      </c>
      <c r="B301" s="113">
        <f t="shared" si="4"/>
        <v>45621</v>
      </c>
      <c r="C301" s="114">
        <f>YEAR(MC_2[[#This Row],[Date]])+IF(MONTH(MC_2[[#This Row],[Date]])&gt;=4,1,0)</f>
        <v>2025</v>
      </c>
      <c r="D301" s="115">
        <f>YEAR(MC_2[[#This Row],[Date]])</f>
        <v>2024</v>
      </c>
      <c r="E301" s="112" t="s">
        <v>340</v>
      </c>
      <c r="F301" s="112" t="s">
        <v>340</v>
      </c>
      <c r="G301" s="116" t="str">
        <f>TEXT(MC_2[[#This Row],[Date]],"mmm-yy")</f>
        <v>Nov-24</v>
      </c>
      <c r="H301" s="116">
        <f>DAY(EOMONTH(MC_2[[#This Row],[Month Year]],0))</f>
        <v>30</v>
      </c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119"/>
      <c r="AZ301" s="119"/>
      <c r="BA301" s="119"/>
      <c r="BB301" s="119"/>
      <c r="BC301" s="119"/>
      <c r="BD301" s="119"/>
      <c r="BE301" s="5">
        <f>SUM(MC_2[[#This Row],[IS1Inv1M1]:[IS9Inv19M2]])</f>
        <v>0</v>
      </c>
      <c r="BF301" s="119"/>
      <c r="BG301" s="119"/>
      <c r="BH301" s="119"/>
      <c r="BI301" s="119"/>
      <c r="BJ301" s="119"/>
      <c r="BK301" s="119"/>
      <c r="BL301" s="121"/>
    </row>
    <row r="302" spans="1:64">
      <c r="A302" s="119">
        <v>300</v>
      </c>
      <c r="B302" s="113">
        <f t="shared" si="4"/>
        <v>45622</v>
      </c>
      <c r="C302" s="114">
        <f>YEAR(MC_2[[#This Row],[Date]])+IF(MONTH(MC_2[[#This Row],[Date]])&gt;=4,1,0)</f>
        <v>2025</v>
      </c>
      <c r="D302" s="115">
        <f>YEAR(MC_2[[#This Row],[Date]])</f>
        <v>2024</v>
      </c>
      <c r="E302" s="112" t="s">
        <v>340</v>
      </c>
      <c r="F302" s="112" t="s">
        <v>340</v>
      </c>
      <c r="G302" s="116" t="str">
        <f>TEXT(MC_2[[#This Row],[Date]],"mmm-yy")</f>
        <v>Nov-24</v>
      </c>
      <c r="H302" s="116">
        <f>DAY(EOMONTH(MC_2[[#This Row],[Month Year]],0))</f>
        <v>30</v>
      </c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119"/>
      <c r="AZ302" s="119"/>
      <c r="BA302" s="119"/>
      <c r="BB302" s="119"/>
      <c r="BC302" s="119"/>
      <c r="BD302" s="119"/>
      <c r="BE302" s="5">
        <f>SUM(MC_2[[#This Row],[IS1Inv1M1]:[IS9Inv19M2]])</f>
        <v>0</v>
      </c>
      <c r="BF302" s="119"/>
      <c r="BG302" s="119"/>
      <c r="BH302" s="119"/>
      <c r="BI302" s="119"/>
      <c r="BJ302" s="119"/>
      <c r="BK302" s="119"/>
      <c r="BL302" s="121"/>
    </row>
    <row r="303" spans="1:64">
      <c r="A303" s="119">
        <v>301</v>
      </c>
      <c r="B303" s="113">
        <f t="shared" si="4"/>
        <v>45623</v>
      </c>
      <c r="C303" s="114">
        <f>YEAR(MC_2[[#This Row],[Date]])+IF(MONTH(MC_2[[#This Row],[Date]])&gt;=4,1,0)</f>
        <v>2025</v>
      </c>
      <c r="D303" s="115">
        <f>YEAR(MC_2[[#This Row],[Date]])</f>
        <v>2024</v>
      </c>
      <c r="E303" s="112" t="s">
        <v>340</v>
      </c>
      <c r="F303" s="112" t="s">
        <v>340</v>
      </c>
      <c r="G303" s="116" t="str">
        <f>TEXT(MC_2[[#This Row],[Date]],"mmm-yy")</f>
        <v>Nov-24</v>
      </c>
      <c r="H303" s="116">
        <f>DAY(EOMONTH(MC_2[[#This Row],[Month Year]],0))</f>
        <v>30</v>
      </c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119"/>
      <c r="AZ303" s="119"/>
      <c r="BA303" s="119"/>
      <c r="BB303" s="119"/>
      <c r="BC303" s="119"/>
      <c r="BD303" s="119"/>
      <c r="BE303" s="5">
        <f>SUM(MC_2[[#This Row],[IS1Inv1M1]:[IS9Inv19M2]])</f>
        <v>0</v>
      </c>
      <c r="BF303" s="119"/>
      <c r="BG303" s="119"/>
      <c r="BH303" s="119"/>
      <c r="BI303" s="119"/>
      <c r="BJ303" s="119"/>
      <c r="BK303" s="119"/>
      <c r="BL303" s="121"/>
    </row>
    <row r="304" spans="1:64">
      <c r="A304" s="119">
        <v>302</v>
      </c>
      <c r="B304" s="113">
        <f t="shared" si="4"/>
        <v>45624</v>
      </c>
      <c r="C304" s="114">
        <f>YEAR(MC_2[[#This Row],[Date]])+IF(MONTH(MC_2[[#This Row],[Date]])&gt;=4,1,0)</f>
        <v>2025</v>
      </c>
      <c r="D304" s="115">
        <f>YEAR(MC_2[[#This Row],[Date]])</f>
        <v>2024</v>
      </c>
      <c r="E304" s="112" t="s">
        <v>340</v>
      </c>
      <c r="F304" s="112" t="s">
        <v>340</v>
      </c>
      <c r="G304" s="116" t="str">
        <f>TEXT(MC_2[[#This Row],[Date]],"mmm-yy")</f>
        <v>Nov-24</v>
      </c>
      <c r="H304" s="116">
        <f>DAY(EOMONTH(MC_2[[#This Row],[Month Year]],0))</f>
        <v>30</v>
      </c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119"/>
      <c r="AZ304" s="119"/>
      <c r="BA304" s="119"/>
      <c r="BB304" s="119"/>
      <c r="BC304" s="119"/>
      <c r="BD304" s="119"/>
      <c r="BE304" s="5">
        <f>SUM(MC_2[[#This Row],[IS1Inv1M1]:[IS9Inv19M2]])</f>
        <v>0</v>
      </c>
      <c r="BF304" s="119"/>
      <c r="BG304" s="119"/>
      <c r="BH304" s="119"/>
      <c r="BI304" s="119"/>
      <c r="BJ304" s="119"/>
      <c r="BK304" s="119"/>
      <c r="BL304" s="121"/>
    </row>
    <row r="305" spans="1:64">
      <c r="A305" s="119">
        <v>303</v>
      </c>
      <c r="B305" s="113">
        <f t="shared" si="4"/>
        <v>45625</v>
      </c>
      <c r="C305" s="114">
        <f>YEAR(MC_2[[#This Row],[Date]])+IF(MONTH(MC_2[[#This Row],[Date]])&gt;=4,1,0)</f>
        <v>2025</v>
      </c>
      <c r="D305" s="115">
        <f>YEAR(MC_2[[#This Row],[Date]])</f>
        <v>2024</v>
      </c>
      <c r="E305" s="112" t="s">
        <v>340</v>
      </c>
      <c r="F305" s="112" t="s">
        <v>340</v>
      </c>
      <c r="G305" s="116" t="str">
        <f>TEXT(MC_2[[#This Row],[Date]],"mmm-yy")</f>
        <v>Nov-24</v>
      </c>
      <c r="H305" s="116">
        <f>DAY(EOMONTH(MC_2[[#This Row],[Month Year]],0))</f>
        <v>30</v>
      </c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119"/>
      <c r="AZ305" s="119"/>
      <c r="BA305" s="119"/>
      <c r="BB305" s="119"/>
      <c r="BC305" s="119"/>
      <c r="BD305" s="119"/>
      <c r="BE305" s="5">
        <f>SUM(MC_2[[#This Row],[IS1Inv1M1]:[IS9Inv19M2]])</f>
        <v>0</v>
      </c>
      <c r="BF305" s="119"/>
      <c r="BG305" s="119"/>
      <c r="BH305" s="119"/>
      <c r="BI305" s="119"/>
      <c r="BJ305" s="119"/>
      <c r="BK305" s="119"/>
      <c r="BL305" s="121"/>
    </row>
    <row r="306" spans="1:64">
      <c r="A306" s="119">
        <v>304</v>
      </c>
      <c r="B306" s="113">
        <f t="shared" si="4"/>
        <v>45626</v>
      </c>
      <c r="C306" s="114">
        <f>YEAR(MC_2[[#This Row],[Date]])+IF(MONTH(MC_2[[#This Row],[Date]])&gt;=4,1,0)</f>
        <v>2025</v>
      </c>
      <c r="D306" s="115">
        <f>YEAR(MC_2[[#This Row],[Date]])</f>
        <v>2024</v>
      </c>
      <c r="E306" s="112" t="s">
        <v>340</v>
      </c>
      <c r="F306" s="112" t="s">
        <v>340</v>
      </c>
      <c r="G306" s="116" t="str">
        <f>TEXT(MC_2[[#This Row],[Date]],"mmm-yy")</f>
        <v>Nov-24</v>
      </c>
      <c r="H306" s="116">
        <f>DAY(EOMONTH(MC_2[[#This Row],[Month Year]],0))</f>
        <v>30</v>
      </c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119"/>
      <c r="AZ306" s="119"/>
      <c r="BA306" s="119"/>
      <c r="BB306" s="119"/>
      <c r="BC306" s="119"/>
      <c r="BD306" s="119"/>
      <c r="BE306" s="5">
        <f>SUM(MC_2[[#This Row],[IS1Inv1M1]:[IS9Inv19M2]])</f>
        <v>0</v>
      </c>
      <c r="BF306" s="119"/>
      <c r="BG306" s="119"/>
      <c r="BH306" s="119"/>
      <c r="BI306" s="119"/>
      <c r="BJ306" s="119"/>
      <c r="BK306" s="119"/>
      <c r="BL306" s="121"/>
    </row>
    <row r="307" spans="1:64">
      <c r="A307" s="119">
        <v>305</v>
      </c>
      <c r="B307" s="113">
        <f t="shared" si="4"/>
        <v>45627</v>
      </c>
      <c r="C307" s="114">
        <f>YEAR(MC_2[[#This Row],[Date]])+IF(MONTH(MC_2[[#This Row],[Date]])&gt;=4,1,0)</f>
        <v>2025</v>
      </c>
      <c r="D307" s="115">
        <f>YEAR(MC_2[[#This Row],[Date]])</f>
        <v>2024</v>
      </c>
      <c r="E307" s="112" t="s">
        <v>340</v>
      </c>
      <c r="F307" s="112" t="s">
        <v>340</v>
      </c>
      <c r="G307" s="116" t="str">
        <f>TEXT(MC_2[[#This Row],[Date]],"mmm-yy")</f>
        <v>Dec-24</v>
      </c>
      <c r="H307" s="116">
        <f>DAY(EOMONTH(MC_2[[#This Row],[Month Year]],0))</f>
        <v>31</v>
      </c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119"/>
      <c r="AZ307" s="119"/>
      <c r="BA307" s="119"/>
      <c r="BB307" s="119"/>
      <c r="BC307" s="119"/>
      <c r="BD307" s="119"/>
      <c r="BE307" s="5">
        <f>SUM(MC_2[[#This Row],[IS1Inv1M1]:[IS9Inv19M2]])</f>
        <v>0</v>
      </c>
      <c r="BF307" s="119"/>
      <c r="BG307" s="119"/>
      <c r="BH307" s="119"/>
      <c r="BI307" s="119"/>
      <c r="BJ307" s="119"/>
      <c r="BK307" s="119"/>
      <c r="BL307" s="121"/>
    </row>
    <row r="308" spans="1:64">
      <c r="A308" s="119">
        <v>306</v>
      </c>
      <c r="B308" s="113">
        <f t="shared" si="4"/>
        <v>45628</v>
      </c>
      <c r="C308" s="114">
        <f>YEAR(MC_2[[#This Row],[Date]])+IF(MONTH(MC_2[[#This Row],[Date]])&gt;=4,1,0)</f>
        <v>2025</v>
      </c>
      <c r="D308" s="115">
        <f>YEAR(MC_2[[#This Row],[Date]])</f>
        <v>2024</v>
      </c>
      <c r="E308" s="112" t="s">
        <v>340</v>
      </c>
      <c r="F308" s="112" t="s">
        <v>340</v>
      </c>
      <c r="G308" s="116" t="str">
        <f>TEXT(MC_2[[#This Row],[Date]],"mmm-yy")</f>
        <v>Dec-24</v>
      </c>
      <c r="H308" s="116">
        <f>DAY(EOMONTH(MC_2[[#This Row],[Month Year]],0))</f>
        <v>31</v>
      </c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9"/>
      <c r="BC308" s="119"/>
      <c r="BD308" s="119"/>
      <c r="BE308" s="5">
        <f>SUM(MC_2[[#This Row],[IS1Inv1M1]:[IS9Inv19M2]])</f>
        <v>0</v>
      </c>
      <c r="BF308" s="119"/>
      <c r="BG308" s="119"/>
      <c r="BH308" s="119"/>
      <c r="BI308" s="119"/>
      <c r="BJ308" s="119"/>
      <c r="BK308" s="119"/>
      <c r="BL308" s="121"/>
    </row>
    <row r="309" spans="1:64">
      <c r="A309" s="119">
        <v>307</v>
      </c>
      <c r="B309" s="113">
        <f t="shared" si="4"/>
        <v>45629</v>
      </c>
      <c r="C309" s="114">
        <f>YEAR(MC_2[[#This Row],[Date]])+IF(MONTH(MC_2[[#This Row],[Date]])&gt;=4,1,0)</f>
        <v>2025</v>
      </c>
      <c r="D309" s="115">
        <f>YEAR(MC_2[[#This Row],[Date]])</f>
        <v>2024</v>
      </c>
      <c r="E309" s="112" t="s">
        <v>340</v>
      </c>
      <c r="F309" s="112" t="s">
        <v>340</v>
      </c>
      <c r="G309" s="116" t="str">
        <f>TEXT(MC_2[[#This Row],[Date]],"mmm-yy")</f>
        <v>Dec-24</v>
      </c>
      <c r="H309" s="116">
        <f>DAY(EOMONTH(MC_2[[#This Row],[Month Year]],0))</f>
        <v>31</v>
      </c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2"/>
      <c r="AN309" s="112"/>
      <c r="AO309" s="112"/>
      <c r="AP309" s="112"/>
      <c r="AQ309" s="112"/>
      <c r="AR309" s="112"/>
      <c r="AS309" s="112"/>
      <c r="AT309" s="112"/>
      <c r="AU309" s="112"/>
      <c r="AV309" s="112"/>
      <c r="AW309" s="112"/>
      <c r="AX309" s="112"/>
      <c r="AY309" s="112"/>
      <c r="AZ309" s="112"/>
      <c r="BA309" s="112"/>
      <c r="BB309" s="112"/>
      <c r="BC309" s="112"/>
      <c r="BD309" s="112"/>
      <c r="BE309" s="5">
        <f>SUM(MC_2[[#This Row],[IS1Inv1M1]:[IS9Inv19M2]])</f>
        <v>0</v>
      </c>
      <c r="BF309" s="119"/>
      <c r="BG309" s="119"/>
      <c r="BH309" s="119"/>
      <c r="BI309" s="119"/>
      <c r="BJ309" s="119"/>
      <c r="BK309" s="119"/>
      <c r="BL309" s="121"/>
    </row>
    <row r="310" spans="1:64">
      <c r="A310" s="119">
        <v>308</v>
      </c>
      <c r="B310" s="113">
        <f t="shared" si="4"/>
        <v>45630</v>
      </c>
      <c r="C310" s="114">
        <f>YEAR(MC_2[[#This Row],[Date]])+IF(MONTH(MC_2[[#This Row],[Date]])&gt;=4,1,0)</f>
        <v>2025</v>
      </c>
      <c r="D310" s="115">
        <f>YEAR(MC_2[[#This Row],[Date]])</f>
        <v>2024</v>
      </c>
      <c r="E310" s="112" t="s">
        <v>340</v>
      </c>
      <c r="F310" s="112" t="s">
        <v>340</v>
      </c>
      <c r="G310" s="116" t="str">
        <f>TEXT(MC_2[[#This Row],[Date]],"mmm-yy")</f>
        <v>Dec-24</v>
      </c>
      <c r="H310" s="116">
        <f>DAY(EOMONTH(MC_2[[#This Row],[Month Year]],0))</f>
        <v>31</v>
      </c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119"/>
      <c r="AZ310" s="119"/>
      <c r="BA310" s="119"/>
      <c r="BB310" s="119"/>
      <c r="BC310" s="119"/>
      <c r="BD310" s="119"/>
      <c r="BE310" s="5">
        <f>SUM(MC_2[[#This Row],[IS1Inv1M1]:[IS9Inv19M2]])</f>
        <v>0</v>
      </c>
      <c r="BF310" s="119"/>
      <c r="BG310" s="119"/>
      <c r="BH310" s="119"/>
      <c r="BI310" s="119"/>
      <c r="BJ310" s="119"/>
      <c r="BK310" s="119"/>
      <c r="BL310" s="121"/>
    </row>
    <row r="311" spans="1:64">
      <c r="A311" s="119">
        <v>309</v>
      </c>
      <c r="B311" s="113">
        <f t="shared" si="4"/>
        <v>45631</v>
      </c>
      <c r="C311" s="114">
        <f>YEAR(MC_2[[#This Row],[Date]])+IF(MONTH(MC_2[[#This Row],[Date]])&gt;=4,1,0)</f>
        <v>2025</v>
      </c>
      <c r="D311" s="115">
        <f>YEAR(MC_2[[#This Row],[Date]])</f>
        <v>2024</v>
      </c>
      <c r="E311" s="112" t="s">
        <v>340</v>
      </c>
      <c r="F311" s="112" t="s">
        <v>340</v>
      </c>
      <c r="G311" s="116" t="str">
        <f>TEXT(MC_2[[#This Row],[Date]],"mmm-yy")</f>
        <v>Dec-24</v>
      </c>
      <c r="H311" s="116">
        <f>DAY(EOMONTH(MC_2[[#This Row],[Month Year]],0))</f>
        <v>31</v>
      </c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119"/>
      <c r="AZ311" s="119"/>
      <c r="BA311" s="119"/>
      <c r="BB311" s="119"/>
      <c r="BC311" s="119"/>
      <c r="BD311" s="119"/>
      <c r="BE311" s="5">
        <f>SUM(MC_2[[#This Row],[IS1Inv1M1]:[IS9Inv19M2]])</f>
        <v>0</v>
      </c>
      <c r="BF311" s="119"/>
      <c r="BG311" s="119"/>
      <c r="BH311" s="119"/>
      <c r="BI311" s="119"/>
      <c r="BJ311" s="119"/>
      <c r="BK311" s="119"/>
      <c r="BL311" s="121"/>
    </row>
    <row r="312" spans="1:64">
      <c r="A312" s="119">
        <v>310</v>
      </c>
      <c r="B312" s="113">
        <f t="shared" si="4"/>
        <v>45632</v>
      </c>
      <c r="C312" s="114">
        <f>YEAR(MC_2[[#This Row],[Date]])+IF(MONTH(MC_2[[#This Row],[Date]])&gt;=4,1,0)</f>
        <v>2025</v>
      </c>
      <c r="D312" s="115">
        <f>YEAR(MC_2[[#This Row],[Date]])</f>
        <v>2024</v>
      </c>
      <c r="E312" s="112" t="s">
        <v>340</v>
      </c>
      <c r="F312" s="112" t="s">
        <v>340</v>
      </c>
      <c r="G312" s="116" t="str">
        <f>TEXT(MC_2[[#This Row],[Date]],"mmm-yy")</f>
        <v>Dec-24</v>
      </c>
      <c r="H312" s="116">
        <f>DAY(EOMONTH(MC_2[[#This Row],[Month Year]],0))</f>
        <v>31</v>
      </c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119"/>
      <c r="AZ312" s="119"/>
      <c r="BA312" s="119"/>
      <c r="BB312" s="119"/>
      <c r="BC312" s="119"/>
      <c r="BD312" s="119"/>
      <c r="BE312" s="5">
        <f>SUM(MC_2[[#This Row],[IS1Inv1M1]:[IS9Inv19M2]])</f>
        <v>0</v>
      </c>
      <c r="BF312" s="119"/>
      <c r="BG312" s="119"/>
      <c r="BH312" s="119"/>
      <c r="BI312" s="119"/>
      <c r="BJ312" s="119"/>
      <c r="BK312" s="119"/>
      <c r="BL312" s="121"/>
    </row>
    <row r="313" spans="1:64">
      <c r="A313" s="119">
        <v>311</v>
      </c>
      <c r="B313" s="113">
        <f t="shared" si="4"/>
        <v>45633</v>
      </c>
      <c r="C313" s="114">
        <f>YEAR(MC_2[[#This Row],[Date]])+IF(MONTH(MC_2[[#This Row],[Date]])&gt;=4,1,0)</f>
        <v>2025</v>
      </c>
      <c r="D313" s="115">
        <f>YEAR(MC_2[[#This Row],[Date]])</f>
        <v>2024</v>
      </c>
      <c r="E313" s="112" t="s">
        <v>340</v>
      </c>
      <c r="F313" s="112" t="s">
        <v>340</v>
      </c>
      <c r="G313" s="116" t="str">
        <f>TEXT(MC_2[[#This Row],[Date]],"mmm-yy")</f>
        <v>Dec-24</v>
      </c>
      <c r="H313" s="116">
        <f>DAY(EOMONTH(MC_2[[#This Row],[Month Year]],0))</f>
        <v>31</v>
      </c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119"/>
      <c r="AZ313" s="119"/>
      <c r="BA313" s="119"/>
      <c r="BB313" s="119"/>
      <c r="BC313" s="119"/>
      <c r="BD313" s="119"/>
      <c r="BE313" s="5">
        <f>SUM(MC_2[[#This Row],[IS1Inv1M1]:[IS9Inv19M2]])</f>
        <v>0</v>
      </c>
      <c r="BF313" s="119"/>
      <c r="BG313" s="119"/>
      <c r="BH313" s="119"/>
      <c r="BI313" s="119"/>
      <c r="BJ313" s="119"/>
      <c r="BK313" s="119"/>
      <c r="BL313" s="121"/>
    </row>
    <row r="314" spans="1:64">
      <c r="A314" s="119">
        <v>312</v>
      </c>
      <c r="B314" s="113">
        <f t="shared" si="4"/>
        <v>45634</v>
      </c>
      <c r="C314" s="114">
        <f>YEAR(MC_2[[#This Row],[Date]])+IF(MONTH(MC_2[[#This Row],[Date]])&gt;=4,1,0)</f>
        <v>2025</v>
      </c>
      <c r="D314" s="115">
        <f>YEAR(MC_2[[#This Row],[Date]])</f>
        <v>2024</v>
      </c>
      <c r="E314" s="112" t="s">
        <v>340</v>
      </c>
      <c r="F314" s="112" t="s">
        <v>340</v>
      </c>
      <c r="G314" s="116" t="str">
        <f>TEXT(MC_2[[#This Row],[Date]],"mmm-yy")</f>
        <v>Dec-24</v>
      </c>
      <c r="H314" s="116">
        <f>DAY(EOMONTH(MC_2[[#This Row],[Month Year]],0))</f>
        <v>31</v>
      </c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119"/>
      <c r="AZ314" s="119"/>
      <c r="BA314" s="119"/>
      <c r="BB314" s="119"/>
      <c r="BC314" s="119"/>
      <c r="BD314" s="119"/>
      <c r="BE314" s="5">
        <f>SUM(MC_2[[#This Row],[IS1Inv1M1]:[IS9Inv19M2]])</f>
        <v>0</v>
      </c>
      <c r="BF314" s="119"/>
      <c r="BG314" s="119"/>
      <c r="BH314" s="119"/>
      <c r="BI314" s="119"/>
      <c r="BJ314" s="119"/>
      <c r="BK314" s="119"/>
      <c r="BL314" s="121"/>
    </row>
    <row r="315" spans="1:64">
      <c r="A315" s="119">
        <v>313</v>
      </c>
      <c r="B315" s="113">
        <f t="shared" si="4"/>
        <v>45635</v>
      </c>
      <c r="C315" s="114">
        <f>YEAR(MC_2[[#This Row],[Date]])+IF(MONTH(MC_2[[#This Row],[Date]])&gt;=4,1,0)</f>
        <v>2025</v>
      </c>
      <c r="D315" s="115">
        <f>YEAR(MC_2[[#This Row],[Date]])</f>
        <v>2024</v>
      </c>
      <c r="E315" s="112" t="s">
        <v>340</v>
      </c>
      <c r="F315" s="112" t="s">
        <v>340</v>
      </c>
      <c r="G315" s="116" t="str">
        <f>TEXT(MC_2[[#This Row],[Date]],"mmm-yy")</f>
        <v>Dec-24</v>
      </c>
      <c r="H315" s="116">
        <f>DAY(EOMONTH(MC_2[[#This Row],[Month Year]],0))</f>
        <v>31</v>
      </c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G315" s="119"/>
      <c r="AH315" s="119"/>
      <c r="AI315" s="119"/>
      <c r="AJ315" s="119"/>
      <c r="AK315" s="119"/>
      <c r="AL315" s="119"/>
      <c r="AM315" s="119"/>
      <c r="AN315" s="119"/>
      <c r="AO315" s="119"/>
      <c r="AP315" s="119"/>
      <c r="AQ315" s="119"/>
      <c r="AR315" s="119"/>
      <c r="AS315" s="119"/>
      <c r="AT315" s="119"/>
      <c r="AU315" s="119"/>
      <c r="AV315" s="119"/>
      <c r="AW315" s="119"/>
      <c r="AX315" s="119"/>
      <c r="AY315" s="119"/>
      <c r="AZ315" s="119"/>
      <c r="BA315" s="119"/>
      <c r="BB315" s="119"/>
      <c r="BC315" s="119"/>
      <c r="BD315" s="119"/>
      <c r="BE315" s="5">
        <f>SUM(MC_2[[#This Row],[IS1Inv1M1]:[IS9Inv19M2]])</f>
        <v>0</v>
      </c>
      <c r="BF315" s="119"/>
      <c r="BG315" s="119"/>
      <c r="BH315" s="119"/>
      <c r="BI315" s="119"/>
      <c r="BJ315" s="119"/>
      <c r="BK315" s="119"/>
      <c r="BL315" s="121"/>
    </row>
    <row r="316" spans="1:64">
      <c r="A316" s="119">
        <v>314</v>
      </c>
      <c r="B316" s="113">
        <f t="shared" si="4"/>
        <v>45636</v>
      </c>
      <c r="C316" s="114">
        <f>YEAR(MC_2[[#This Row],[Date]])+IF(MONTH(MC_2[[#This Row],[Date]])&gt;=4,1,0)</f>
        <v>2025</v>
      </c>
      <c r="D316" s="115">
        <f>YEAR(MC_2[[#This Row],[Date]])</f>
        <v>2024</v>
      </c>
      <c r="E316" s="112" t="s">
        <v>340</v>
      </c>
      <c r="F316" s="112" t="s">
        <v>340</v>
      </c>
      <c r="G316" s="116" t="str">
        <f>TEXT(MC_2[[#This Row],[Date]],"mmm-yy")</f>
        <v>Dec-24</v>
      </c>
      <c r="H316" s="116">
        <f>DAY(EOMONTH(MC_2[[#This Row],[Month Year]],0))</f>
        <v>31</v>
      </c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G316" s="119"/>
      <c r="AH316" s="119"/>
      <c r="AI316" s="119"/>
      <c r="AJ316" s="119"/>
      <c r="AK316" s="119"/>
      <c r="AL316" s="119"/>
      <c r="AM316" s="119"/>
      <c r="AN316" s="119"/>
      <c r="AO316" s="119"/>
      <c r="AP316" s="119"/>
      <c r="AQ316" s="119"/>
      <c r="AR316" s="119"/>
      <c r="AS316" s="119"/>
      <c r="AT316" s="119"/>
      <c r="AU316" s="119"/>
      <c r="AV316" s="119"/>
      <c r="AW316" s="119"/>
      <c r="AX316" s="119"/>
      <c r="AY316" s="119"/>
      <c r="AZ316" s="119"/>
      <c r="BA316" s="119"/>
      <c r="BB316" s="119"/>
      <c r="BC316" s="119"/>
      <c r="BD316" s="119"/>
      <c r="BE316" s="5">
        <f>SUM(MC_2[[#This Row],[IS1Inv1M1]:[IS9Inv19M2]])</f>
        <v>0</v>
      </c>
      <c r="BF316" s="119"/>
      <c r="BG316" s="119"/>
      <c r="BH316" s="119"/>
      <c r="BI316" s="119"/>
      <c r="BJ316" s="119"/>
      <c r="BK316" s="119"/>
      <c r="BL316" s="121"/>
    </row>
    <row r="317" spans="1:64">
      <c r="A317" s="119">
        <v>315</v>
      </c>
      <c r="B317" s="113">
        <f t="shared" si="4"/>
        <v>45637</v>
      </c>
      <c r="C317" s="114">
        <f>YEAR(MC_2[[#This Row],[Date]])+IF(MONTH(MC_2[[#This Row],[Date]])&gt;=4,1,0)</f>
        <v>2025</v>
      </c>
      <c r="D317" s="115">
        <f>YEAR(MC_2[[#This Row],[Date]])</f>
        <v>2024</v>
      </c>
      <c r="E317" s="112" t="s">
        <v>340</v>
      </c>
      <c r="F317" s="112" t="s">
        <v>340</v>
      </c>
      <c r="G317" s="116" t="str">
        <f>TEXT(MC_2[[#This Row],[Date]],"mmm-yy")</f>
        <v>Dec-24</v>
      </c>
      <c r="H317" s="116">
        <f>DAY(EOMONTH(MC_2[[#This Row],[Month Year]],0))</f>
        <v>31</v>
      </c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G317" s="119"/>
      <c r="AH317" s="119"/>
      <c r="AI317" s="119"/>
      <c r="AJ317" s="119"/>
      <c r="AK317" s="119"/>
      <c r="AL317" s="119"/>
      <c r="AM317" s="119"/>
      <c r="AN317" s="119"/>
      <c r="AO317" s="119"/>
      <c r="AP317" s="119"/>
      <c r="AQ317" s="119"/>
      <c r="AR317" s="119"/>
      <c r="AS317" s="119"/>
      <c r="AT317" s="119"/>
      <c r="AU317" s="119"/>
      <c r="AV317" s="119"/>
      <c r="AW317" s="119"/>
      <c r="AX317" s="119"/>
      <c r="AY317" s="119"/>
      <c r="AZ317" s="119"/>
      <c r="BA317" s="119"/>
      <c r="BB317" s="119"/>
      <c r="BC317" s="119"/>
      <c r="BD317" s="119"/>
      <c r="BE317" s="5">
        <f>SUM(MC_2[[#This Row],[IS1Inv1M1]:[IS9Inv19M2]])</f>
        <v>0</v>
      </c>
      <c r="BF317" s="119"/>
      <c r="BG317" s="119"/>
      <c r="BH317" s="119"/>
      <c r="BI317" s="119"/>
      <c r="BJ317" s="119"/>
      <c r="BK317" s="119"/>
      <c r="BL317" s="121"/>
    </row>
    <row r="318" spans="1:64">
      <c r="A318" s="119">
        <v>316</v>
      </c>
      <c r="B318" s="113">
        <f t="shared" si="4"/>
        <v>45638</v>
      </c>
      <c r="C318" s="114">
        <f>YEAR(MC_2[[#This Row],[Date]])+IF(MONTH(MC_2[[#This Row],[Date]])&gt;=4,1,0)</f>
        <v>2025</v>
      </c>
      <c r="D318" s="115">
        <f>YEAR(MC_2[[#This Row],[Date]])</f>
        <v>2024</v>
      </c>
      <c r="E318" s="112" t="s">
        <v>340</v>
      </c>
      <c r="F318" s="112" t="s">
        <v>340</v>
      </c>
      <c r="G318" s="116" t="str">
        <f>TEXT(MC_2[[#This Row],[Date]],"mmm-yy")</f>
        <v>Dec-24</v>
      </c>
      <c r="H318" s="116">
        <f>DAY(EOMONTH(MC_2[[#This Row],[Month Year]],0))</f>
        <v>31</v>
      </c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G318" s="119"/>
      <c r="AH318" s="119"/>
      <c r="AI318" s="119"/>
      <c r="AJ318" s="119"/>
      <c r="AK318" s="119"/>
      <c r="AL318" s="119"/>
      <c r="AM318" s="119"/>
      <c r="AN318" s="119"/>
      <c r="AO318" s="119"/>
      <c r="AP318" s="119"/>
      <c r="AQ318" s="119"/>
      <c r="AR318" s="119"/>
      <c r="AS318" s="119"/>
      <c r="AT318" s="119"/>
      <c r="AU318" s="119"/>
      <c r="AV318" s="119"/>
      <c r="AW318" s="119"/>
      <c r="AX318" s="119"/>
      <c r="AY318" s="119"/>
      <c r="AZ318" s="119"/>
      <c r="BA318" s="119"/>
      <c r="BB318" s="119"/>
      <c r="BC318" s="119"/>
      <c r="BD318" s="119"/>
      <c r="BE318" s="5">
        <f>SUM(MC_2[[#This Row],[IS1Inv1M1]:[IS9Inv19M2]])</f>
        <v>0</v>
      </c>
      <c r="BF318" s="119"/>
      <c r="BG318" s="119"/>
      <c r="BH318" s="119"/>
      <c r="BI318" s="119"/>
      <c r="BJ318" s="119"/>
      <c r="BK318" s="119"/>
      <c r="BL318" s="121"/>
    </row>
    <row r="319" spans="1:64">
      <c r="A319" s="119">
        <v>317</v>
      </c>
      <c r="B319" s="113">
        <f t="shared" si="4"/>
        <v>45639</v>
      </c>
      <c r="C319" s="114">
        <f>YEAR(MC_2[[#This Row],[Date]])+IF(MONTH(MC_2[[#This Row],[Date]])&gt;=4,1,0)</f>
        <v>2025</v>
      </c>
      <c r="D319" s="115">
        <f>YEAR(MC_2[[#This Row],[Date]])</f>
        <v>2024</v>
      </c>
      <c r="E319" s="112" t="s">
        <v>340</v>
      </c>
      <c r="F319" s="112" t="s">
        <v>340</v>
      </c>
      <c r="G319" s="116" t="str">
        <f>TEXT(MC_2[[#This Row],[Date]],"mmm-yy")</f>
        <v>Dec-24</v>
      </c>
      <c r="H319" s="116">
        <f>DAY(EOMONTH(MC_2[[#This Row],[Month Year]],0))</f>
        <v>31</v>
      </c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G319" s="119"/>
      <c r="AH319" s="119"/>
      <c r="AI319" s="119"/>
      <c r="AJ319" s="119"/>
      <c r="AK319" s="119"/>
      <c r="AL319" s="119"/>
      <c r="AM319" s="119"/>
      <c r="AN319" s="119"/>
      <c r="AO319" s="119"/>
      <c r="AP319" s="119"/>
      <c r="AQ319" s="119"/>
      <c r="AR319" s="119"/>
      <c r="AS319" s="119"/>
      <c r="AT319" s="119"/>
      <c r="AU319" s="119"/>
      <c r="AV319" s="119"/>
      <c r="AW319" s="119"/>
      <c r="AX319" s="119"/>
      <c r="AY319" s="119"/>
      <c r="AZ319" s="119"/>
      <c r="BA319" s="119"/>
      <c r="BB319" s="119"/>
      <c r="BC319" s="119"/>
      <c r="BD319" s="119"/>
      <c r="BE319" s="5">
        <f>SUM(MC_2[[#This Row],[IS1Inv1M1]:[IS9Inv19M2]])</f>
        <v>0</v>
      </c>
      <c r="BF319" s="119"/>
      <c r="BG319" s="119"/>
      <c r="BH319" s="119"/>
      <c r="BI319" s="119"/>
      <c r="BJ319" s="119"/>
      <c r="BK319" s="119"/>
      <c r="BL319" s="121"/>
    </row>
    <row r="320" spans="1:64">
      <c r="A320" s="119">
        <v>318</v>
      </c>
      <c r="B320" s="113">
        <f t="shared" si="4"/>
        <v>45640</v>
      </c>
      <c r="C320" s="114">
        <f>YEAR(MC_2[[#This Row],[Date]])+IF(MONTH(MC_2[[#This Row],[Date]])&gt;=4,1,0)</f>
        <v>2025</v>
      </c>
      <c r="D320" s="115">
        <f>YEAR(MC_2[[#This Row],[Date]])</f>
        <v>2024</v>
      </c>
      <c r="E320" s="112" t="s">
        <v>340</v>
      </c>
      <c r="F320" s="112" t="s">
        <v>340</v>
      </c>
      <c r="G320" s="116" t="str">
        <f>TEXT(MC_2[[#This Row],[Date]],"mmm-yy")</f>
        <v>Dec-24</v>
      </c>
      <c r="H320" s="116">
        <f>DAY(EOMONTH(MC_2[[#This Row],[Month Year]],0))</f>
        <v>31</v>
      </c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G320" s="119"/>
      <c r="AH320" s="119"/>
      <c r="AI320" s="119"/>
      <c r="AJ320" s="119"/>
      <c r="AK320" s="119"/>
      <c r="AL320" s="119"/>
      <c r="AM320" s="119"/>
      <c r="AN320" s="119"/>
      <c r="AO320" s="119"/>
      <c r="AP320" s="119"/>
      <c r="AQ320" s="119"/>
      <c r="AR320" s="119"/>
      <c r="AS320" s="119"/>
      <c r="AT320" s="119"/>
      <c r="AU320" s="119"/>
      <c r="AV320" s="119"/>
      <c r="AW320" s="119"/>
      <c r="AX320" s="119"/>
      <c r="AY320" s="119"/>
      <c r="AZ320" s="119"/>
      <c r="BA320" s="119"/>
      <c r="BB320" s="119"/>
      <c r="BC320" s="119"/>
      <c r="BD320" s="119"/>
      <c r="BE320" s="5">
        <f>SUM(MC_2[[#This Row],[IS1Inv1M1]:[IS9Inv19M2]])</f>
        <v>0</v>
      </c>
      <c r="BF320" s="119"/>
      <c r="BG320" s="119"/>
      <c r="BH320" s="119"/>
      <c r="BI320" s="119"/>
      <c r="BJ320" s="119"/>
      <c r="BK320" s="119"/>
      <c r="BL320" s="121"/>
    </row>
    <row r="321" spans="1:64">
      <c r="A321" s="119">
        <v>319</v>
      </c>
      <c r="B321" s="113">
        <f t="shared" si="4"/>
        <v>45641</v>
      </c>
      <c r="C321" s="114">
        <f>YEAR(MC_2[[#This Row],[Date]])+IF(MONTH(MC_2[[#This Row],[Date]])&gt;=4,1,0)</f>
        <v>2025</v>
      </c>
      <c r="D321" s="115">
        <f>YEAR(MC_2[[#This Row],[Date]])</f>
        <v>2024</v>
      </c>
      <c r="E321" s="112" t="s">
        <v>340</v>
      </c>
      <c r="F321" s="112" t="s">
        <v>340</v>
      </c>
      <c r="G321" s="116" t="str">
        <f>TEXT(MC_2[[#This Row],[Date]],"mmm-yy")</f>
        <v>Dec-24</v>
      </c>
      <c r="H321" s="116">
        <f>DAY(EOMONTH(MC_2[[#This Row],[Month Year]],0))</f>
        <v>31</v>
      </c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G321" s="119"/>
      <c r="AH321" s="119"/>
      <c r="AI321" s="119"/>
      <c r="AJ321" s="119"/>
      <c r="AK321" s="119"/>
      <c r="AL321" s="119"/>
      <c r="AM321" s="119"/>
      <c r="AN321" s="119"/>
      <c r="AO321" s="119"/>
      <c r="AP321" s="119"/>
      <c r="AQ321" s="119"/>
      <c r="AR321" s="119"/>
      <c r="AS321" s="119"/>
      <c r="AT321" s="119"/>
      <c r="AU321" s="119"/>
      <c r="AV321" s="119"/>
      <c r="AW321" s="119"/>
      <c r="AX321" s="119"/>
      <c r="AY321" s="119"/>
      <c r="AZ321" s="119"/>
      <c r="BA321" s="119"/>
      <c r="BB321" s="119"/>
      <c r="BC321" s="119"/>
      <c r="BD321" s="119"/>
      <c r="BE321" s="5">
        <f>SUM(MC_2[[#This Row],[IS1Inv1M1]:[IS9Inv19M2]])</f>
        <v>0</v>
      </c>
      <c r="BF321" s="119"/>
      <c r="BG321" s="119"/>
      <c r="BH321" s="119"/>
      <c r="BI321" s="119"/>
      <c r="BJ321" s="119"/>
      <c r="BK321" s="119"/>
      <c r="BL321" s="121"/>
    </row>
    <row r="322" spans="1:64">
      <c r="A322" s="119">
        <v>320</v>
      </c>
      <c r="B322" s="113">
        <f t="shared" si="4"/>
        <v>45642</v>
      </c>
      <c r="C322" s="114">
        <f>YEAR(MC_2[[#This Row],[Date]])+IF(MONTH(MC_2[[#This Row],[Date]])&gt;=4,1,0)</f>
        <v>2025</v>
      </c>
      <c r="D322" s="115">
        <f>YEAR(MC_2[[#This Row],[Date]])</f>
        <v>2024</v>
      </c>
      <c r="E322" s="112" t="s">
        <v>340</v>
      </c>
      <c r="F322" s="112" t="s">
        <v>340</v>
      </c>
      <c r="G322" s="116" t="str">
        <f>TEXT(MC_2[[#This Row],[Date]],"mmm-yy")</f>
        <v>Dec-24</v>
      </c>
      <c r="H322" s="116">
        <f>DAY(EOMONTH(MC_2[[#This Row],[Month Year]],0))</f>
        <v>31</v>
      </c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G322" s="119"/>
      <c r="AH322" s="119"/>
      <c r="AI322" s="119"/>
      <c r="AJ322" s="119"/>
      <c r="AK322" s="119"/>
      <c r="AL322" s="119"/>
      <c r="AM322" s="119"/>
      <c r="AN322" s="119"/>
      <c r="AO322" s="119"/>
      <c r="AP322" s="119"/>
      <c r="AQ322" s="119"/>
      <c r="AR322" s="119"/>
      <c r="AS322" s="119"/>
      <c r="AT322" s="119"/>
      <c r="AU322" s="119"/>
      <c r="AV322" s="119"/>
      <c r="AW322" s="119"/>
      <c r="AX322" s="119"/>
      <c r="AY322" s="119"/>
      <c r="AZ322" s="119"/>
      <c r="BA322" s="119"/>
      <c r="BB322" s="119"/>
      <c r="BC322" s="119"/>
      <c r="BD322" s="119"/>
      <c r="BE322" s="5">
        <f>SUM(MC_2[[#This Row],[IS1Inv1M1]:[IS9Inv19M2]])</f>
        <v>0</v>
      </c>
      <c r="BF322" s="119"/>
      <c r="BG322" s="119"/>
      <c r="BH322" s="119"/>
      <c r="BI322" s="119"/>
      <c r="BJ322" s="119"/>
      <c r="BK322" s="119"/>
      <c r="BL322" s="121"/>
    </row>
    <row r="323" spans="1:64">
      <c r="A323" s="119">
        <v>321</v>
      </c>
      <c r="B323" s="113">
        <f t="shared" si="4"/>
        <v>45643</v>
      </c>
      <c r="C323" s="114">
        <f>YEAR(MC_2[[#This Row],[Date]])+IF(MONTH(MC_2[[#This Row],[Date]])&gt;=4,1,0)</f>
        <v>2025</v>
      </c>
      <c r="D323" s="115">
        <f>YEAR(MC_2[[#This Row],[Date]])</f>
        <v>2024</v>
      </c>
      <c r="E323" s="112" t="s">
        <v>340</v>
      </c>
      <c r="F323" s="112" t="s">
        <v>340</v>
      </c>
      <c r="G323" s="116" t="str">
        <f>TEXT(MC_2[[#This Row],[Date]],"mmm-yy")</f>
        <v>Dec-24</v>
      </c>
      <c r="H323" s="116">
        <f>DAY(EOMONTH(MC_2[[#This Row],[Month Year]],0))</f>
        <v>31</v>
      </c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G323" s="119"/>
      <c r="AH323" s="119"/>
      <c r="AI323" s="119"/>
      <c r="AJ323" s="119"/>
      <c r="AK323" s="119"/>
      <c r="AL323" s="119"/>
      <c r="AM323" s="119"/>
      <c r="AN323" s="119"/>
      <c r="AO323" s="119"/>
      <c r="AP323" s="119"/>
      <c r="AQ323" s="119"/>
      <c r="AR323" s="119"/>
      <c r="AS323" s="119"/>
      <c r="AT323" s="119"/>
      <c r="AU323" s="119"/>
      <c r="AV323" s="119"/>
      <c r="AW323" s="119"/>
      <c r="AX323" s="119"/>
      <c r="AY323" s="119"/>
      <c r="AZ323" s="119"/>
      <c r="BA323" s="119"/>
      <c r="BB323" s="119"/>
      <c r="BC323" s="119"/>
      <c r="BD323" s="119"/>
      <c r="BE323" s="5">
        <f>SUM(MC_2[[#This Row],[IS1Inv1M1]:[IS9Inv19M2]])</f>
        <v>0</v>
      </c>
      <c r="BF323" s="119"/>
      <c r="BG323" s="119"/>
      <c r="BH323" s="119"/>
      <c r="BI323" s="119"/>
      <c r="BJ323" s="119"/>
      <c r="BK323" s="119"/>
      <c r="BL323" s="121"/>
    </row>
    <row r="324" spans="1:64">
      <c r="A324" s="119">
        <v>322</v>
      </c>
      <c r="B324" s="113">
        <f t="shared" si="4"/>
        <v>45644</v>
      </c>
      <c r="C324" s="114">
        <f>YEAR(MC_2[[#This Row],[Date]])+IF(MONTH(MC_2[[#This Row],[Date]])&gt;=4,1,0)</f>
        <v>2025</v>
      </c>
      <c r="D324" s="115">
        <f>YEAR(MC_2[[#This Row],[Date]])</f>
        <v>2024</v>
      </c>
      <c r="E324" s="112" t="s">
        <v>340</v>
      </c>
      <c r="F324" s="112" t="s">
        <v>340</v>
      </c>
      <c r="G324" s="116" t="str">
        <f>TEXT(MC_2[[#This Row],[Date]],"mmm-yy")</f>
        <v>Dec-24</v>
      </c>
      <c r="H324" s="116">
        <f>DAY(EOMONTH(MC_2[[#This Row],[Month Year]],0))</f>
        <v>31</v>
      </c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G324" s="119"/>
      <c r="AH324" s="119"/>
      <c r="AI324" s="119"/>
      <c r="AJ324" s="119"/>
      <c r="AK324" s="119"/>
      <c r="AL324" s="119"/>
      <c r="AM324" s="119"/>
      <c r="AN324" s="119"/>
      <c r="AO324" s="119"/>
      <c r="AP324" s="119"/>
      <c r="AQ324" s="119"/>
      <c r="AR324" s="119"/>
      <c r="AS324" s="119"/>
      <c r="AT324" s="119"/>
      <c r="AU324" s="119"/>
      <c r="AV324" s="119"/>
      <c r="AW324" s="119"/>
      <c r="AX324" s="119"/>
      <c r="AY324" s="119"/>
      <c r="AZ324" s="119"/>
      <c r="BA324" s="119"/>
      <c r="BB324" s="119"/>
      <c r="BC324" s="119"/>
      <c r="BD324" s="119"/>
      <c r="BE324" s="5">
        <f>SUM(MC_2[[#This Row],[IS1Inv1M1]:[IS9Inv19M2]])</f>
        <v>0</v>
      </c>
      <c r="BF324" s="119"/>
      <c r="BG324" s="119"/>
      <c r="BH324" s="119"/>
      <c r="BI324" s="119"/>
      <c r="BJ324" s="119"/>
      <c r="BK324" s="119"/>
      <c r="BL324" s="121"/>
    </row>
    <row r="325" spans="1:64">
      <c r="A325" s="119">
        <v>323</v>
      </c>
      <c r="B325" s="113">
        <f t="shared" ref="B325:B388" si="5">B324+1</f>
        <v>45645</v>
      </c>
      <c r="C325" s="114">
        <f>YEAR(MC_2[[#This Row],[Date]])+IF(MONTH(MC_2[[#This Row],[Date]])&gt;=4,1,0)</f>
        <v>2025</v>
      </c>
      <c r="D325" s="115">
        <f>YEAR(MC_2[[#This Row],[Date]])</f>
        <v>2024</v>
      </c>
      <c r="E325" s="112" t="s">
        <v>340</v>
      </c>
      <c r="F325" s="112" t="s">
        <v>340</v>
      </c>
      <c r="G325" s="116" t="str">
        <f>TEXT(MC_2[[#This Row],[Date]],"mmm-yy")</f>
        <v>Dec-24</v>
      </c>
      <c r="H325" s="116">
        <f>DAY(EOMONTH(MC_2[[#This Row],[Month Year]],0))</f>
        <v>31</v>
      </c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G325" s="119"/>
      <c r="AH325" s="119"/>
      <c r="AI325" s="119"/>
      <c r="AJ325" s="119"/>
      <c r="AK325" s="119"/>
      <c r="AL325" s="119"/>
      <c r="AM325" s="119"/>
      <c r="AN325" s="119"/>
      <c r="AO325" s="119"/>
      <c r="AP325" s="119"/>
      <c r="AQ325" s="119"/>
      <c r="AR325" s="119"/>
      <c r="AS325" s="119"/>
      <c r="AT325" s="119"/>
      <c r="AU325" s="119"/>
      <c r="AV325" s="119"/>
      <c r="AW325" s="119"/>
      <c r="AX325" s="119"/>
      <c r="AY325" s="119"/>
      <c r="AZ325" s="119"/>
      <c r="BA325" s="119"/>
      <c r="BB325" s="119"/>
      <c r="BC325" s="119"/>
      <c r="BD325" s="119"/>
      <c r="BE325" s="5">
        <f>SUM(MC_2[[#This Row],[IS1Inv1M1]:[IS9Inv19M2]])</f>
        <v>0</v>
      </c>
      <c r="BF325" s="119"/>
      <c r="BG325" s="119"/>
      <c r="BH325" s="119"/>
      <c r="BI325" s="119"/>
      <c r="BJ325" s="119"/>
      <c r="BK325" s="119"/>
      <c r="BL325" s="121"/>
    </row>
    <row r="326" spans="1:64">
      <c r="A326" s="119">
        <v>324</v>
      </c>
      <c r="B326" s="113">
        <f t="shared" si="5"/>
        <v>45646</v>
      </c>
      <c r="C326" s="114">
        <f>YEAR(MC_2[[#This Row],[Date]])+IF(MONTH(MC_2[[#This Row],[Date]])&gt;=4,1,0)</f>
        <v>2025</v>
      </c>
      <c r="D326" s="115">
        <f>YEAR(MC_2[[#This Row],[Date]])</f>
        <v>2024</v>
      </c>
      <c r="E326" s="112" t="s">
        <v>340</v>
      </c>
      <c r="F326" s="112" t="s">
        <v>340</v>
      </c>
      <c r="G326" s="116" t="str">
        <f>TEXT(MC_2[[#This Row],[Date]],"mmm-yy")</f>
        <v>Dec-24</v>
      </c>
      <c r="H326" s="116">
        <f>DAY(EOMONTH(MC_2[[#This Row],[Month Year]],0))</f>
        <v>31</v>
      </c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G326" s="119"/>
      <c r="AH326" s="119"/>
      <c r="AI326" s="119"/>
      <c r="AJ326" s="119"/>
      <c r="AK326" s="119"/>
      <c r="AL326" s="119"/>
      <c r="AM326" s="112"/>
      <c r="AN326" s="112"/>
      <c r="AO326" s="112"/>
      <c r="AP326" s="112"/>
      <c r="AQ326" s="112"/>
      <c r="AR326" s="112"/>
      <c r="AS326" s="112"/>
      <c r="AT326" s="112"/>
      <c r="AU326" s="112"/>
      <c r="AV326" s="112"/>
      <c r="AW326" s="112"/>
      <c r="AX326" s="112"/>
      <c r="AY326" s="112"/>
      <c r="AZ326" s="112"/>
      <c r="BA326" s="112"/>
      <c r="BB326" s="112"/>
      <c r="BC326" s="112"/>
      <c r="BD326" s="112"/>
      <c r="BE326" s="5">
        <f>SUM(MC_2[[#This Row],[IS1Inv1M1]:[IS9Inv19M2]])</f>
        <v>0</v>
      </c>
      <c r="BF326" s="119"/>
      <c r="BG326" s="119"/>
      <c r="BH326" s="119"/>
      <c r="BI326" s="119"/>
      <c r="BJ326" s="119"/>
      <c r="BK326" s="119"/>
      <c r="BL326" s="121"/>
    </row>
    <row r="327" spans="1:64">
      <c r="A327" s="119">
        <v>325</v>
      </c>
      <c r="B327" s="113">
        <f t="shared" si="5"/>
        <v>45647</v>
      </c>
      <c r="C327" s="114">
        <f>YEAR(MC_2[[#This Row],[Date]])+IF(MONTH(MC_2[[#This Row],[Date]])&gt;=4,1,0)</f>
        <v>2025</v>
      </c>
      <c r="D327" s="115">
        <f>YEAR(MC_2[[#This Row],[Date]])</f>
        <v>2024</v>
      </c>
      <c r="E327" s="112" t="s">
        <v>340</v>
      </c>
      <c r="F327" s="112" t="s">
        <v>340</v>
      </c>
      <c r="G327" s="116" t="str">
        <f>TEXT(MC_2[[#This Row],[Date]],"mmm-yy")</f>
        <v>Dec-24</v>
      </c>
      <c r="H327" s="116">
        <f>DAY(EOMONTH(MC_2[[#This Row],[Month Year]],0))</f>
        <v>31</v>
      </c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G327" s="119"/>
      <c r="AH327" s="119"/>
      <c r="AI327" s="119"/>
      <c r="AJ327" s="119"/>
      <c r="AK327" s="119"/>
      <c r="AL327" s="119"/>
      <c r="AM327" s="119"/>
      <c r="AN327" s="119"/>
      <c r="AO327" s="119"/>
      <c r="AP327" s="119"/>
      <c r="AQ327" s="119"/>
      <c r="AR327" s="119"/>
      <c r="AS327" s="119"/>
      <c r="AT327" s="119"/>
      <c r="AU327" s="119"/>
      <c r="AV327" s="119"/>
      <c r="AW327" s="119"/>
      <c r="AX327" s="119"/>
      <c r="AY327" s="119"/>
      <c r="AZ327" s="119"/>
      <c r="BA327" s="119"/>
      <c r="BB327" s="119"/>
      <c r="BC327" s="119"/>
      <c r="BD327" s="119"/>
      <c r="BE327" s="5">
        <f>SUM(MC_2[[#This Row],[IS1Inv1M1]:[IS9Inv19M2]])</f>
        <v>0</v>
      </c>
      <c r="BF327" s="119"/>
      <c r="BG327" s="119"/>
      <c r="BH327" s="119"/>
      <c r="BI327" s="119"/>
      <c r="BJ327" s="119"/>
      <c r="BK327" s="119"/>
      <c r="BL327" s="121"/>
    </row>
    <row r="328" spans="1:64">
      <c r="A328" s="119">
        <v>326</v>
      </c>
      <c r="B328" s="113">
        <f t="shared" si="5"/>
        <v>45648</v>
      </c>
      <c r="C328" s="114">
        <f>YEAR(MC_2[[#This Row],[Date]])+IF(MONTH(MC_2[[#This Row],[Date]])&gt;=4,1,0)</f>
        <v>2025</v>
      </c>
      <c r="D328" s="115">
        <f>YEAR(MC_2[[#This Row],[Date]])</f>
        <v>2024</v>
      </c>
      <c r="E328" s="112" t="s">
        <v>340</v>
      </c>
      <c r="F328" s="112" t="s">
        <v>340</v>
      </c>
      <c r="G328" s="116" t="str">
        <f>TEXT(MC_2[[#This Row],[Date]],"mmm-yy")</f>
        <v>Dec-24</v>
      </c>
      <c r="H328" s="116">
        <f>DAY(EOMONTH(MC_2[[#This Row],[Month Year]],0))</f>
        <v>31</v>
      </c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G328" s="119"/>
      <c r="AH328" s="119"/>
      <c r="AI328" s="119"/>
      <c r="AJ328" s="119"/>
      <c r="AK328" s="119"/>
      <c r="AL328" s="119"/>
      <c r="AM328" s="119"/>
      <c r="AN328" s="119"/>
      <c r="AO328" s="119"/>
      <c r="AP328" s="119"/>
      <c r="AQ328" s="119"/>
      <c r="AR328" s="119"/>
      <c r="AS328" s="119"/>
      <c r="AT328" s="119"/>
      <c r="AU328" s="119"/>
      <c r="AV328" s="119"/>
      <c r="AW328" s="119"/>
      <c r="AX328" s="119"/>
      <c r="AY328" s="119"/>
      <c r="AZ328" s="119"/>
      <c r="BA328" s="119"/>
      <c r="BB328" s="119"/>
      <c r="BC328" s="119"/>
      <c r="BD328" s="119"/>
      <c r="BE328" s="5">
        <f>SUM(MC_2[[#This Row],[IS1Inv1M1]:[IS9Inv19M2]])</f>
        <v>0</v>
      </c>
      <c r="BF328" s="119"/>
      <c r="BG328" s="119"/>
      <c r="BH328" s="119"/>
      <c r="BI328" s="119"/>
      <c r="BJ328" s="119"/>
      <c r="BK328" s="119"/>
      <c r="BL328" s="121"/>
    </row>
    <row r="329" spans="1:64">
      <c r="A329" s="119">
        <v>327</v>
      </c>
      <c r="B329" s="113">
        <f t="shared" si="5"/>
        <v>45649</v>
      </c>
      <c r="C329" s="114">
        <f>YEAR(MC_2[[#This Row],[Date]])+IF(MONTH(MC_2[[#This Row],[Date]])&gt;=4,1,0)</f>
        <v>2025</v>
      </c>
      <c r="D329" s="115">
        <f>YEAR(MC_2[[#This Row],[Date]])</f>
        <v>2024</v>
      </c>
      <c r="E329" s="112" t="s">
        <v>340</v>
      </c>
      <c r="F329" s="112" t="s">
        <v>340</v>
      </c>
      <c r="G329" s="116" t="str">
        <f>TEXT(MC_2[[#This Row],[Date]],"mmm-yy")</f>
        <v>Dec-24</v>
      </c>
      <c r="H329" s="116">
        <f>DAY(EOMONTH(MC_2[[#This Row],[Month Year]],0))</f>
        <v>31</v>
      </c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G329" s="119"/>
      <c r="AH329" s="119"/>
      <c r="AI329" s="119"/>
      <c r="AJ329" s="119"/>
      <c r="AK329" s="119"/>
      <c r="AL329" s="119"/>
      <c r="AM329" s="119"/>
      <c r="AN329" s="119"/>
      <c r="AO329" s="119"/>
      <c r="AP329" s="119"/>
      <c r="AQ329" s="119"/>
      <c r="AR329" s="119"/>
      <c r="AS329" s="119"/>
      <c r="AT329" s="119"/>
      <c r="AU329" s="119"/>
      <c r="AV329" s="119"/>
      <c r="AW329" s="119"/>
      <c r="AX329" s="119"/>
      <c r="AY329" s="119"/>
      <c r="AZ329" s="119"/>
      <c r="BA329" s="119"/>
      <c r="BB329" s="119"/>
      <c r="BC329" s="119"/>
      <c r="BD329" s="119"/>
      <c r="BE329" s="5">
        <f>SUM(MC_2[[#This Row],[IS1Inv1M1]:[IS9Inv19M2]])</f>
        <v>0</v>
      </c>
      <c r="BF329" s="119"/>
      <c r="BG329" s="119"/>
      <c r="BH329" s="119"/>
      <c r="BI329" s="119"/>
      <c r="BJ329" s="119"/>
      <c r="BK329" s="119"/>
      <c r="BL329" s="121"/>
    </row>
    <row r="330" spans="1:64">
      <c r="A330" s="119">
        <v>328</v>
      </c>
      <c r="B330" s="113">
        <f t="shared" si="5"/>
        <v>45650</v>
      </c>
      <c r="C330" s="114">
        <f>YEAR(MC_2[[#This Row],[Date]])+IF(MONTH(MC_2[[#This Row],[Date]])&gt;=4,1,0)</f>
        <v>2025</v>
      </c>
      <c r="D330" s="115">
        <f>YEAR(MC_2[[#This Row],[Date]])</f>
        <v>2024</v>
      </c>
      <c r="E330" s="112" t="s">
        <v>340</v>
      </c>
      <c r="F330" s="112" t="s">
        <v>340</v>
      </c>
      <c r="G330" s="116" t="str">
        <f>TEXT(MC_2[[#This Row],[Date]],"mmm-yy")</f>
        <v>Dec-24</v>
      </c>
      <c r="H330" s="116">
        <f>DAY(EOMONTH(MC_2[[#This Row],[Month Year]],0))</f>
        <v>31</v>
      </c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G330" s="119"/>
      <c r="AH330" s="119"/>
      <c r="AI330" s="119"/>
      <c r="AJ330" s="119"/>
      <c r="AK330" s="119"/>
      <c r="AL330" s="119"/>
      <c r="AM330" s="119"/>
      <c r="AN330" s="119"/>
      <c r="AO330" s="119"/>
      <c r="AP330" s="119"/>
      <c r="AQ330" s="119"/>
      <c r="AR330" s="119"/>
      <c r="AS330" s="119"/>
      <c r="AT330" s="119"/>
      <c r="AU330" s="119"/>
      <c r="AV330" s="119"/>
      <c r="AW330" s="119"/>
      <c r="AX330" s="119"/>
      <c r="AY330" s="119"/>
      <c r="AZ330" s="119"/>
      <c r="BA330" s="119"/>
      <c r="BB330" s="119"/>
      <c r="BC330" s="119"/>
      <c r="BD330" s="119"/>
      <c r="BE330" s="5">
        <f>SUM(MC_2[[#This Row],[IS1Inv1M1]:[IS9Inv19M2]])</f>
        <v>0</v>
      </c>
      <c r="BF330" s="119"/>
      <c r="BG330" s="119"/>
      <c r="BH330" s="119"/>
      <c r="BI330" s="119"/>
      <c r="BJ330" s="119"/>
      <c r="BK330" s="119"/>
      <c r="BL330" s="121"/>
    </row>
    <row r="331" spans="1:64">
      <c r="A331" s="119">
        <v>329</v>
      </c>
      <c r="B331" s="113">
        <f t="shared" si="5"/>
        <v>45651</v>
      </c>
      <c r="C331" s="114">
        <f>YEAR(MC_2[[#This Row],[Date]])+IF(MONTH(MC_2[[#This Row],[Date]])&gt;=4,1,0)</f>
        <v>2025</v>
      </c>
      <c r="D331" s="115">
        <f>YEAR(MC_2[[#This Row],[Date]])</f>
        <v>2024</v>
      </c>
      <c r="E331" s="112" t="s">
        <v>340</v>
      </c>
      <c r="F331" s="112" t="s">
        <v>340</v>
      </c>
      <c r="G331" s="116" t="str">
        <f>TEXT(MC_2[[#This Row],[Date]],"mmm-yy")</f>
        <v>Dec-24</v>
      </c>
      <c r="H331" s="116">
        <f>DAY(EOMONTH(MC_2[[#This Row],[Month Year]],0))</f>
        <v>31</v>
      </c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G331" s="119"/>
      <c r="AH331" s="119"/>
      <c r="AI331" s="119"/>
      <c r="AJ331" s="119"/>
      <c r="AK331" s="119"/>
      <c r="AL331" s="119"/>
      <c r="AM331" s="119"/>
      <c r="AN331" s="119"/>
      <c r="AO331" s="119"/>
      <c r="AP331" s="119"/>
      <c r="AQ331" s="119"/>
      <c r="AR331" s="119"/>
      <c r="AS331" s="119"/>
      <c r="AT331" s="119"/>
      <c r="AU331" s="119"/>
      <c r="AV331" s="119"/>
      <c r="AW331" s="119"/>
      <c r="AX331" s="119"/>
      <c r="AY331" s="119"/>
      <c r="AZ331" s="119"/>
      <c r="BA331" s="119"/>
      <c r="BB331" s="119"/>
      <c r="BC331" s="119"/>
      <c r="BD331" s="119"/>
      <c r="BE331" s="5">
        <f>SUM(MC_2[[#This Row],[IS1Inv1M1]:[IS9Inv19M2]])</f>
        <v>0</v>
      </c>
      <c r="BF331" s="119"/>
      <c r="BG331" s="119"/>
      <c r="BH331" s="119"/>
      <c r="BI331" s="119"/>
      <c r="BJ331" s="119"/>
      <c r="BK331" s="119"/>
      <c r="BL331" s="121"/>
    </row>
    <row r="332" spans="1:64">
      <c r="A332" s="119">
        <v>330</v>
      </c>
      <c r="B332" s="113">
        <f t="shared" si="5"/>
        <v>45652</v>
      </c>
      <c r="C332" s="114">
        <f>YEAR(MC_2[[#This Row],[Date]])+IF(MONTH(MC_2[[#This Row],[Date]])&gt;=4,1,0)</f>
        <v>2025</v>
      </c>
      <c r="D332" s="115">
        <f>YEAR(MC_2[[#This Row],[Date]])</f>
        <v>2024</v>
      </c>
      <c r="E332" s="112" t="s">
        <v>340</v>
      </c>
      <c r="F332" s="112" t="s">
        <v>340</v>
      </c>
      <c r="G332" s="116" t="str">
        <f>TEXT(MC_2[[#This Row],[Date]],"mmm-yy")</f>
        <v>Dec-24</v>
      </c>
      <c r="H332" s="116">
        <f>DAY(EOMONTH(MC_2[[#This Row],[Month Year]],0))</f>
        <v>31</v>
      </c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G332" s="119"/>
      <c r="AH332" s="119"/>
      <c r="AI332" s="119"/>
      <c r="AJ332" s="119"/>
      <c r="AK332" s="119"/>
      <c r="AL332" s="119"/>
      <c r="AM332" s="119"/>
      <c r="AN332" s="119"/>
      <c r="AO332" s="119"/>
      <c r="AP332" s="119"/>
      <c r="AQ332" s="119"/>
      <c r="AR332" s="119"/>
      <c r="AS332" s="119"/>
      <c r="AT332" s="119"/>
      <c r="AU332" s="119"/>
      <c r="AV332" s="119"/>
      <c r="AW332" s="119"/>
      <c r="AX332" s="119"/>
      <c r="AY332" s="119"/>
      <c r="AZ332" s="119"/>
      <c r="BA332" s="119"/>
      <c r="BB332" s="119"/>
      <c r="BC332" s="119"/>
      <c r="BD332" s="119"/>
      <c r="BE332" s="5">
        <f>SUM(MC_2[[#This Row],[IS1Inv1M1]:[IS9Inv19M2]])</f>
        <v>0</v>
      </c>
      <c r="BF332" s="119"/>
      <c r="BG332" s="119"/>
      <c r="BH332" s="119"/>
      <c r="BI332" s="119"/>
      <c r="BJ332" s="119"/>
      <c r="BK332" s="119"/>
      <c r="BL332" s="121"/>
    </row>
    <row r="333" spans="1:64">
      <c r="A333" s="119">
        <v>331</v>
      </c>
      <c r="B333" s="113">
        <f t="shared" si="5"/>
        <v>45653</v>
      </c>
      <c r="C333" s="114">
        <f>YEAR(MC_2[[#This Row],[Date]])+IF(MONTH(MC_2[[#This Row],[Date]])&gt;=4,1,0)</f>
        <v>2025</v>
      </c>
      <c r="D333" s="115">
        <f>YEAR(MC_2[[#This Row],[Date]])</f>
        <v>2024</v>
      </c>
      <c r="E333" s="112" t="s">
        <v>340</v>
      </c>
      <c r="F333" s="112" t="s">
        <v>340</v>
      </c>
      <c r="G333" s="116" t="str">
        <f>TEXT(MC_2[[#This Row],[Date]],"mmm-yy")</f>
        <v>Dec-24</v>
      </c>
      <c r="H333" s="116">
        <f>DAY(EOMONTH(MC_2[[#This Row],[Month Year]],0))</f>
        <v>31</v>
      </c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G333" s="119"/>
      <c r="AH333" s="119"/>
      <c r="AI333" s="119"/>
      <c r="AJ333" s="119"/>
      <c r="AK333" s="119"/>
      <c r="AL333" s="119"/>
      <c r="AM333" s="119"/>
      <c r="AN333" s="119"/>
      <c r="AO333" s="119"/>
      <c r="AP333" s="119"/>
      <c r="AQ333" s="119"/>
      <c r="AR333" s="119"/>
      <c r="AS333" s="119"/>
      <c r="AT333" s="119"/>
      <c r="AU333" s="119"/>
      <c r="AV333" s="119"/>
      <c r="AW333" s="119"/>
      <c r="AX333" s="119"/>
      <c r="AY333" s="119"/>
      <c r="AZ333" s="119"/>
      <c r="BA333" s="119"/>
      <c r="BB333" s="119"/>
      <c r="BC333" s="119"/>
      <c r="BD333" s="119"/>
      <c r="BE333" s="5">
        <f>SUM(MC_2[[#This Row],[IS1Inv1M1]:[IS9Inv19M2]])</f>
        <v>0</v>
      </c>
      <c r="BF333" s="119"/>
      <c r="BG333" s="119"/>
      <c r="BH333" s="119"/>
      <c r="BI333" s="119"/>
      <c r="BJ333" s="119"/>
      <c r="BK333" s="119"/>
      <c r="BL333" s="121"/>
    </row>
    <row r="334" spans="1:64">
      <c r="A334" s="119">
        <v>332</v>
      </c>
      <c r="B334" s="113">
        <f t="shared" si="5"/>
        <v>45654</v>
      </c>
      <c r="C334" s="114">
        <f>YEAR(MC_2[[#This Row],[Date]])+IF(MONTH(MC_2[[#This Row],[Date]])&gt;=4,1,0)</f>
        <v>2025</v>
      </c>
      <c r="D334" s="115">
        <f>YEAR(MC_2[[#This Row],[Date]])</f>
        <v>2024</v>
      </c>
      <c r="E334" s="112" t="s">
        <v>340</v>
      </c>
      <c r="F334" s="112" t="s">
        <v>340</v>
      </c>
      <c r="G334" s="116" t="str">
        <f>TEXT(MC_2[[#This Row],[Date]],"mmm-yy")</f>
        <v>Dec-24</v>
      </c>
      <c r="H334" s="116">
        <f>DAY(EOMONTH(MC_2[[#This Row],[Month Year]],0))</f>
        <v>31</v>
      </c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G334" s="119"/>
      <c r="AH334" s="119"/>
      <c r="AI334" s="119"/>
      <c r="AJ334" s="119"/>
      <c r="AK334" s="119"/>
      <c r="AL334" s="119"/>
      <c r="AM334" s="119"/>
      <c r="AN334" s="119"/>
      <c r="AO334" s="119"/>
      <c r="AP334" s="119"/>
      <c r="AQ334" s="119"/>
      <c r="AR334" s="119"/>
      <c r="AS334" s="119"/>
      <c r="AT334" s="119"/>
      <c r="AU334" s="119"/>
      <c r="AV334" s="119"/>
      <c r="AW334" s="119"/>
      <c r="AX334" s="119"/>
      <c r="AY334" s="119"/>
      <c r="AZ334" s="119"/>
      <c r="BA334" s="119"/>
      <c r="BB334" s="119"/>
      <c r="BC334" s="119"/>
      <c r="BD334" s="119"/>
      <c r="BE334" s="5">
        <f>SUM(MC_2[[#This Row],[IS1Inv1M1]:[IS9Inv19M2]])</f>
        <v>0</v>
      </c>
      <c r="BF334" s="119"/>
      <c r="BG334" s="119"/>
      <c r="BH334" s="119"/>
      <c r="BI334" s="119"/>
      <c r="BJ334" s="119"/>
      <c r="BK334" s="119"/>
      <c r="BL334" s="121"/>
    </row>
    <row r="335" spans="1:64">
      <c r="A335" s="119">
        <v>333</v>
      </c>
      <c r="B335" s="113">
        <f t="shared" si="5"/>
        <v>45655</v>
      </c>
      <c r="C335" s="114">
        <f>YEAR(MC_2[[#This Row],[Date]])+IF(MONTH(MC_2[[#This Row],[Date]])&gt;=4,1,0)</f>
        <v>2025</v>
      </c>
      <c r="D335" s="115">
        <f>YEAR(MC_2[[#This Row],[Date]])</f>
        <v>2024</v>
      </c>
      <c r="E335" s="112" t="s">
        <v>340</v>
      </c>
      <c r="F335" s="112" t="s">
        <v>340</v>
      </c>
      <c r="G335" s="116" t="str">
        <f>TEXT(MC_2[[#This Row],[Date]],"mmm-yy")</f>
        <v>Dec-24</v>
      </c>
      <c r="H335" s="116">
        <f>DAY(EOMONTH(MC_2[[#This Row],[Month Year]],0))</f>
        <v>31</v>
      </c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G335" s="119"/>
      <c r="AH335" s="119"/>
      <c r="AI335" s="119"/>
      <c r="AJ335" s="119"/>
      <c r="AK335" s="119"/>
      <c r="AL335" s="119"/>
      <c r="AM335" s="119"/>
      <c r="AN335" s="119"/>
      <c r="AO335" s="119"/>
      <c r="AP335" s="119"/>
      <c r="AQ335" s="119"/>
      <c r="AR335" s="119"/>
      <c r="AS335" s="119"/>
      <c r="AT335" s="119"/>
      <c r="AU335" s="119"/>
      <c r="AV335" s="119"/>
      <c r="AW335" s="119"/>
      <c r="AX335" s="119"/>
      <c r="AY335" s="119"/>
      <c r="AZ335" s="119"/>
      <c r="BA335" s="119"/>
      <c r="BB335" s="119"/>
      <c r="BC335" s="119"/>
      <c r="BD335" s="119"/>
      <c r="BE335" s="5">
        <f>SUM(MC_2[[#This Row],[IS1Inv1M1]:[IS9Inv19M2]])</f>
        <v>0</v>
      </c>
      <c r="BF335" s="119"/>
      <c r="BG335" s="119"/>
      <c r="BH335" s="119"/>
      <c r="BI335" s="119"/>
      <c r="BJ335" s="119"/>
      <c r="BK335" s="119"/>
      <c r="BL335" s="121"/>
    </row>
    <row r="336" spans="1:64">
      <c r="A336" s="119">
        <v>334</v>
      </c>
      <c r="B336" s="113">
        <f t="shared" si="5"/>
        <v>45656</v>
      </c>
      <c r="C336" s="114">
        <f>YEAR(MC_2[[#This Row],[Date]])+IF(MONTH(MC_2[[#This Row],[Date]])&gt;=4,1,0)</f>
        <v>2025</v>
      </c>
      <c r="D336" s="115">
        <f>YEAR(MC_2[[#This Row],[Date]])</f>
        <v>2024</v>
      </c>
      <c r="E336" s="112" t="s">
        <v>340</v>
      </c>
      <c r="F336" s="112" t="s">
        <v>340</v>
      </c>
      <c r="G336" s="116" t="str">
        <f>TEXT(MC_2[[#This Row],[Date]],"mmm-yy")</f>
        <v>Dec-24</v>
      </c>
      <c r="H336" s="116">
        <f>DAY(EOMONTH(MC_2[[#This Row],[Month Year]],0))</f>
        <v>31</v>
      </c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G336" s="119"/>
      <c r="AH336" s="119"/>
      <c r="AI336" s="119"/>
      <c r="AJ336" s="119"/>
      <c r="AK336" s="119"/>
      <c r="AL336" s="119"/>
      <c r="AM336" s="119"/>
      <c r="AN336" s="119"/>
      <c r="AO336" s="119"/>
      <c r="AP336" s="119"/>
      <c r="AQ336" s="119"/>
      <c r="AR336" s="119"/>
      <c r="AS336" s="119"/>
      <c r="AT336" s="119"/>
      <c r="AU336" s="119"/>
      <c r="AV336" s="119"/>
      <c r="AW336" s="119"/>
      <c r="AX336" s="119"/>
      <c r="AY336" s="119"/>
      <c r="AZ336" s="119"/>
      <c r="BA336" s="119"/>
      <c r="BB336" s="119"/>
      <c r="BC336" s="119"/>
      <c r="BD336" s="119"/>
      <c r="BE336" s="5">
        <f>SUM(MC_2[[#This Row],[IS1Inv1M1]:[IS9Inv19M2]])</f>
        <v>0</v>
      </c>
      <c r="BF336" s="119"/>
      <c r="BG336" s="119"/>
      <c r="BH336" s="119"/>
      <c r="BI336" s="119"/>
      <c r="BJ336" s="119"/>
      <c r="BK336" s="119"/>
      <c r="BL336" s="121"/>
    </row>
    <row r="337" spans="1:64">
      <c r="A337" s="119">
        <v>335</v>
      </c>
      <c r="B337" s="113">
        <f t="shared" si="5"/>
        <v>45657</v>
      </c>
      <c r="C337" s="114">
        <f>YEAR(MC_2[[#This Row],[Date]])+IF(MONTH(MC_2[[#This Row],[Date]])&gt;=4,1,0)</f>
        <v>2025</v>
      </c>
      <c r="D337" s="115">
        <f>YEAR(MC_2[[#This Row],[Date]])</f>
        <v>2024</v>
      </c>
      <c r="E337" s="112" t="s">
        <v>340</v>
      </c>
      <c r="F337" s="112" t="s">
        <v>340</v>
      </c>
      <c r="G337" s="116" t="str">
        <f>TEXT(MC_2[[#This Row],[Date]],"mmm-yy")</f>
        <v>Dec-24</v>
      </c>
      <c r="H337" s="116">
        <f>DAY(EOMONTH(MC_2[[#This Row],[Month Year]],0))</f>
        <v>31</v>
      </c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  <c r="BC337" s="119"/>
      <c r="BD337" s="119"/>
      <c r="BE337" s="5">
        <f>SUM(MC_2[[#This Row],[IS1Inv1M1]:[IS9Inv19M2]])</f>
        <v>0</v>
      </c>
      <c r="BF337" s="119"/>
      <c r="BG337" s="119"/>
      <c r="BH337" s="119"/>
      <c r="BI337" s="119"/>
      <c r="BJ337" s="119"/>
      <c r="BK337" s="119"/>
      <c r="BL337" s="121"/>
    </row>
    <row r="338" spans="1:64">
      <c r="A338" s="119">
        <v>336</v>
      </c>
      <c r="B338" s="113">
        <f t="shared" si="5"/>
        <v>45658</v>
      </c>
      <c r="C338" s="114">
        <f>YEAR(MC_2[[#This Row],[Date]])+IF(MONTH(MC_2[[#This Row],[Date]])&gt;=4,1,0)</f>
        <v>2025</v>
      </c>
      <c r="D338" s="115">
        <f>YEAR(MC_2[[#This Row],[Date]])</f>
        <v>2025</v>
      </c>
      <c r="E338" s="112" t="s">
        <v>340</v>
      </c>
      <c r="F338" s="112" t="s">
        <v>340</v>
      </c>
      <c r="G338" s="116" t="str">
        <f>TEXT(MC_2[[#This Row],[Date]],"mmm-yy")</f>
        <v>Jan-25</v>
      </c>
      <c r="H338" s="116">
        <f>DAY(EOMONTH(MC_2[[#This Row],[Month Year]],0))</f>
        <v>31</v>
      </c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  <c r="BC338" s="119"/>
      <c r="BD338" s="119"/>
      <c r="BE338" s="5">
        <f>SUM(MC_2[[#This Row],[IS1Inv1M1]:[IS9Inv19M2]])</f>
        <v>0</v>
      </c>
      <c r="BF338" s="119"/>
      <c r="BG338" s="119"/>
      <c r="BH338" s="119"/>
      <c r="BI338" s="119"/>
      <c r="BJ338" s="119"/>
      <c r="BK338" s="119"/>
      <c r="BL338" s="121"/>
    </row>
    <row r="339" spans="1:64">
      <c r="A339" s="119">
        <v>337</v>
      </c>
      <c r="B339" s="113">
        <f t="shared" si="5"/>
        <v>45659</v>
      </c>
      <c r="C339" s="114">
        <f>YEAR(MC_2[[#This Row],[Date]])+IF(MONTH(MC_2[[#This Row],[Date]])&gt;=4,1,0)</f>
        <v>2025</v>
      </c>
      <c r="D339" s="115">
        <f>YEAR(MC_2[[#This Row],[Date]])</f>
        <v>2025</v>
      </c>
      <c r="E339" s="112" t="s">
        <v>340</v>
      </c>
      <c r="F339" s="112" t="s">
        <v>340</v>
      </c>
      <c r="G339" s="116" t="str">
        <f>TEXT(MC_2[[#This Row],[Date]],"mmm-yy")</f>
        <v>Jan-25</v>
      </c>
      <c r="H339" s="116">
        <f>DAY(EOMONTH(MC_2[[#This Row],[Month Year]],0))</f>
        <v>31</v>
      </c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  <c r="BB339" s="119"/>
      <c r="BC339" s="119"/>
      <c r="BD339" s="119"/>
      <c r="BE339" s="5">
        <f>SUM(MC_2[[#This Row],[IS1Inv1M1]:[IS9Inv19M2]])</f>
        <v>0</v>
      </c>
      <c r="BF339" s="119"/>
      <c r="BG339" s="119"/>
      <c r="BH339" s="119"/>
      <c r="BI339" s="119"/>
      <c r="BJ339" s="119"/>
      <c r="BK339" s="119"/>
      <c r="BL339" s="121"/>
    </row>
    <row r="340" spans="1:64">
      <c r="A340" s="119">
        <v>338</v>
      </c>
      <c r="B340" s="113">
        <f t="shared" si="5"/>
        <v>45660</v>
      </c>
      <c r="C340" s="114">
        <f>YEAR(MC_2[[#This Row],[Date]])+IF(MONTH(MC_2[[#This Row],[Date]])&gt;=4,1,0)</f>
        <v>2025</v>
      </c>
      <c r="D340" s="115">
        <f>YEAR(MC_2[[#This Row],[Date]])</f>
        <v>2025</v>
      </c>
      <c r="E340" s="112" t="s">
        <v>340</v>
      </c>
      <c r="F340" s="112" t="s">
        <v>340</v>
      </c>
      <c r="G340" s="116" t="str">
        <f>TEXT(MC_2[[#This Row],[Date]],"mmm-yy")</f>
        <v>Jan-25</v>
      </c>
      <c r="H340" s="116">
        <f>DAY(EOMONTH(MC_2[[#This Row],[Month Year]],0))</f>
        <v>31</v>
      </c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  <c r="BB340" s="119"/>
      <c r="BC340" s="119"/>
      <c r="BD340" s="119"/>
      <c r="BE340" s="5">
        <f>SUM(MC_2[[#This Row],[IS1Inv1M1]:[IS9Inv19M2]])</f>
        <v>0</v>
      </c>
      <c r="BF340" s="119"/>
      <c r="BG340" s="119"/>
      <c r="BH340" s="119"/>
      <c r="BI340" s="119"/>
      <c r="BJ340" s="119"/>
      <c r="BK340" s="119"/>
      <c r="BL340" s="121"/>
    </row>
    <row r="341" spans="1:64">
      <c r="A341" s="119">
        <v>339</v>
      </c>
      <c r="B341" s="113">
        <f t="shared" si="5"/>
        <v>45661</v>
      </c>
      <c r="C341" s="114">
        <f>YEAR(MC_2[[#This Row],[Date]])+IF(MONTH(MC_2[[#This Row],[Date]])&gt;=4,1,0)</f>
        <v>2025</v>
      </c>
      <c r="D341" s="115">
        <f>YEAR(MC_2[[#This Row],[Date]])</f>
        <v>2025</v>
      </c>
      <c r="E341" s="112" t="s">
        <v>340</v>
      </c>
      <c r="F341" s="112" t="s">
        <v>340</v>
      </c>
      <c r="G341" s="116" t="str">
        <f>TEXT(MC_2[[#This Row],[Date]],"mmm-yy")</f>
        <v>Jan-25</v>
      </c>
      <c r="H341" s="116">
        <f>DAY(EOMONTH(MC_2[[#This Row],[Month Year]],0))</f>
        <v>31</v>
      </c>
      <c r="I341" s="119"/>
      <c r="J341" s="119"/>
      <c r="K341" s="119"/>
      <c r="L341" s="119"/>
      <c r="M341" s="119"/>
      <c r="N341" s="119"/>
      <c r="O341" s="119">
        <v>9</v>
      </c>
      <c r="P341" s="119">
        <v>9</v>
      </c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  <c r="BB341" s="119"/>
      <c r="BC341" s="119"/>
      <c r="BD341" s="119"/>
      <c r="BE341" s="5">
        <f>SUM(MC_2[[#This Row],[IS1Inv1M1]:[IS9Inv19M2]])</f>
        <v>18</v>
      </c>
      <c r="BF341" s="119"/>
      <c r="BG341" s="119"/>
      <c r="BH341" s="119"/>
      <c r="BI341" s="119"/>
      <c r="BJ341" s="119"/>
      <c r="BK341" s="119"/>
      <c r="BL341" s="121"/>
    </row>
    <row r="342" spans="1:64">
      <c r="A342" s="119">
        <v>340</v>
      </c>
      <c r="B342" s="113">
        <f t="shared" si="5"/>
        <v>45662</v>
      </c>
      <c r="C342" s="114">
        <f>YEAR(MC_2[[#This Row],[Date]])+IF(MONTH(MC_2[[#This Row],[Date]])&gt;=4,1,0)</f>
        <v>2025</v>
      </c>
      <c r="D342" s="115">
        <f>YEAR(MC_2[[#This Row],[Date]])</f>
        <v>2025</v>
      </c>
      <c r="E342" s="112" t="s">
        <v>340</v>
      </c>
      <c r="F342" s="112" t="s">
        <v>340</v>
      </c>
      <c r="G342" s="116" t="str">
        <f>TEXT(MC_2[[#This Row],[Date]],"mmm-yy")</f>
        <v>Jan-25</v>
      </c>
      <c r="H342" s="116">
        <f>DAY(EOMONTH(MC_2[[#This Row],[Month Year]],0))</f>
        <v>31</v>
      </c>
      <c r="I342" s="119"/>
      <c r="J342" s="119"/>
      <c r="K342" s="119"/>
      <c r="L342" s="119"/>
      <c r="M342" s="119"/>
      <c r="N342" s="119"/>
      <c r="O342" s="119"/>
      <c r="P342" s="119">
        <v>12</v>
      </c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  <c r="BB342" s="119"/>
      <c r="BC342" s="119"/>
      <c r="BD342" s="119"/>
      <c r="BE342" s="5">
        <f>SUM(MC_2[[#This Row],[IS1Inv1M1]:[IS9Inv19M2]])</f>
        <v>12</v>
      </c>
      <c r="BF342" s="119"/>
      <c r="BG342" s="119"/>
      <c r="BH342" s="119"/>
      <c r="BI342" s="119"/>
      <c r="BJ342" s="119"/>
      <c r="BK342" s="119"/>
      <c r="BL342" s="121"/>
    </row>
    <row r="343" spans="1:64">
      <c r="A343" s="119">
        <v>341</v>
      </c>
      <c r="B343" s="113">
        <f t="shared" si="5"/>
        <v>45663</v>
      </c>
      <c r="C343" s="114">
        <f>YEAR(MC_2[[#This Row],[Date]])+IF(MONTH(MC_2[[#This Row],[Date]])&gt;=4,1,0)</f>
        <v>2025</v>
      </c>
      <c r="D343" s="115">
        <f>YEAR(MC_2[[#This Row],[Date]])</f>
        <v>2025</v>
      </c>
      <c r="E343" s="112" t="s">
        <v>340</v>
      </c>
      <c r="F343" s="112" t="s">
        <v>340</v>
      </c>
      <c r="G343" s="116" t="str">
        <f>TEXT(MC_2[[#This Row],[Date]],"mmm-yy")</f>
        <v>Jan-25</v>
      </c>
      <c r="H343" s="116">
        <f>DAY(EOMONTH(MC_2[[#This Row],[Month Year]],0))</f>
        <v>31</v>
      </c>
      <c r="I343" s="119"/>
      <c r="J343" s="119"/>
      <c r="K343" s="119"/>
      <c r="L343" s="119"/>
      <c r="M343" s="119"/>
      <c r="N343" s="119"/>
      <c r="O343" s="119"/>
      <c r="P343" s="119">
        <v>19</v>
      </c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2"/>
      <c r="AN343" s="112"/>
      <c r="AO343" s="112"/>
      <c r="AP343" s="112"/>
      <c r="AQ343" s="112"/>
      <c r="AR343" s="112"/>
      <c r="AS343" s="112"/>
      <c r="AT343" s="112"/>
      <c r="AU343" s="112"/>
      <c r="AV343" s="112"/>
      <c r="AW343" s="112"/>
      <c r="AX343" s="112"/>
      <c r="AY343" s="112"/>
      <c r="AZ343" s="112"/>
      <c r="BA343" s="112"/>
      <c r="BB343" s="112"/>
      <c r="BC343" s="112"/>
      <c r="BD343" s="112"/>
      <c r="BE343" s="5">
        <f>SUM(MC_2[[#This Row],[IS1Inv1M1]:[IS9Inv19M2]])</f>
        <v>19</v>
      </c>
      <c r="BF343" s="119"/>
      <c r="BG343" s="119"/>
      <c r="BH343" s="119"/>
      <c r="BI343" s="119"/>
      <c r="BJ343" s="119"/>
      <c r="BK343" s="119"/>
      <c r="BL343" s="121"/>
    </row>
    <row r="344" spans="1:64">
      <c r="A344" s="119">
        <v>342</v>
      </c>
      <c r="B344" s="113">
        <f t="shared" si="5"/>
        <v>45664</v>
      </c>
      <c r="C344" s="114">
        <f>YEAR(MC_2[[#This Row],[Date]])+IF(MONTH(MC_2[[#This Row],[Date]])&gt;=4,1,0)</f>
        <v>2025</v>
      </c>
      <c r="D344" s="115">
        <f>YEAR(MC_2[[#This Row],[Date]])</f>
        <v>2025</v>
      </c>
      <c r="E344" s="112" t="s">
        <v>340</v>
      </c>
      <c r="F344" s="112" t="s">
        <v>340</v>
      </c>
      <c r="G344" s="116" t="str">
        <f>TEXT(MC_2[[#This Row],[Date]],"mmm-yy")</f>
        <v>Jan-25</v>
      </c>
      <c r="H344" s="116">
        <f>DAY(EOMONTH(MC_2[[#This Row],[Month Year]],0))</f>
        <v>31</v>
      </c>
      <c r="I344" s="119"/>
      <c r="J344" s="119"/>
      <c r="K344" s="119"/>
      <c r="L344" s="119"/>
      <c r="M344" s="119"/>
      <c r="N344" s="119"/>
      <c r="O344" s="119"/>
      <c r="P344" s="119"/>
      <c r="Q344" s="119">
        <v>20</v>
      </c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  <c r="BB344" s="119"/>
      <c r="BC344" s="119"/>
      <c r="BD344" s="119"/>
      <c r="BE344" s="5">
        <f>SUM(MC_2[[#This Row],[IS1Inv1M1]:[IS9Inv19M2]])</f>
        <v>20</v>
      </c>
      <c r="BF344" s="119"/>
      <c r="BG344" s="119"/>
      <c r="BH344" s="119"/>
      <c r="BI344" s="119"/>
      <c r="BJ344" s="119"/>
      <c r="BK344" s="119"/>
      <c r="BL344" s="121"/>
    </row>
    <row r="345" spans="1:64">
      <c r="A345" s="119">
        <v>343</v>
      </c>
      <c r="B345" s="113">
        <f t="shared" si="5"/>
        <v>45665</v>
      </c>
      <c r="C345" s="114">
        <f>YEAR(MC_2[[#This Row],[Date]])+IF(MONTH(MC_2[[#This Row],[Date]])&gt;=4,1,0)</f>
        <v>2025</v>
      </c>
      <c r="D345" s="115">
        <f>YEAR(MC_2[[#This Row],[Date]])</f>
        <v>2025</v>
      </c>
      <c r="E345" s="112" t="s">
        <v>340</v>
      </c>
      <c r="F345" s="112" t="s">
        <v>340</v>
      </c>
      <c r="G345" s="116" t="str">
        <f>TEXT(MC_2[[#This Row],[Date]],"mmm-yy")</f>
        <v>Jan-25</v>
      </c>
      <c r="H345" s="116">
        <f>DAY(EOMONTH(MC_2[[#This Row],[Month Year]],0))</f>
        <v>31</v>
      </c>
      <c r="I345" s="119"/>
      <c r="J345" s="119"/>
      <c r="K345" s="119">
        <v>8</v>
      </c>
      <c r="L345" s="119"/>
      <c r="M345" s="119"/>
      <c r="N345" s="119"/>
      <c r="O345" s="119"/>
      <c r="P345" s="119"/>
      <c r="Q345" s="119"/>
      <c r="R345" s="119">
        <v>10</v>
      </c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  <c r="BC345" s="119"/>
      <c r="BD345" s="119"/>
      <c r="BE345" s="5">
        <f>SUM(MC_2[[#This Row],[IS1Inv1M1]:[IS9Inv19M2]])</f>
        <v>18</v>
      </c>
      <c r="BF345" s="119"/>
      <c r="BG345" s="119"/>
      <c r="BH345" s="119"/>
      <c r="BI345" s="119"/>
      <c r="BJ345" s="119"/>
      <c r="BK345" s="119"/>
      <c r="BL345" s="121"/>
    </row>
    <row r="346" spans="1:64">
      <c r="A346" s="119">
        <v>344</v>
      </c>
      <c r="B346" s="113">
        <f t="shared" si="5"/>
        <v>45666</v>
      </c>
      <c r="C346" s="114">
        <f>YEAR(MC_2[[#This Row],[Date]])+IF(MONTH(MC_2[[#This Row],[Date]])&gt;=4,1,0)</f>
        <v>2025</v>
      </c>
      <c r="D346" s="115">
        <f>YEAR(MC_2[[#This Row],[Date]])</f>
        <v>2025</v>
      </c>
      <c r="E346" s="112" t="s">
        <v>340</v>
      </c>
      <c r="F346" s="112" t="s">
        <v>340</v>
      </c>
      <c r="G346" s="116" t="str">
        <f>TEXT(MC_2[[#This Row],[Date]],"mmm-yy")</f>
        <v>Jan-25</v>
      </c>
      <c r="H346" s="116">
        <f>DAY(EOMONTH(MC_2[[#This Row],[Month Year]],0))</f>
        <v>31</v>
      </c>
      <c r="I346" s="119"/>
      <c r="J346" s="119"/>
      <c r="K346" s="119"/>
      <c r="L346" s="119"/>
      <c r="M346" s="119"/>
      <c r="N346" s="119"/>
      <c r="O346" s="119"/>
      <c r="P346" s="119">
        <v>9</v>
      </c>
      <c r="Q346" s="119"/>
      <c r="R346" s="119">
        <v>33</v>
      </c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  <c r="BB346" s="119"/>
      <c r="BC346" s="119"/>
      <c r="BD346" s="119"/>
      <c r="BE346" s="5">
        <f>SUM(MC_2[[#This Row],[IS1Inv1M1]:[IS9Inv19M2]])</f>
        <v>42</v>
      </c>
      <c r="BF346" s="119"/>
      <c r="BG346" s="119"/>
      <c r="BH346" s="119"/>
      <c r="BI346" s="119"/>
      <c r="BJ346" s="119"/>
      <c r="BK346" s="119"/>
      <c r="BL346" s="121"/>
    </row>
    <row r="347" spans="1:64">
      <c r="A347" s="119">
        <v>345</v>
      </c>
      <c r="B347" s="113">
        <f t="shared" si="5"/>
        <v>45667</v>
      </c>
      <c r="C347" s="114">
        <f>YEAR(MC_2[[#This Row],[Date]])+IF(MONTH(MC_2[[#This Row],[Date]])&gt;=4,1,0)</f>
        <v>2025</v>
      </c>
      <c r="D347" s="115">
        <f>YEAR(MC_2[[#This Row],[Date]])</f>
        <v>2025</v>
      </c>
      <c r="E347" s="112" t="s">
        <v>340</v>
      </c>
      <c r="F347" s="112" t="s">
        <v>340</v>
      </c>
      <c r="G347" s="116" t="str">
        <f>TEXT(MC_2[[#This Row],[Date]],"mmm-yy")</f>
        <v>Jan-25</v>
      </c>
      <c r="H347" s="116">
        <f>DAY(EOMONTH(MC_2[[#This Row],[Month Year]],0))</f>
        <v>31</v>
      </c>
      <c r="I347" s="119"/>
      <c r="J347" s="119"/>
      <c r="K347" s="119">
        <v>42</v>
      </c>
      <c r="L347" s="119">
        <v>8</v>
      </c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19"/>
      <c r="BD347" s="119"/>
      <c r="BE347" s="5">
        <f>SUM(MC_2[[#This Row],[IS1Inv1M1]:[IS9Inv19M2]])</f>
        <v>50</v>
      </c>
      <c r="BF347" s="119"/>
      <c r="BG347" s="119"/>
      <c r="BH347" s="119"/>
      <c r="BI347" s="119"/>
      <c r="BJ347" s="119"/>
      <c r="BK347" s="119"/>
      <c r="BL347" s="121"/>
    </row>
    <row r="348" spans="1:64">
      <c r="A348" s="119">
        <v>346</v>
      </c>
      <c r="B348" s="113">
        <f t="shared" si="5"/>
        <v>45668</v>
      </c>
      <c r="C348" s="114">
        <f>YEAR(MC_2[[#This Row],[Date]])+IF(MONTH(MC_2[[#This Row],[Date]])&gt;=4,1,0)</f>
        <v>2025</v>
      </c>
      <c r="D348" s="115">
        <f>YEAR(MC_2[[#This Row],[Date]])</f>
        <v>2025</v>
      </c>
      <c r="E348" s="112" t="s">
        <v>340</v>
      </c>
      <c r="F348" s="112" t="s">
        <v>340</v>
      </c>
      <c r="G348" s="116" t="str">
        <f>TEXT(MC_2[[#This Row],[Date]],"mmm-yy")</f>
        <v>Jan-25</v>
      </c>
      <c r="H348" s="116">
        <f>DAY(EOMONTH(MC_2[[#This Row],[Month Year]],0))</f>
        <v>31</v>
      </c>
      <c r="I348" s="119"/>
      <c r="J348" s="119"/>
      <c r="K348" s="119"/>
      <c r="L348" s="119">
        <v>50</v>
      </c>
      <c r="M348" s="119">
        <v>2</v>
      </c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  <c r="BB348" s="119"/>
      <c r="BC348" s="119"/>
      <c r="BD348" s="119"/>
      <c r="BE348" s="5">
        <f>SUM(MC_2[[#This Row],[IS1Inv1M1]:[IS9Inv19M2]])</f>
        <v>52</v>
      </c>
      <c r="BF348" s="119"/>
      <c r="BG348" s="119"/>
      <c r="BH348" s="119"/>
      <c r="BI348" s="119"/>
      <c r="BJ348" s="119"/>
      <c r="BK348" s="119"/>
      <c r="BL348" s="121"/>
    </row>
    <row r="349" spans="1:64">
      <c r="A349" s="119">
        <v>347</v>
      </c>
      <c r="B349" s="113">
        <f t="shared" si="5"/>
        <v>45669</v>
      </c>
      <c r="C349" s="114">
        <f>YEAR(MC_2[[#This Row],[Date]])+IF(MONTH(MC_2[[#This Row],[Date]])&gt;=4,1,0)</f>
        <v>2025</v>
      </c>
      <c r="D349" s="115">
        <f>YEAR(MC_2[[#This Row],[Date]])</f>
        <v>2025</v>
      </c>
      <c r="E349" s="112" t="s">
        <v>340</v>
      </c>
      <c r="F349" s="112" t="s">
        <v>340</v>
      </c>
      <c r="G349" s="116" t="str">
        <f>TEXT(MC_2[[#This Row],[Date]],"mmm-yy")</f>
        <v>Jan-25</v>
      </c>
      <c r="H349" s="116">
        <f>DAY(EOMONTH(MC_2[[#This Row],[Month Year]],0))</f>
        <v>31</v>
      </c>
      <c r="I349" s="119"/>
      <c r="J349" s="119"/>
      <c r="K349" s="119"/>
      <c r="L349" s="119"/>
      <c r="M349" s="119">
        <v>24.5</v>
      </c>
      <c r="N349" s="119"/>
      <c r="O349" s="119">
        <v>20</v>
      </c>
      <c r="P349" s="119">
        <v>7</v>
      </c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  <c r="BB349" s="119"/>
      <c r="BC349" s="119"/>
      <c r="BD349" s="119"/>
      <c r="BE349" s="5">
        <f>SUM(MC_2[[#This Row],[IS1Inv1M1]:[IS9Inv19M2]])</f>
        <v>51.5</v>
      </c>
      <c r="BF349" s="119"/>
      <c r="BG349" s="119"/>
      <c r="BH349" s="119"/>
      <c r="BI349" s="119"/>
      <c r="BJ349" s="119"/>
      <c r="BK349" s="119"/>
      <c r="BL349" s="121"/>
    </row>
    <row r="350" spans="1:64">
      <c r="A350" s="119">
        <v>348</v>
      </c>
      <c r="B350" s="113">
        <f t="shared" si="5"/>
        <v>45670</v>
      </c>
      <c r="C350" s="114">
        <f>YEAR(MC_2[[#This Row],[Date]])+IF(MONTH(MC_2[[#This Row],[Date]])&gt;=4,1,0)</f>
        <v>2025</v>
      </c>
      <c r="D350" s="115">
        <f>YEAR(MC_2[[#This Row],[Date]])</f>
        <v>2025</v>
      </c>
      <c r="E350" s="112" t="s">
        <v>340</v>
      </c>
      <c r="F350" s="112" t="s">
        <v>340</v>
      </c>
      <c r="G350" s="116" t="str">
        <f>TEXT(MC_2[[#This Row],[Date]],"mmm-yy")</f>
        <v>Jan-25</v>
      </c>
      <c r="H350" s="116">
        <f>DAY(EOMONTH(MC_2[[#This Row],[Month Year]],0))</f>
        <v>31</v>
      </c>
      <c r="I350" s="119"/>
      <c r="J350" s="119"/>
      <c r="K350" s="119"/>
      <c r="L350" s="119"/>
      <c r="M350" s="119"/>
      <c r="N350" s="119">
        <v>28</v>
      </c>
      <c r="O350" s="119">
        <v>20</v>
      </c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  <c r="BB350" s="119"/>
      <c r="BC350" s="119"/>
      <c r="BD350" s="119"/>
      <c r="BE350" s="5">
        <f>SUM(MC_2[[#This Row],[IS1Inv1M1]:[IS9Inv19M2]])</f>
        <v>48</v>
      </c>
      <c r="BF350" s="119"/>
      <c r="BG350" s="119"/>
      <c r="BH350" s="119"/>
      <c r="BI350" s="119"/>
      <c r="BJ350" s="119"/>
      <c r="BK350" s="119"/>
      <c r="BL350" s="121"/>
    </row>
    <row r="351" spans="1:64">
      <c r="A351" s="119">
        <v>349</v>
      </c>
      <c r="B351" s="113">
        <f t="shared" si="5"/>
        <v>45671</v>
      </c>
      <c r="C351" s="114">
        <f>YEAR(MC_2[[#This Row],[Date]])+IF(MONTH(MC_2[[#This Row],[Date]])&gt;=4,1,0)</f>
        <v>2025</v>
      </c>
      <c r="D351" s="115">
        <f>YEAR(MC_2[[#This Row],[Date]])</f>
        <v>2025</v>
      </c>
      <c r="E351" s="112" t="s">
        <v>340</v>
      </c>
      <c r="F351" s="112" t="s">
        <v>340</v>
      </c>
      <c r="G351" s="116" t="str">
        <f>TEXT(MC_2[[#This Row],[Date]],"mmm-yy")</f>
        <v>Jan-25</v>
      </c>
      <c r="H351" s="116">
        <f>DAY(EOMONTH(MC_2[[#This Row],[Month Year]],0))</f>
        <v>31</v>
      </c>
      <c r="I351" s="119"/>
      <c r="J351" s="119"/>
      <c r="K351" s="119"/>
      <c r="L351" s="119"/>
      <c r="M351" s="119"/>
      <c r="N351" s="119">
        <v>20</v>
      </c>
      <c r="O351" s="119">
        <v>4</v>
      </c>
      <c r="P351" s="119"/>
      <c r="Q351" s="119">
        <v>24</v>
      </c>
      <c r="R351" s="119">
        <v>5</v>
      </c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  <c r="BB351" s="119"/>
      <c r="BC351" s="119"/>
      <c r="BD351" s="119"/>
      <c r="BE351" s="5">
        <f>SUM(MC_2[[#This Row],[IS1Inv1M1]:[IS9Inv19M2]])</f>
        <v>53</v>
      </c>
      <c r="BF351" s="119"/>
      <c r="BG351" s="119"/>
      <c r="BH351" s="119"/>
      <c r="BI351" s="119"/>
      <c r="BJ351" s="119"/>
      <c r="BK351" s="119"/>
      <c r="BL351" s="121"/>
    </row>
    <row r="352" spans="1:64">
      <c r="A352" s="119">
        <v>350</v>
      </c>
      <c r="B352" s="113">
        <f t="shared" si="5"/>
        <v>45672</v>
      </c>
      <c r="C352" s="114">
        <f>YEAR(MC_2[[#This Row],[Date]])+IF(MONTH(MC_2[[#This Row],[Date]])&gt;=4,1,0)</f>
        <v>2025</v>
      </c>
      <c r="D352" s="115">
        <f>YEAR(MC_2[[#This Row],[Date]])</f>
        <v>2025</v>
      </c>
      <c r="E352" s="112" t="s">
        <v>340</v>
      </c>
      <c r="F352" s="112" t="s">
        <v>340</v>
      </c>
      <c r="G352" s="116" t="str">
        <f>TEXT(MC_2[[#This Row],[Date]],"mmm-yy")</f>
        <v>Jan-25</v>
      </c>
      <c r="H352" s="116">
        <f>DAY(EOMONTH(MC_2[[#This Row],[Month Year]],0))</f>
        <v>31</v>
      </c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  <c r="BB352" s="119"/>
      <c r="BC352" s="119"/>
      <c r="BD352" s="119"/>
      <c r="BE352" s="5">
        <f>SUM(MC_2[[#This Row],[IS1Inv1M1]:[IS9Inv19M2]])</f>
        <v>0</v>
      </c>
      <c r="BF352" s="119"/>
      <c r="BG352" s="119"/>
      <c r="BH352" s="119"/>
      <c r="BI352" s="119"/>
      <c r="BJ352" s="119"/>
      <c r="BK352" s="119"/>
      <c r="BL352" s="121"/>
    </row>
    <row r="353" spans="1:64">
      <c r="A353" s="119">
        <v>351</v>
      </c>
      <c r="B353" s="113">
        <f t="shared" si="5"/>
        <v>45673</v>
      </c>
      <c r="C353" s="114">
        <f>YEAR(MC_2[[#This Row],[Date]])+IF(MONTH(MC_2[[#This Row],[Date]])&gt;=4,1,0)</f>
        <v>2025</v>
      </c>
      <c r="D353" s="115">
        <f>YEAR(MC_2[[#This Row],[Date]])</f>
        <v>2025</v>
      </c>
      <c r="E353" s="112" t="s">
        <v>340</v>
      </c>
      <c r="F353" s="112" t="s">
        <v>340</v>
      </c>
      <c r="G353" s="116" t="str">
        <f>TEXT(MC_2[[#This Row],[Date]],"mmm-yy")</f>
        <v>Jan-25</v>
      </c>
      <c r="H353" s="116">
        <f>DAY(EOMONTH(MC_2[[#This Row],[Month Year]],0))</f>
        <v>31</v>
      </c>
      <c r="I353" s="119"/>
      <c r="J353" s="119"/>
      <c r="K353" s="119"/>
      <c r="L353" s="119"/>
      <c r="M353" s="119">
        <v>17</v>
      </c>
      <c r="N353" s="119"/>
      <c r="O353" s="119"/>
      <c r="P353" s="119"/>
      <c r="Q353" s="119"/>
      <c r="R353" s="119"/>
      <c r="S353" s="119"/>
      <c r="T353" s="119"/>
      <c r="U353" s="119">
        <v>8</v>
      </c>
      <c r="V353" s="119">
        <v>20</v>
      </c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  <c r="BC353" s="119"/>
      <c r="BD353" s="119"/>
      <c r="BE353" s="5">
        <f>SUM(MC_2[[#This Row],[IS1Inv1M1]:[IS9Inv19M2]])</f>
        <v>45</v>
      </c>
      <c r="BF353" s="119"/>
      <c r="BG353" s="119"/>
      <c r="BH353" s="119"/>
      <c r="BI353" s="119"/>
      <c r="BJ353" s="119"/>
      <c r="BK353" s="119"/>
      <c r="BL353" s="121"/>
    </row>
    <row r="354" spans="1:64">
      <c r="A354" s="119">
        <v>352</v>
      </c>
      <c r="B354" s="113">
        <f t="shared" si="5"/>
        <v>45674</v>
      </c>
      <c r="C354" s="114">
        <f>YEAR(MC_2[[#This Row],[Date]])+IF(MONTH(MC_2[[#This Row],[Date]])&gt;=4,1,0)</f>
        <v>2025</v>
      </c>
      <c r="D354" s="115">
        <f>YEAR(MC_2[[#This Row],[Date]])</f>
        <v>2025</v>
      </c>
      <c r="E354" s="112" t="s">
        <v>340</v>
      </c>
      <c r="F354" s="112" t="s">
        <v>340</v>
      </c>
      <c r="G354" s="116" t="str">
        <f>TEXT(MC_2[[#This Row],[Date]],"mmm-yy")</f>
        <v>Jan-25</v>
      </c>
      <c r="H354" s="116">
        <f>DAY(EOMONTH(MC_2[[#This Row],[Month Year]],0))</f>
        <v>31</v>
      </c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>
        <v>32</v>
      </c>
      <c r="V354" s="119"/>
      <c r="W354" s="119"/>
      <c r="X354" s="119">
        <v>16</v>
      </c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  <c r="BC354" s="119"/>
      <c r="BD354" s="119"/>
      <c r="BE354" s="5">
        <f>SUM(MC_2[[#This Row],[IS1Inv1M1]:[IS9Inv19M2]])</f>
        <v>48</v>
      </c>
      <c r="BF354" s="119"/>
      <c r="BG354" s="119"/>
      <c r="BH354" s="119"/>
      <c r="BI354" s="119"/>
      <c r="BJ354" s="119"/>
      <c r="BK354" s="119"/>
      <c r="BL354" s="121"/>
    </row>
    <row r="355" spans="1:64">
      <c r="A355" s="119">
        <v>353</v>
      </c>
      <c r="B355" s="113">
        <f t="shared" si="5"/>
        <v>45675</v>
      </c>
      <c r="C355" s="114">
        <f>YEAR(MC_2[[#This Row],[Date]])+IF(MONTH(MC_2[[#This Row],[Date]])&gt;=4,1,0)</f>
        <v>2025</v>
      </c>
      <c r="D355" s="115">
        <f>YEAR(MC_2[[#This Row],[Date]])</f>
        <v>2025</v>
      </c>
      <c r="E355" s="112" t="s">
        <v>340</v>
      </c>
      <c r="F355" s="112" t="s">
        <v>340</v>
      </c>
      <c r="G355" s="116" t="str">
        <f>TEXT(MC_2[[#This Row],[Date]],"mmm-yy")</f>
        <v>Jan-25</v>
      </c>
      <c r="H355" s="116">
        <f>DAY(EOMONTH(MC_2[[#This Row],[Month Year]],0))</f>
        <v>31</v>
      </c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>
        <v>11</v>
      </c>
      <c r="U355" s="119">
        <v>14</v>
      </c>
      <c r="V355" s="119"/>
      <c r="W355" s="119"/>
      <c r="X355" s="119">
        <v>4</v>
      </c>
      <c r="Y355" s="119">
        <v>2</v>
      </c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  <c r="BB355" s="119"/>
      <c r="BC355" s="119"/>
      <c r="BD355" s="119"/>
      <c r="BE355" s="5">
        <f>SUM(MC_2[[#This Row],[IS1Inv1M1]:[IS9Inv19M2]])</f>
        <v>31</v>
      </c>
      <c r="BF355" s="119"/>
      <c r="BG355" s="119"/>
      <c r="BH355" s="119"/>
      <c r="BI355" s="119"/>
      <c r="BJ355" s="119"/>
      <c r="BK355" s="119"/>
      <c r="BL355" s="121"/>
    </row>
    <row r="356" spans="1:64">
      <c r="A356" s="326">
        <v>354</v>
      </c>
      <c r="B356" s="113">
        <f t="shared" si="5"/>
        <v>45676</v>
      </c>
      <c r="C356" s="114">
        <f>YEAR(MC_2[[#This Row],[Date]])+IF(MONTH(MC_2[[#This Row],[Date]])&gt;=4,1,0)</f>
        <v>2025</v>
      </c>
      <c r="D356" s="115">
        <f>YEAR(MC_2[[#This Row],[Date]])</f>
        <v>2025</v>
      </c>
      <c r="E356" s="112" t="s">
        <v>340</v>
      </c>
      <c r="F356" s="112" t="s">
        <v>340</v>
      </c>
      <c r="G356" s="116" t="str">
        <f>TEXT(MC_2[[#This Row],[Date]],"mmm-yy")</f>
        <v>Jan-25</v>
      </c>
      <c r="H356" s="116">
        <f>DAY(EOMONTH(MC_2[[#This Row],[Month Year]],0))</f>
        <v>31</v>
      </c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>
        <v>47</v>
      </c>
      <c r="T356" s="119">
        <v>28</v>
      </c>
      <c r="U356" s="119"/>
      <c r="V356" s="119">
        <v>8</v>
      </c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>
        <v>22</v>
      </c>
      <c r="AR356" s="119">
        <v>18</v>
      </c>
      <c r="AS356" s="119"/>
      <c r="AT356" s="119"/>
      <c r="AU356" s="119"/>
      <c r="AV356" s="119"/>
      <c r="AW356" s="119"/>
      <c r="AX356" s="119"/>
      <c r="AY356" s="119"/>
      <c r="AZ356" s="119"/>
      <c r="BA356" s="119"/>
      <c r="BB356" s="119"/>
      <c r="BC356" s="119"/>
      <c r="BD356" s="119"/>
      <c r="BE356" s="5">
        <f>SUM(MC_2[[#This Row],[IS1Inv1M1]:[IS9Inv19M2]])</f>
        <v>123</v>
      </c>
      <c r="BF356" s="119"/>
      <c r="BG356" s="119"/>
      <c r="BH356" s="119"/>
      <c r="BI356" s="119"/>
      <c r="BJ356" s="119"/>
      <c r="BK356" s="119"/>
      <c r="BL356" s="121"/>
    </row>
    <row r="357" spans="1:64">
      <c r="A357" s="119">
        <v>355</v>
      </c>
      <c r="B357" s="113">
        <f t="shared" si="5"/>
        <v>45677</v>
      </c>
      <c r="C357" s="114">
        <f>YEAR(MC_2[[#This Row],[Date]])+IF(MONTH(MC_2[[#This Row],[Date]])&gt;=4,1,0)</f>
        <v>2025</v>
      </c>
      <c r="D357" s="115">
        <f>YEAR(MC_2[[#This Row],[Date]])</f>
        <v>2025</v>
      </c>
      <c r="E357" s="112" t="s">
        <v>340</v>
      </c>
      <c r="F357" s="112" t="s">
        <v>340</v>
      </c>
      <c r="G357" s="116" t="str">
        <f>TEXT(MC_2[[#This Row],[Date]],"mmm-yy")</f>
        <v>Jan-25</v>
      </c>
      <c r="H357" s="116">
        <f>DAY(EOMONTH(MC_2[[#This Row],[Month Year]],0))</f>
        <v>31</v>
      </c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>
        <v>9</v>
      </c>
      <c r="W357" s="119"/>
      <c r="X357" s="119"/>
      <c r="Y357" s="119"/>
      <c r="Z357" s="119">
        <v>41</v>
      </c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>
        <v>5</v>
      </c>
      <c r="AS357" s="119">
        <v>33</v>
      </c>
      <c r="AT357" s="119"/>
      <c r="AU357" s="119"/>
      <c r="AV357" s="119"/>
      <c r="AW357" s="119"/>
      <c r="AX357" s="119"/>
      <c r="AY357" s="119"/>
      <c r="AZ357" s="119"/>
      <c r="BA357" s="119"/>
      <c r="BB357" s="119"/>
      <c r="BC357" s="119"/>
      <c r="BD357" s="119"/>
      <c r="BE357" s="5">
        <f>SUM(MC_2[[#This Row],[IS1Inv1M1]:[IS9Inv19M2]])</f>
        <v>88</v>
      </c>
      <c r="BF357" s="119"/>
      <c r="BG357" s="119"/>
      <c r="BH357" s="119"/>
      <c r="BI357" s="119"/>
      <c r="BJ357" s="119"/>
      <c r="BK357" s="119"/>
      <c r="BL357" s="121"/>
    </row>
    <row r="358" spans="1:64">
      <c r="A358" s="119">
        <v>356</v>
      </c>
      <c r="B358" s="113">
        <f t="shared" si="5"/>
        <v>45678</v>
      </c>
      <c r="C358" s="114">
        <f>YEAR(MC_2[[#This Row],[Date]])+IF(MONTH(MC_2[[#This Row],[Date]])&gt;=4,1,0)</f>
        <v>2025</v>
      </c>
      <c r="D358" s="115">
        <f>YEAR(MC_2[[#This Row],[Date]])</f>
        <v>2025</v>
      </c>
      <c r="E358" s="112" t="s">
        <v>340</v>
      </c>
      <c r="F358" s="112" t="s">
        <v>340</v>
      </c>
      <c r="G358" s="116" t="str">
        <f>TEXT(MC_2[[#This Row],[Date]],"mmm-yy")</f>
        <v>Jan-25</v>
      </c>
      <c r="H358" s="116">
        <f>DAY(EOMONTH(MC_2[[#This Row],[Month Year]],0))</f>
        <v>31</v>
      </c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>
        <v>19</v>
      </c>
      <c r="W358" s="119">
        <v>13</v>
      </c>
      <c r="X358" s="119"/>
      <c r="Y358" s="119"/>
      <c r="Z358" s="119">
        <v>17</v>
      </c>
      <c r="AA358" s="119">
        <v>21</v>
      </c>
      <c r="AB358" s="119"/>
      <c r="AC358" s="119">
        <v>3</v>
      </c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>
        <v>59</v>
      </c>
      <c r="AN358" s="119">
        <v>31.5</v>
      </c>
      <c r="AO358" s="119"/>
      <c r="AP358" s="119"/>
      <c r="AQ358" s="119">
        <v>28</v>
      </c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  <c r="BC358" s="119"/>
      <c r="BD358" s="119"/>
      <c r="BE358" s="5">
        <f>SUM(MC_2[[#This Row],[IS1Inv1M1]:[IS9Inv19M2]])</f>
        <v>191.5</v>
      </c>
      <c r="BF358" s="119"/>
      <c r="BG358" s="119"/>
      <c r="BH358" s="119"/>
      <c r="BI358" s="119"/>
      <c r="BJ358" s="119"/>
      <c r="BK358" s="119"/>
      <c r="BL358" s="121"/>
    </row>
    <row r="359" spans="1:64">
      <c r="A359" s="119">
        <v>357</v>
      </c>
      <c r="B359" s="113">
        <f t="shared" si="5"/>
        <v>45679</v>
      </c>
      <c r="C359" s="114">
        <f>YEAR(MC_2[[#This Row],[Date]])+IF(MONTH(MC_2[[#This Row],[Date]])&gt;=4,1,0)</f>
        <v>2025</v>
      </c>
      <c r="D359" s="115">
        <f>YEAR(MC_2[[#This Row],[Date]])</f>
        <v>2025</v>
      </c>
      <c r="E359" s="112" t="s">
        <v>340</v>
      </c>
      <c r="F359" s="112" t="s">
        <v>340</v>
      </c>
      <c r="G359" s="116" t="str">
        <f>TEXT(MC_2[[#This Row],[Date]],"mmm-yy")</f>
        <v>Jan-25</v>
      </c>
      <c r="H359" s="116">
        <f>DAY(EOMONTH(MC_2[[#This Row],[Month Year]],0))</f>
        <v>31</v>
      </c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>
        <v>32</v>
      </c>
      <c r="X359" s="119">
        <v>19</v>
      </c>
      <c r="Y359" s="119"/>
      <c r="Z359" s="119"/>
      <c r="AA359" s="119">
        <v>12</v>
      </c>
      <c r="AB359" s="119">
        <v>5</v>
      </c>
      <c r="AC359" s="119">
        <v>10</v>
      </c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>
        <v>29</v>
      </c>
      <c r="AO359" s="119">
        <v>23.5</v>
      </c>
      <c r="AP359" s="119">
        <v>31</v>
      </c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  <c r="BB359" s="119"/>
      <c r="BC359" s="119"/>
      <c r="BD359" s="119"/>
      <c r="BE359" s="5">
        <f>SUM(MC_2[[#This Row],[IS1Inv1M1]:[IS9Inv19M2]])</f>
        <v>161.5</v>
      </c>
      <c r="BF359" s="119"/>
      <c r="BG359" s="119"/>
      <c r="BH359" s="119"/>
      <c r="BI359" s="119"/>
      <c r="BJ359" s="119"/>
      <c r="BK359" s="119"/>
      <c r="BL359" s="121"/>
    </row>
    <row r="360" spans="1:64">
      <c r="A360" s="119">
        <v>358</v>
      </c>
      <c r="B360" s="113">
        <f t="shared" si="5"/>
        <v>45680</v>
      </c>
      <c r="C360" s="114">
        <f>YEAR(MC_2[[#This Row],[Date]])+IF(MONTH(MC_2[[#This Row],[Date]])&gt;=4,1,0)</f>
        <v>2025</v>
      </c>
      <c r="D360" s="115">
        <f>YEAR(MC_2[[#This Row],[Date]])</f>
        <v>2025</v>
      </c>
      <c r="E360" s="112" t="s">
        <v>340</v>
      </c>
      <c r="F360" s="112" t="s">
        <v>340</v>
      </c>
      <c r="G360" s="116" t="str">
        <f>TEXT(MC_2[[#This Row],[Date]],"mmm-yy")</f>
        <v>Jan-25</v>
      </c>
      <c r="H360" s="116">
        <f>DAY(EOMONTH(MC_2[[#This Row],[Month Year]],0))</f>
        <v>31</v>
      </c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>
        <v>29</v>
      </c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2"/>
      <c r="AN360" s="112"/>
      <c r="AO360" s="112">
        <v>34</v>
      </c>
      <c r="AP360" s="112"/>
      <c r="AQ360" s="112">
        <v>8.5</v>
      </c>
      <c r="AR360" s="112"/>
      <c r="AS360" s="112"/>
      <c r="AT360" s="112">
        <v>16</v>
      </c>
      <c r="AU360" s="112"/>
      <c r="AV360" s="112"/>
      <c r="AW360" s="112">
        <v>8</v>
      </c>
      <c r="AX360" s="112"/>
      <c r="AY360" s="112"/>
      <c r="AZ360" s="112">
        <v>11.5</v>
      </c>
      <c r="BA360" s="112"/>
      <c r="BB360" s="112"/>
      <c r="BC360" s="112"/>
      <c r="BD360" s="112"/>
      <c r="BE360" s="5">
        <f>SUM(MC_2[[#This Row],[IS1Inv1M1]:[IS9Inv19M2]])</f>
        <v>107</v>
      </c>
      <c r="BF360" s="119"/>
      <c r="BG360" s="119"/>
      <c r="BH360" s="119"/>
      <c r="BI360" s="119"/>
      <c r="BJ360" s="119"/>
      <c r="BK360" s="119"/>
      <c r="BL360" s="121"/>
    </row>
    <row r="361" spans="1:64">
      <c r="A361" s="119">
        <v>359</v>
      </c>
      <c r="B361" s="113">
        <f t="shared" si="5"/>
        <v>45681</v>
      </c>
      <c r="C361" s="114">
        <f>YEAR(MC_2[[#This Row],[Date]])+IF(MONTH(MC_2[[#This Row],[Date]])&gt;=4,1,0)</f>
        <v>2025</v>
      </c>
      <c r="D361" s="115">
        <f>YEAR(MC_2[[#This Row],[Date]])</f>
        <v>2025</v>
      </c>
      <c r="E361" s="112" t="s">
        <v>340</v>
      </c>
      <c r="F361" s="112" t="s">
        <v>340</v>
      </c>
      <c r="G361" s="116" t="str">
        <f>TEXT(MC_2[[#This Row],[Date]],"mmm-yy")</f>
        <v>Jan-25</v>
      </c>
      <c r="H361" s="116">
        <f>DAY(EOMONTH(MC_2[[#This Row],[Month Year]],0))</f>
        <v>31</v>
      </c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>
        <v>8</v>
      </c>
      <c r="X361" s="119">
        <v>8</v>
      </c>
      <c r="Y361" s="119"/>
      <c r="Z361" s="119"/>
      <c r="AA361" s="119">
        <v>17.5</v>
      </c>
      <c r="AB361" s="119">
        <v>20</v>
      </c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>
        <v>22</v>
      </c>
      <c r="AU361" s="119"/>
      <c r="AV361" s="119"/>
      <c r="AW361" s="119">
        <v>9.5</v>
      </c>
      <c r="AX361" s="119"/>
      <c r="AY361" s="119">
        <v>20</v>
      </c>
      <c r="AZ361" s="119">
        <v>20.5</v>
      </c>
      <c r="BA361" s="119"/>
      <c r="BB361" s="119"/>
      <c r="BC361" s="119"/>
      <c r="BD361" s="119"/>
      <c r="BE361" s="5">
        <f>SUM(MC_2[[#This Row],[IS1Inv1M1]:[IS9Inv19M2]])</f>
        <v>125.5</v>
      </c>
      <c r="BF361" s="119"/>
      <c r="BG361" s="119"/>
      <c r="BH361" s="119"/>
      <c r="BI361" s="119"/>
      <c r="BJ361" s="119"/>
      <c r="BK361" s="119"/>
      <c r="BL361" s="121"/>
    </row>
    <row r="362" spans="1:64">
      <c r="A362" s="119">
        <v>360</v>
      </c>
      <c r="B362" s="113">
        <f t="shared" si="5"/>
        <v>45682</v>
      </c>
      <c r="C362" s="114">
        <f>YEAR(MC_2[[#This Row],[Date]])+IF(MONTH(MC_2[[#This Row],[Date]])&gt;=4,1,0)</f>
        <v>2025</v>
      </c>
      <c r="D362" s="115">
        <f>YEAR(MC_2[[#This Row],[Date]])</f>
        <v>2025</v>
      </c>
      <c r="E362" s="112" t="s">
        <v>340</v>
      </c>
      <c r="F362" s="112" t="s">
        <v>340</v>
      </c>
      <c r="G362" s="116" t="str">
        <f>TEXT(MC_2[[#This Row],[Date]],"mmm-yy")</f>
        <v>Jan-25</v>
      </c>
      <c r="H362" s="116">
        <f>DAY(EOMONTH(MC_2[[#This Row],[Month Year]],0))</f>
        <v>31</v>
      </c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>
        <v>14.5</v>
      </c>
      <c r="AB362" s="119">
        <v>42</v>
      </c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  <c r="AU362" s="119">
        <v>6</v>
      </c>
      <c r="AV362" s="119">
        <v>8</v>
      </c>
      <c r="AW362" s="119">
        <v>21</v>
      </c>
      <c r="AX362" s="119">
        <v>3</v>
      </c>
      <c r="AY362" s="119">
        <v>17</v>
      </c>
      <c r="AZ362" s="119">
        <v>15.5</v>
      </c>
      <c r="BA362" s="119"/>
      <c r="BB362" s="119"/>
      <c r="BC362" s="119"/>
      <c r="BD362" s="119"/>
      <c r="BE362" s="5">
        <f>SUM(MC_2[[#This Row],[IS1Inv1M1]:[IS9Inv19M2]])</f>
        <v>127</v>
      </c>
      <c r="BF362" s="119"/>
      <c r="BG362" s="119"/>
      <c r="BH362" s="119"/>
      <c r="BI362" s="119"/>
      <c r="BJ362" s="119"/>
      <c r="BK362" s="119"/>
      <c r="BL362" s="121"/>
    </row>
    <row r="363" spans="1:64">
      <c r="A363" s="119">
        <v>361</v>
      </c>
      <c r="B363" s="113">
        <f t="shared" si="5"/>
        <v>45683</v>
      </c>
      <c r="C363" s="114">
        <f>YEAR(MC_2[[#This Row],[Date]])+IF(MONTH(MC_2[[#This Row],[Date]])&gt;=4,1,0)</f>
        <v>2025</v>
      </c>
      <c r="D363" s="115">
        <f>YEAR(MC_2[[#This Row],[Date]])</f>
        <v>2025</v>
      </c>
      <c r="E363" s="112" t="s">
        <v>340</v>
      </c>
      <c r="F363" s="112" t="s">
        <v>340</v>
      </c>
      <c r="G363" s="116" t="str">
        <f>TEXT(MC_2[[#This Row],[Date]],"mmm-yy")</f>
        <v>Jan-25</v>
      </c>
      <c r="H363" s="116">
        <f>DAY(EOMONTH(MC_2[[#This Row],[Month Year]],0))</f>
        <v>31</v>
      </c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>
        <v>4</v>
      </c>
      <c r="AP363" s="119"/>
      <c r="AQ363" s="119"/>
      <c r="AR363" s="119"/>
      <c r="AS363" s="119"/>
      <c r="AT363" s="119"/>
      <c r="AU363" s="119">
        <v>41</v>
      </c>
      <c r="AV363" s="119">
        <v>35</v>
      </c>
      <c r="AW363" s="119">
        <v>6</v>
      </c>
      <c r="AX363" s="119">
        <v>1</v>
      </c>
      <c r="AY363" s="119"/>
      <c r="AZ363" s="119"/>
      <c r="BA363" s="119"/>
      <c r="BB363" s="119"/>
      <c r="BC363" s="119"/>
      <c r="BD363" s="119"/>
      <c r="BE363" s="5">
        <f>SUM(MC_2[[#This Row],[IS1Inv1M1]:[IS9Inv19M2]])</f>
        <v>87</v>
      </c>
      <c r="BF363" s="119"/>
      <c r="BG363" s="119"/>
      <c r="BH363" s="119"/>
      <c r="BI363" s="119"/>
      <c r="BJ363" s="119"/>
      <c r="BK363" s="119"/>
      <c r="BL363" s="121"/>
    </row>
    <row r="364" spans="1:64">
      <c r="A364" s="119">
        <v>362</v>
      </c>
      <c r="B364" s="113">
        <f t="shared" si="5"/>
        <v>45684</v>
      </c>
      <c r="C364" s="114">
        <f>YEAR(MC_2[[#This Row],[Date]])+IF(MONTH(MC_2[[#This Row],[Date]])&gt;=4,1,0)</f>
        <v>2025</v>
      </c>
      <c r="D364" s="115">
        <f>YEAR(MC_2[[#This Row],[Date]])</f>
        <v>2025</v>
      </c>
      <c r="E364" s="112" t="s">
        <v>340</v>
      </c>
      <c r="F364" s="112" t="s">
        <v>340</v>
      </c>
      <c r="G364" s="116" t="str">
        <f>TEXT(MC_2[[#This Row],[Date]],"mmm-yy")</f>
        <v>Jan-25</v>
      </c>
      <c r="H364" s="116">
        <f>DAY(EOMONTH(MC_2[[#This Row],[Month Year]],0))</f>
        <v>31</v>
      </c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>
        <v>31</v>
      </c>
      <c r="AD364" s="119">
        <v>30</v>
      </c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>
        <v>6</v>
      </c>
      <c r="BB364" s="119">
        <v>51</v>
      </c>
      <c r="BC364" s="119" t="s">
        <v>1271</v>
      </c>
      <c r="BD364" s="119"/>
      <c r="BE364" s="5">
        <f>SUM(MC_2[[#This Row],[IS1Inv1M1]:[IS9Inv19M2]])</f>
        <v>118</v>
      </c>
      <c r="BF364" s="119"/>
      <c r="BG364" s="119"/>
      <c r="BH364" s="119"/>
      <c r="BI364" s="119"/>
      <c r="BJ364" s="119"/>
      <c r="BK364" s="119"/>
      <c r="BL364" s="121"/>
    </row>
    <row r="365" spans="1:64">
      <c r="A365" s="119">
        <v>363</v>
      </c>
      <c r="B365" s="113">
        <f t="shared" si="5"/>
        <v>45685</v>
      </c>
      <c r="C365" s="114">
        <f>YEAR(MC_2[[#This Row],[Date]])+IF(MONTH(MC_2[[#This Row],[Date]])&gt;=4,1,0)</f>
        <v>2025</v>
      </c>
      <c r="D365" s="115">
        <f>YEAR(MC_2[[#This Row],[Date]])</f>
        <v>2025</v>
      </c>
      <c r="E365" s="112" t="s">
        <v>340</v>
      </c>
      <c r="F365" s="112" t="s">
        <v>340</v>
      </c>
      <c r="G365" s="116" t="str">
        <f>TEXT(MC_2[[#This Row],[Date]],"mmm-yy")</f>
        <v>Jan-25</v>
      </c>
      <c r="H365" s="116">
        <f>DAY(EOMONTH(MC_2[[#This Row],[Month Year]],0))</f>
        <v>31</v>
      </c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>
        <v>25</v>
      </c>
      <c r="AS365" s="119"/>
      <c r="AT365" s="119"/>
      <c r="AU365" s="119"/>
      <c r="AV365" s="119"/>
      <c r="AW365" s="119"/>
      <c r="AX365" s="119"/>
      <c r="AY365" s="119"/>
      <c r="AZ365" s="119"/>
      <c r="BA365" s="119">
        <v>52</v>
      </c>
      <c r="BB365" s="119"/>
      <c r="BC365" s="119">
        <v>22.5</v>
      </c>
      <c r="BD365" s="119"/>
      <c r="BE365" s="5">
        <f>SUM(MC_2[[#This Row],[IS1Inv1M1]:[IS9Inv19M2]])</f>
        <v>99.5</v>
      </c>
      <c r="BF365" s="119"/>
      <c r="BG365" s="119"/>
      <c r="BH365" s="119"/>
      <c r="BI365" s="119"/>
      <c r="BJ365" s="119"/>
      <c r="BK365" s="119"/>
      <c r="BL365" s="121"/>
    </row>
    <row r="366" spans="1:64">
      <c r="A366" s="119">
        <v>364</v>
      </c>
      <c r="B366" s="113">
        <f t="shared" si="5"/>
        <v>45686</v>
      </c>
      <c r="C366" s="114">
        <f>YEAR(MC_2[[#This Row],[Date]])+IF(MONTH(MC_2[[#This Row],[Date]])&gt;=4,1,0)</f>
        <v>2025</v>
      </c>
      <c r="D366" s="115">
        <f>YEAR(MC_2[[#This Row],[Date]])</f>
        <v>2025</v>
      </c>
      <c r="E366" s="112" t="s">
        <v>340</v>
      </c>
      <c r="F366" s="112" t="s">
        <v>340</v>
      </c>
      <c r="G366" s="116" t="str">
        <f>TEXT(MC_2[[#This Row],[Date]],"mmm-yy")</f>
        <v>Jan-25</v>
      </c>
      <c r="H366" s="116">
        <f>DAY(EOMONTH(MC_2[[#This Row],[Month Year]],0))</f>
        <v>31</v>
      </c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>
        <v>39</v>
      </c>
      <c r="AE366" s="119"/>
      <c r="AF366" s="119"/>
      <c r="AG366" s="119"/>
      <c r="AH366" s="119"/>
      <c r="AI366" s="119"/>
      <c r="AJ366" s="119">
        <v>45</v>
      </c>
      <c r="AK366" s="119"/>
      <c r="AL366" s="119"/>
      <c r="AM366" s="119"/>
      <c r="AN366" s="119"/>
      <c r="AO366" s="119"/>
      <c r="AP366" s="119"/>
      <c r="AQ366" s="119"/>
      <c r="AR366" s="119">
        <v>14</v>
      </c>
      <c r="AS366" s="119">
        <v>16.5</v>
      </c>
      <c r="AT366" s="119">
        <v>28</v>
      </c>
      <c r="AU366" s="119"/>
      <c r="AV366" s="119"/>
      <c r="AW366" s="119">
        <v>15</v>
      </c>
      <c r="AX366" s="119"/>
      <c r="AY366" s="119">
        <v>11.5</v>
      </c>
      <c r="AZ366" s="119"/>
      <c r="BA366" s="119"/>
      <c r="BB366" s="119"/>
      <c r="BC366" s="119"/>
      <c r="BD366" s="119"/>
      <c r="BE366" s="5">
        <f>SUM(MC_2[[#This Row],[IS1Inv1M1]:[IS9Inv19M2]])</f>
        <v>169</v>
      </c>
      <c r="BF366" s="119"/>
      <c r="BG366" s="119"/>
      <c r="BH366" s="119"/>
      <c r="BI366" s="119"/>
      <c r="BJ366" s="119"/>
      <c r="BK366" s="119"/>
      <c r="BL366" s="121"/>
    </row>
    <row r="367" spans="1:64">
      <c r="A367" s="119">
        <v>365</v>
      </c>
      <c r="B367" s="113">
        <f t="shared" si="5"/>
        <v>45687</v>
      </c>
      <c r="C367" s="114">
        <f>YEAR(MC_2[[#This Row],[Date]])+IF(MONTH(MC_2[[#This Row],[Date]])&gt;=4,1,0)</f>
        <v>2025</v>
      </c>
      <c r="D367" s="115">
        <f>YEAR(MC_2[[#This Row],[Date]])</f>
        <v>2025</v>
      </c>
      <c r="E367" s="112" t="s">
        <v>340</v>
      </c>
      <c r="F367" s="112" t="s">
        <v>340</v>
      </c>
      <c r="G367" s="116" t="str">
        <f>TEXT(MC_2[[#This Row],[Date]],"mmm-yy")</f>
        <v>Jan-25</v>
      </c>
      <c r="H367" s="116">
        <f>DAY(EOMONTH(MC_2[[#This Row],[Month Year]],0))</f>
        <v>31</v>
      </c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>
        <v>16</v>
      </c>
      <c r="AJ367" s="119">
        <v>23</v>
      </c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  <c r="BC367" s="119"/>
      <c r="BD367" s="119"/>
      <c r="BE367" s="5">
        <f>SUM(MC_2[[#This Row],[IS1Inv1M1]:[IS9Inv19M2]])</f>
        <v>39</v>
      </c>
      <c r="BF367" s="119"/>
      <c r="BG367" s="119"/>
      <c r="BH367" s="119"/>
      <c r="BI367" s="119"/>
      <c r="BJ367" s="119"/>
      <c r="BK367" s="119"/>
      <c r="BL367" s="121"/>
    </row>
    <row r="368" spans="1:64">
      <c r="A368" s="119">
        <v>366</v>
      </c>
      <c r="B368" s="113">
        <f t="shared" si="5"/>
        <v>45688</v>
      </c>
      <c r="C368" s="114">
        <f>YEAR(MC_2[[#This Row],[Date]])+IF(MONTH(MC_2[[#This Row],[Date]])&gt;=4,1,0)</f>
        <v>2025</v>
      </c>
      <c r="D368" s="115">
        <f>YEAR(MC_2[[#This Row],[Date]])</f>
        <v>2025</v>
      </c>
      <c r="E368" s="112" t="s">
        <v>340</v>
      </c>
      <c r="F368" s="112" t="s">
        <v>340</v>
      </c>
      <c r="G368" s="116" t="str">
        <f>TEXT(MC_2[[#This Row],[Date]],"mmm-yy")</f>
        <v>Jan-25</v>
      </c>
      <c r="H368" s="116">
        <f>DAY(EOMONTH(MC_2[[#This Row],[Month Year]],0))</f>
        <v>31</v>
      </c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>
        <v>15</v>
      </c>
      <c r="AF368" s="119"/>
      <c r="AG368" s="119"/>
      <c r="AH368" s="119"/>
      <c r="AI368" s="119">
        <v>29</v>
      </c>
      <c r="AJ368" s="119"/>
      <c r="AK368" s="119"/>
      <c r="AL368" s="119"/>
      <c r="AM368" s="119"/>
      <c r="AN368" s="119"/>
      <c r="AO368" s="119">
        <v>3.5</v>
      </c>
      <c r="AP368" s="119">
        <v>6.5</v>
      </c>
      <c r="AQ368" s="119"/>
      <c r="AR368" s="119"/>
      <c r="AS368" s="119"/>
      <c r="AT368" s="119"/>
      <c r="AU368" s="119"/>
      <c r="AV368" s="119"/>
      <c r="AW368" s="119">
        <v>2</v>
      </c>
      <c r="AX368" s="119">
        <v>28</v>
      </c>
      <c r="AY368" s="119">
        <v>11</v>
      </c>
      <c r="AZ368" s="119"/>
      <c r="BA368" s="119"/>
      <c r="BB368" s="119"/>
      <c r="BC368" s="119"/>
      <c r="BD368" s="119"/>
      <c r="BE368" s="5">
        <f>SUM(MC_2[[#This Row],[IS1Inv1M1]:[IS9Inv19M2]])</f>
        <v>95</v>
      </c>
      <c r="BF368" s="119"/>
      <c r="BG368" s="119"/>
      <c r="BH368" s="119"/>
      <c r="BI368" s="119"/>
      <c r="BJ368" s="119"/>
      <c r="BK368" s="119"/>
      <c r="BL368" s="121"/>
    </row>
    <row r="369" spans="1:64">
      <c r="A369" s="119">
        <v>367</v>
      </c>
      <c r="B369" s="113">
        <f t="shared" si="5"/>
        <v>45689</v>
      </c>
      <c r="C369" s="114">
        <f>YEAR(MC_2[[#This Row],[Date]])+IF(MONTH(MC_2[[#This Row],[Date]])&gt;=4,1,0)</f>
        <v>2025</v>
      </c>
      <c r="D369" s="115">
        <f>YEAR(MC_2[[#This Row],[Date]])</f>
        <v>2025</v>
      </c>
      <c r="E369" s="112" t="s">
        <v>340</v>
      </c>
      <c r="F369" s="112" t="s">
        <v>340</v>
      </c>
      <c r="G369" s="116" t="str">
        <f>TEXT(MC_2[[#This Row],[Date]],"mmm-yy")</f>
        <v>Feb-25</v>
      </c>
      <c r="H369" s="116">
        <f>DAY(EOMONTH(MC_2[[#This Row],[Month Year]],0))</f>
        <v>28</v>
      </c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>
        <v>35.5</v>
      </c>
      <c r="AE369" s="119">
        <v>8</v>
      </c>
      <c r="AF369" s="119">
        <v>7</v>
      </c>
      <c r="AG369" s="119"/>
      <c r="AH369" s="119"/>
      <c r="AI369" s="119">
        <v>21</v>
      </c>
      <c r="AJ369" s="119"/>
      <c r="AK369" s="119"/>
      <c r="AL369" s="119"/>
      <c r="AM369" s="119"/>
      <c r="AN369" s="119"/>
      <c r="AO369" s="119"/>
      <c r="AP369" s="119">
        <v>23.5</v>
      </c>
      <c r="AQ369" s="119">
        <v>2</v>
      </c>
      <c r="AR369" s="119">
        <v>7.5</v>
      </c>
      <c r="AS369" s="119">
        <v>3</v>
      </c>
      <c r="AT369" s="119">
        <v>6</v>
      </c>
      <c r="AU369" s="119"/>
      <c r="AV369" s="119"/>
      <c r="AW369" s="119"/>
      <c r="AX369" s="119"/>
      <c r="AY369" s="119"/>
      <c r="AZ369" s="119"/>
      <c r="BA369" s="119"/>
      <c r="BB369" s="119"/>
      <c r="BC369" s="119"/>
      <c r="BD369" s="119"/>
      <c r="BE369" s="5">
        <f>SUM(MC_2[[#This Row],[IS1Inv1M1]:[IS9Inv19M2]])</f>
        <v>113.5</v>
      </c>
      <c r="BF369" s="119"/>
      <c r="BG369" s="119"/>
      <c r="BH369" s="119"/>
      <c r="BI369" s="119"/>
      <c r="BJ369" s="119"/>
      <c r="BK369" s="119"/>
      <c r="BL369" s="121"/>
    </row>
    <row r="370" spans="1:64">
      <c r="A370" s="119">
        <v>368</v>
      </c>
      <c r="B370" s="113">
        <f t="shared" si="5"/>
        <v>45690</v>
      </c>
      <c r="C370" s="114">
        <f>YEAR(MC_2[[#This Row],[Date]])+IF(MONTH(MC_2[[#This Row],[Date]])&gt;=4,1,0)</f>
        <v>2025</v>
      </c>
      <c r="D370" s="115">
        <f>YEAR(MC_2[[#This Row],[Date]])</f>
        <v>2025</v>
      </c>
      <c r="E370" s="112" t="s">
        <v>340</v>
      </c>
      <c r="F370" s="112" t="s">
        <v>340</v>
      </c>
      <c r="G370" s="116" t="str">
        <f>TEXT(MC_2[[#This Row],[Date]],"mmm-yy")</f>
        <v>Feb-25</v>
      </c>
      <c r="H370" s="116">
        <f>DAY(EOMONTH(MC_2[[#This Row],[Month Year]],0))</f>
        <v>28</v>
      </c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  <c r="BC370" s="119">
        <v>14.5</v>
      </c>
      <c r="BD370" s="119">
        <v>67</v>
      </c>
      <c r="BE370" s="5">
        <f>SUM(MC_2[[#This Row],[IS1Inv1M1]:[IS9Inv19M2]])</f>
        <v>81.5</v>
      </c>
      <c r="BF370" s="119"/>
      <c r="BG370" s="119"/>
      <c r="BH370" s="119"/>
      <c r="BI370" s="119"/>
      <c r="BJ370" s="119"/>
      <c r="BK370" s="119"/>
      <c r="BL370" s="121"/>
    </row>
    <row r="371" spans="1:64">
      <c r="A371" s="119">
        <v>369</v>
      </c>
      <c r="B371" s="113">
        <f t="shared" si="5"/>
        <v>45691</v>
      </c>
      <c r="C371" s="114">
        <f>YEAR(MC_2[[#This Row],[Date]])+IF(MONTH(MC_2[[#This Row],[Date]])&gt;=4,1,0)</f>
        <v>2025</v>
      </c>
      <c r="D371" s="115">
        <f>YEAR(MC_2[[#This Row],[Date]])</f>
        <v>2025</v>
      </c>
      <c r="E371" s="112" t="s">
        <v>340</v>
      </c>
      <c r="F371" s="112" t="s">
        <v>340</v>
      </c>
      <c r="G371" s="116" t="str">
        <f>TEXT(MC_2[[#This Row],[Date]],"mmm-yy")</f>
        <v>Feb-25</v>
      </c>
      <c r="H371" s="116">
        <f>DAY(EOMONTH(MC_2[[#This Row],[Month Year]],0))</f>
        <v>28</v>
      </c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>
        <v>21</v>
      </c>
      <c r="AN371" s="119">
        <v>8</v>
      </c>
      <c r="AO371" s="119"/>
      <c r="AP371" s="119"/>
      <c r="AQ371" s="119">
        <v>7</v>
      </c>
      <c r="AR371" s="119"/>
      <c r="AS371" s="119"/>
      <c r="AT371" s="119">
        <v>1</v>
      </c>
      <c r="AU371" s="119"/>
      <c r="AV371" s="119"/>
      <c r="AW371" s="119"/>
      <c r="AX371" s="119"/>
      <c r="AY371" s="119"/>
      <c r="AZ371" s="119"/>
      <c r="BA371" s="119"/>
      <c r="BB371" s="119"/>
      <c r="BC371" s="119"/>
      <c r="BD371" s="119"/>
      <c r="BE371" s="5">
        <f>SUM(MC_2[[#This Row],[IS1Inv1M1]:[IS9Inv19M2]])</f>
        <v>37</v>
      </c>
      <c r="BF371" s="119"/>
      <c r="BG371" s="119"/>
      <c r="BH371" s="119"/>
      <c r="BI371" s="119"/>
      <c r="BJ371" s="119"/>
      <c r="BK371" s="119"/>
      <c r="BL371" s="121"/>
    </row>
    <row r="372" spans="1:64">
      <c r="A372" s="119">
        <v>370</v>
      </c>
      <c r="B372" s="113">
        <f t="shared" si="5"/>
        <v>45692</v>
      </c>
      <c r="C372" s="114">
        <f>YEAR(MC_2[[#This Row],[Date]])+IF(MONTH(MC_2[[#This Row],[Date]])&gt;=4,1,0)</f>
        <v>2025</v>
      </c>
      <c r="D372" s="115">
        <f>YEAR(MC_2[[#This Row],[Date]])</f>
        <v>2025</v>
      </c>
      <c r="E372" s="112" t="s">
        <v>340</v>
      </c>
      <c r="F372" s="112" t="s">
        <v>340</v>
      </c>
      <c r="G372" s="116" t="str">
        <f>TEXT(MC_2[[#This Row],[Date]],"mmm-yy")</f>
        <v>Feb-25</v>
      </c>
      <c r="H372" s="116">
        <f>DAY(EOMONTH(MC_2[[#This Row],[Month Year]],0))</f>
        <v>28</v>
      </c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>
        <v>65</v>
      </c>
      <c r="AH372" s="119"/>
      <c r="AI372" s="119"/>
      <c r="AJ372" s="119"/>
      <c r="AK372" s="119"/>
      <c r="AL372" s="119"/>
      <c r="AM372" s="119">
        <v>22</v>
      </c>
      <c r="AN372" s="119">
        <v>23</v>
      </c>
      <c r="AO372" s="119"/>
      <c r="AP372" s="119"/>
      <c r="AQ372" s="119">
        <v>4.5</v>
      </c>
      <c r="AR372" s="119"/>
      <c r="AS372" s="119">
        <v>9</v>
      </c>
      <c r="AT372" s="119"/>
      <c r="AU372" s="119"/>
      <c r="AV372" s="119"/>
      <c r="AW372" s="119"/>
      <c r="AX372" s="119"/>
      <c r="AY372" s="119"/>
      <c r="AZ372" s="119"/>
      <c r="BA372" s="119"/>
      <c r="BB372" s="119"/>
      <c r="BC372" s="119"/>
      <c r="BD372" s="119"/>
      <c r="BE372" s="5">
        <f>SUM(MC_2[[#This Row],[IS1Inv1M1]:[IS9Inv19M2]])</f>
        <v>123.5</v>
      </c>
      <c r="BF372" s="119"/>
      <c r="BG372" s="119"/>
      <c r="BH372" s="119"/>
      <c r="BI372" s="119"/>
      <c r="BJ372" s="119"/>
      <c r="BK372" s="119"/>
      <c r="BL372" s="121"/>
    </row>
    <row r="373" spans="1:64">
      <c r="A373" s="119">
        <v>371</v>
      </c>
      <c r="B373" s="113">
        <f t="shared" si="5"/>
        <v>45693</v>
      </c>
      <c r="C373" s="114">
        <f>YEAR(MC_2[[#This Row],[Date]])+IF(MONTH(MC_2[[#This Row],[Date]])&gt;=4,1,0)</f>
        <v>2025</v>
      </c>
      <c r="D373" s="115">
        <f>YEAR(MC_2[[#This Row],[Date]])</f>
        <v>2025</v>
      </c>
      <c r="E373" s="112" t="s">
        <v>340</v>
      </c>
      <c r="F373" s="112" t="s">
        <v>340</v>
      </c>
      <c r="G373" s="116" t="str">
        <f>TEXT(MC_2[[#This Row],[Date]],"mmm-yy")</f>
        <v>Feb-25</v>
      </c>
      <c r="H373" s="116">
        <f>DAY(EOMONTH(MC_2[[#This Row],[Month Year]],0))</f>
        <v>28</v>
      </c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>
        <v>24</v>
      </c>
      <c r="AH373" s="119">
        <v>29</v>
      </c>
      <c r="AI373" s="119"/>
      <c r="AJ373" s="119"/>
      <c r="AK373" s="119"/>
      <c r="AL373" s="119">
        <v>32</v>
      </c>
      <c r="AM373" s="119"/>
      <c r="AN373" s="119"/>
      <c r="AO373" s="119"/>
      <c r="AP373" s="119"/>
      <c r="AQ373" s="119">
        <v>23.5</v>
      </c>
      <c r="AR373" s="119">
        <v>34</v>
      </c>
      <c r="AS373" s="119">
        <v>4</v>
      </c>
      <c r="AT373" s="119"/>
      <c r="AU373" s="119"/>
      <c r="AV373" s="119"/>
      <c r="AW373" s="119"/>
      <c r="AX373" s="119"/>
      <c r="AY373" s="119"/>
      <c r="AZ373" s="119"/>
      <c r="BA373" s="119"/>
      <c r="BB373" s="119"/>
      <c r="BC373" s="119"/>
      <c r="BD373" s="119"/>
      <c r="BE373" s="5">
        <f>SUM(MC_2[[#This Row],[IS1Inv1M1]:[IS9Inv19M2]])</f>
        <v>146.5</v>
      </c>
      <c r="BF373" s="119"/>
      <c r="BG373" s="119"/>
      <c r="BH373" s="119"/>
      <c r="BI373" s="119"/>
      <c r="BJ373" s="119"/>
      <c r="BK373" s="119"/>
      <c r="BL373" s="121"/>
    </row>
    <row r="374" spans="1:64">
      <c r="A374" s="119">
        <v>372</v>
      </c>
      <c r="B374" s="113">
        <f t="shared" si="5"/>
        <v>45694</v>
      </c>
      <c r="C374" s="114">
        <f>YEAR(MC_2[[#This Row],[Date]])+IF(MONTH(MC_2[[#This Row],[Date]])&gt;=4,1,0)</f>
        <v>2025</v>
      </c>
      <c r="D374" s="115">
        <f>YEAR(MC_2[[#This Row],[Date]])</f>
        <v>2025</v>
      </c>
      <c r="E374" s="112" t="s">
        <v>340</v>
      </c>
      <c r="F374" s="112" t="s">
        <v>340</v>
      </c>
      <c r="G374" s="116" t="str">
        <f>TEXT(MC_2[[#This Row],[Date]],"mmm-yy")</f>
        <v>Feb-25</v>
      </c>
      <c r="H374" s="116">
        <f>DAY(EOMONTH(MC_2[[#This Row],[Month Year]],0))</f>
        <v>28</v>
      </c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>
        <v>12</v>
      </c>
      <c r="AO374" s="119"/>
      <c r="AP374" s="119"/>
      <c r="AQ374" s="119"/>
      <c r="AR374" s="119"/>
      <c r="AS374" s="119">
        <v>23</v>
      </c>
      <c r="AT374" s="119">
        <v>21</v>
      </c>
      <c r="AU374" s="119"/>
      <c r="AV374" s="119"/>
      <c r="AW374" s="119"/>
      <c r="AX374" s="119"/>
      <c r="AY374" s="119"/>
      <c r="AZ374" s="119"/>
      <c r="BA374" s="119">
        <v>4</v>
      </c>
      <c r="BB374" s="119"/>
      <c r="BC374" s="119"/>
      <c r="BD374" s="119"/>
      <c r="BE374" s="5">
        <f>SUM(MC_2[[#This Row],[IS1Inv1M1]:[IS9Inv19M2]])</f>
        <v>60</v>
      </c>
      <c r="BF374" s="119"/>
      <c r="BG374" s="119"/>
      <c r="BH374" s="119"/>
      <c r="BI374" s="119"/>
      <c r="BJ374" s="119"/>
      <c r="BK374" s="119"/>
      <c r="BL374" s="121"/>
    </row>
    <row r="375" spans="1:64">
      <c r="A375" s="119">
        <v>373</v>
      </c>
      <c r="B375" s="113">
        <f t="shared" si="5"/>
        <v>45695</v>
      </c>
      <c r="C375" s="114">
        <f>YEAR(MC_2[[#This Row],[Date]])+IF(MONTH(MC_2[[#This Row],[Date]])&gt;=4,1,0)</f>
        <v>2025</v>
      </c>
      <c r="D375" s="115">
        <f>YEAR(MC_2[[#This Row],[Date]])</f>
        <v>2025</v>
      </c>
      <c r="E375" s="112" t="s">
        <v>340</v>
      </c>
      <c r="F375" s="112" t="s">
        <v>340</v>
      </c>
      <c r="G375" s="116" t="str">
        <f>TEXT(MC_2[[#This Row],[Date]],"mmm-yy")</f>
        <v>Feb-25</v>
      </c>
      <c r="H375" s="116">
        <f>DAY(EOMONTH(MC_2[[#This Row],[Month Year]],0))</f>
        <v>28</v>
      </c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>
        <v>28</v>
      </c>
      <c r="AG375" s="119"/>
      <c r="AH375" s="119">
        <v>21</v>
      </c>
      <c r="AI375" s="119"/>
      <c r="AJ375" s="119"/>
      <c r="AK375" s="119"/>
      <c r="AL375" s="119">
        <v>29</v>
      </c>
      <c r="AM375" s="119"/>
      <c r="AN375" s="119">
        <v>17.5</v>
      </c>
      <c r="AO375" s="119">
        <v>11</v>
      </c>
      <c r="AP375" s="119">
        <v>31.5</v>
      </c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  <c r="BB375" s="119"/>
      <c r="BC375" s="119"/>
      <c r="BD375" s="119"/>
      <c r="BE375" s="5">
        <f>SUM(MC_2[[#This Row],[IS1Inv1M1]:[IS9Inv19M2]])</f>
        <v>138</v>
      </c>
      <c r="BF375" s="119"/>
      <c r="BG375" s="119"/>
      <c r="BH375" s="119"/>
      <c r="BI375" s="119"/>
      <c r="BJ375" s="119"/>
      <c r="BK375" s="119"/>
      <c r="BL375" s="121"/>
    </row>
    <row r="376" spans="1:64">
      <c r="A376" s="119">
        <v>374</v>
      </c>
      <c r="B376" s="113">
        <f t="shared" si="5"/>
        <v>45696</v>
      </c>
      <c r="C376" s="114">
        <f>YEAR(MC_2[[#This Row],[Date]])+IF(MONTH(MC_2[[#This Row],[Date]])&gt;=4,1,0)</f>
        <v>2025</v>
      </c>
      <c r="D376" s="115">
        <f>YEAR(MC_2[[#This Row],[Date]])</f>
        <v>2025</v>
      </c>
      <c r="E376" s="112" t="s">
        <v>340</v>
      </c>
      <c r="F376" s="112" t="s">
        <v>340</v>
      </c>
      <c r="G376" s="116" t="str">
        <f>TEXT(MC_2[[#This Row],[Date]],"mmm-yy")</f>
        <v>Feb-25</v>
      </c>
      <c r="H376" s="116">
        <f>DAY(EOMONTH(MC_2[[#This Row],[Month Year]],0))</f>
        <v>28</v>
      </c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>
        <v>45</v>
      </c>
      <c r="AI376" s="119"/>
      <c r="AJ376" s="119"/>
      <c r="AK376" s="119"/>
      <c r="AL376" s="119"/>
      <c r="AM376" s="119"/>
      <c r="AN376" s="119"/>
      <c r="AO376" s="119">
        <v>16</v>
      </c>
      <c r="AP376" s="119">
        <v>33</v>
      </c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  <c r="BB376" s="119"/>
      <c r="BC376" s="119"/>
      <c r="BD376" s="119"/>
      <c r="BE376" s="5">
        <f>SUM(MC_2[[#This Row],[IS1Inv1M1]:[IS9Inv19M2]])</f>
        <v>94</v>
      </c>
      <c r="BF376" s="119"/>
      <c r="BG376" s="119"/>
      <c r="BH376" s="119"/>
      <c r="BI376" s="119"/>
      <c r="BJ376" s="119"/>
      <c r="BK376" s="119"/>
      <c r="BL376" s="121"/>
    </row>
    <row r="377" spans="1:64">
      <c r="A377" s="119">
        <v>375</v>
      </c>
      <c r="B377" s="113">
        <f t="shared" si="5"/>
        <v>45697</v>
      </c>
      <c r="C377" s="114">
        <f>YEAR(MC_2[[#This Row],[Date]])+IF(MONTH(MC_2[[#This Row],[Date]])&gt;=4,1,0)</f>
        <v>2025</v>
      </c>
      <c r="D377" s="115">
        <f>YEAR(MC_2[[#This Row],[Date]])</f>
        <v>2025</v>
      </c>
      <c r="E377" s="112" t="s">
        <v>340</v>
      </c>
      <c r="F377" s="112" t="s">
        <v>340</v>
      </c>
      <c r="G377" s="116" t="str">
        <f>TEXT(MC_2[[#This Row],[Date]],"mmm-yy")</f>
        <v>Feb-25</v>
      </c>
      <c r="H377" s="116">
        <f>DAY(EOMONTH(MC_2[[#This Row],[Month Year]],0))</f>
        <v>28</v>
      </c>
      <c r="I377" s="119"/>
      <c r="J377" s="119"/>
      <c r="K377" s="119"/>
      <c r="L377" s="119"/>
      <c r="M377" s="119"/>
      <c r="N377" s="119"/>
      <c r="O377" s="119"/>
      <c r="P377" s="119">
        <v>43</v>
      </c>
      <c r="Q377" s="119">
        <v>18</v>
      </c>
      <c r="R377" s="119">
        <v>15</v>
      </c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2"/>
      <c r="AN377" s="112"/>
      <c r="AO377" s="112">
        <v>17.5</v>
      </c>
      <c r="AP377" s="112"/>
      <c r="AQ377" s="112"/>
      <c r="AR377" s="112"/>
      <c r="AS377" s="112"/>
      <c r="AT377" s="112"/>
      <c r="AU377" s="112"/>
      <c r="AV377" s="112"/>
      <c r="AW377" s="112"/>
      <c r="AX377" s="112">
        <v>23.5</v>
      </c>
      <c r="AY377" s="112"/>
      <c r="AZ377" s="112"/>
      <c r="BA377" s="112"/>
      <c r="BB377" s="112"/>
      <c r="BC377" s="112"/>
      <c r="BD377" s="112"/>
      <c r="BE377" s="5">
        <f>SUM(MC_2[[#This Row],[IS1Inv1M1]:[IS9Inv19M2]])</f>
        <v>117</v>
      </c>
      <c r="BF377" s="119"/>
      <c r="BG377" s="119"/>
      <c r="BH377" s="119"/>
      <c r="BI377" s="119"/>
      <c r="BJ377" s="119"/>
      <c r="BK377" s="119"/>
      <c r="BL377" s="121"/>
    </row>
    <row r="378" spans="1:64">
      <c r="A378" s="119">
        <v>376</v>
      </c>
      <c r="B378" s="113">
        <f t="shared" si="5"/>
        <v>45698</v>
      </c>
      <c r="C378" s="114">
        <f>YEAR(MC_2[[#This Row],[Date]])+IF(MONTH(MC_2[[#This Row],[Date]])&gt;=4,1,0)</f>
        <v>2025</v>
      </c>
      <c r="D378" s="115">
        <f>YEAR(MC_2[[#This Row],[Date]])</f>
        <v>2025</v>
      </c>
      <c r="E378" s="112" t="s">
        <v>340</v>
      </c>
      <c r="F378" s="112" t="s">
        <v>340</v>
      </c>
      <c r="G378" s="116" t="str">
        <f>TEXT(MC_2[[#This Row],[Date]],"mmm-yy")</f>
        <v>Feb-25</v>
      </c>
      <c r="H378" s="116">
        <f>DAY(EOMONTH(MC_2[[#This Row],[Month Year]],0))</f>
        <v>28</v>
      </c>
      <c r="I378" s="119"/>
      <c r="J378" s="119"/>
      <c r="K378" s="119">
        <v>9</v>
      </c>
      <c r="L378" s="119">
        <v>50</v>
      </c>
      <c r="M378" s="119">
        <v>11</v>
      </c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>
        <v>15</v>
      </c>
      <c r="AS378" s="119"/>
      <c r="AT378" s="119"/>
      <c r="AU378" s="119"/>
      <c r="AV378" s="119"/>
      <c r="AW378" s="119">
        <v>5</v>
      </c>
      <c r="AX378" s="119"/>
      <c r="AY378" s="119"/>
      <c r="AZ378" s="119">
        <v>20</v>
      </c>
      <c r="BA378" s="119"/>
      <c r="BB378" s="119"/>
      <c r="BC378" s="119"/>
      <c r="BD378" s="119"/>
      <c r="BE378" s="5">
        <f>SUM(MC_2[[#This Row],[IS1Inv1M1]:[IS9Inv19M2]])</f>
        <v>110</v>
      </c>
      <c r="BF378" s="119"/>
      <c r="BG378" s="119"/>
      <c r="BH378" s="119"/>
      <c r="BI378" s="119"/>
      <c r="BJ378" s="119"/>
      <c r="BK378" s="119"/>
      <c r="BL378" s="121"/>
    </row>
    <row r="379" spans="1:64">
      <c r="A379" s="119">
        <v>377</v>
      </c>
      <c r="B379" s="113">
        <f t="shared" si="5"/>
        <v>45699</v>
      </c>
      <c r="C379" s="114">
        <f>YEAR(MC_2[[#This Row],[Date]])+IF(MONTH(MC_2[[#This Row],[Date]])&gt;=4,1,0)</f>
        <v>2025</v>
      </c>
      <c r="D379" s="115">
        <f>YEAR(MC_2[[#This Row],[Date]])</f>
        <v>2025</v>
      </c>
      <c r="E379" s="112" t="s">
        <v>340</v>
      </c>
      <c r="F379" s="112" t="s">
        <v>340</v>
      </c>
      <c r="G379" s="116" t="str">
        <f>TEXT(MC_2[[#This Row],[Date]],"mmm-yy")</f>
        <v>Feb-25</v>
      </c>
      <c r="H379" s="116">
        <f>DAY(EOMONTH(MC_2[[#This Row],[Month Year]],0))</f>
        <v>28</v>
      </c>
      <c r="I379" s="119"/>
      <c r="J379" s="119"/>
      <c r="K379" s="119"/>
      <c r="L379" s="119">
        <v>49</v>
      </c>
      <c r="M379" s="119">
        <v>27.5</v>
      </c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>
        <v>9.5</v>
      </c>
      <c r="AR379" s="119"/>
      <c r="AS379" s="119"/>
      <c r="AT379" s="119"/>
      <c r="AU379" s="119"/>
      <c r="AV379" s="119"/>
      <c r="AW379" s="119">
        <v>19</v>
      </c>
      <c r="AX379" s="119"/>
      <c r="AY379" s="119">
        <v>29</v>
      </c>
      <c r="AZ379" s="119">
        <v>3</v>
      </c>
      <c r="BA379" s="119"/>
      <c r="BB379" s="119"/>
      <c r="BC379" s="119"/>
      <c r="BD379" s="119"/>
      <c r="BE379" s="5">
        <f>SUM(MC_2[[#This Row],[IS1Inv1M1]:[IS9Inv19M2]])</f>
        <v>137</v>
      </c>
      <c r="BF379" s="119"/>
      <c r="BG379" s="119"/>
      <c r="BH379" s="119"/>
      <c r="BI379" s="119"/>
      <c r="BJ379" s="119"/>
      <c r="BK379" s="119"/>
      <c r="BL379" s="121"/>
    </row>
    <row r="380" spans="1:64">
      <c r="A380" s="119">
        <v>378</v>
      </c>
      <c r="B380" s="113">
        <f t="shared" si="5"/>
        <v>45700</v>
      </c>
      <c r="C380" s="114">
        <f>YEAR(MC_2[[#This Row],[Date]])+IF(MONTH(MC_2[[#This Row],[Date]])&gt;=4,1,0)</f>
        <v>2025</v>
      </c>
      <c r="D380" s="115">
        <f>YEAR(MC_2[[#This Row],[Date]])</f>
        <v>2025</v>
      </c>
      <c r="E380" s="112" t="s">
        <v>340</v>
      </c>
      <c r="F380" s="112" t="s">
        <v>340</v>
      </c>
      <c r="G380" s="116" t="str">
        <f>TEXT(MC_2[[#This Row],[Date]],"mmm-yy")</f>
        <v>Feb-25</v>
      </c>
      <c r="H380" s="116">
        <f>DAY(EOMONTH(MC_2[[#This Row],[Month Year]],0))</f>
        <v>28</v>
      </c>
      <c r="I380" s="119"/>
      <c r="J380" s="119"/>
      <c r="K380" s="119"/>
      <c r="L380" s="119"/>
      <c r="M380" s="119"/>
      <c r="N380" s="119">
        <v>17</v>
      </c>
      <c r="O380" s="119"/>
      <c r="P380" s="119"/>
      <c r="Q380" s="119">
        <v>21.5</v>
      </c>
      <c r="R380" s="119">
        <v>26</v>
      </c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  <c r="AU380" s="119"/>
      <c r="AV380" s="119"/>
      <c r="AW380" s="119">
        <v>23.5</v>
      </c>
      <c r="AX380" s="119">
        <v>10.5</v>
      </c>
      <c r="AY380" s="119">
        <v>17</v>
      </c>
      <c r="AZ380" s="119"/>
      <c r="BA380" s="119"/>
      <c r="BB380" s="119"/>
      <c r="BC380" s="119"/>
      <c r="BD380" s="119"/>
      <c r="BE380" s="5">
        <f>SUM(MC_2[[#This Row],[IS1Inv1M1]:[IS9Inv19M2]])</f>
        <v>115.5</v>
      </c>
      <c r="BF380" s="119"/>
      <c r="BG380" s="119"/>
      <c r="BH380" s="119"/>
      <c r="BI380" s="119"/>
      <c r="BJ380" s="119"/>
      <c r="BK380" s="119"/>
      <c r="BL380" s="121"/>
    </row>
    <row r="381" spans="1:64">
      <c r="A381" s="119">
        <v>379</v>
      </c>
      <c r="B381" s="113">
        <f t="shared" si="5"/>
        <v>45701</v>
      </c>
      <c r="C381" s="114">
        <f>YEAR(MC_2[[#This Row],[Date]])+IF(MONTH(MC_2[[#This Row],[Date]])&gt;=4,1,0)</f>
        <v>2025</v>
      </c>
      <c r="D381" s="115">
        <f>YEAR(MC_2[[#This Row],[Date]])</f>
        <v>2025</v>
      </c>
      <c r="E381" s="112" t="s">
        <v>340</v>
      </c>
      <c r="F381" s="112" t="s">
        <v>340</v>
      </c>
      <c r="G381" s="116" t="str">
        <f>TEXT(MC_2[[#This Row],[Date]],"mmm-yy")</f>
        <v>Feb-25</v>
      </c>
      <c r="H381" s="116">
        <f>DAY(EOMONTH(MC_2[[#This Row],[Month Year]],0))</f>
        <v>28</v>
      </c>
      <c r="I381" s="119"/>
      <c r="J381" s="119"/>
      <c r="K381" s="119"/>
      <c r="L381" s="119"/>
      <c r="M381" s="119"/>
      <c r="N381" s="119">
        <v>27</v>
      </c>
      <c r="O381" s="119">
        <v>36.5</v>
      </c>
      <c r="P381" s="119">
        <v>1.5</v>
      </c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>
        <v>22</v>
      </c>
      <c r="AU381" s="119">
        <v>7</v>
      </c>
      <c r="AV381" s="119">
        <v>5</v>
      </c>
      <c r="AW381" s="119"/>
      <c r="AX381" s="119"/>
      <c r="AY381" s="119"/>
      <c r="AZ381" s="119">
        <v>22</v>
      </c>
      <c r="BA381" s="119"/>
      <c r="BB381" s="119"/>
      <c r="BC381" s="119"/>
      <c r="BD381" s="119"/>
      <c r="BE381" s="5">
        <f>SUM(MC_2[[#This Row],[IS1Inv1M1]:[IS9Inv19M2]])</f>
        <v>121</v>
      </c>
      <c r="BF381" s="119"/>
      <c r="BG381" s="119"/>
      <c r="BH381" s="119"/>
      <c r="BI381" s="119"/>
      <c r="BJ381" s="119"/>
      <c r="BK381" s="119"/>
      <c r="BL381" s="121"/>
    </row>
    <row r="382" spans="1:64">
      <c r="A382" s="119">
        <v>380</v>
      </c>
      <c r="B382" s="113">
        <f t="shared" si="5"/>
        <v>45702</v>
      </c>
      <c r="C382" s="114">
        <f>YEAR(MC_2[[#This Row],[Date]])+IF(MONTH(MC_2[[#This Row],[Date]])&gt;=4,1,0)</f>
        <v>2025</v>
      </c>
      <c r="D382" s="115">
        <f>YEAR(MC_2[[#This Row],[Date]])</f>
        <v>2025</v>
      </c>
      <c r="E382" s="112" t="s">
        <v>340</v>
      </c>
      <c r="F382" s="112" t="s">
        <v>340</v>
      </c>
      <c r="G382" s="116" t="str">
        <f>TEXT(MC_2[[#This Row],[Date]],"mmm-yy")</f>
        <v>Feb-25</v>
      </c>
      <c r="H382" s="116">
        <f>DAY(EOMONTH(MC_2[[#This Row],[Month Year]],0))</f>
        <v>28</v>
      </c>
      <c r="I382" s="119"/>
      <c r="J382" s="119"/>
      <c r="K382" s="119"/>
      <c r="L382" s="119"/>
      <c r="M382" s="119">
        <v>21</v>
      </c>
      <c r="N382" s="119"/>
      <c r="O382" s="119">
        <v>10.5</v>
      </c>
      <c r="P382" s="119">
        <v>8</v>
      </c>
      <c r="Q382" s="119">
        <v>8</v>
      </c>
      <c r="R382" s="119"/>
      <c r="S382" s="119"/>
      <c r="T382" s="119"/>
      <c r="U382" s="119">
        <v>6</v>
      </c>
      <c r="V382" s="119">
        <v>16</v>
      </c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  <c r="AU382" s="119">
        <v>35</v>
      </c>
      <c r="AV382" s="119">
        <v>30.5</v>
      </c>
      <c r="AW382" s="119"/>
      <c r="AX382" s="119"/>
      <c r="AY382" s="119"/>
      <c r="AZ382" s="119">
        <v>7.5</v>
      </c>
      <c r="BA382" s="119"/>
      <c r="BB382" s="119"/>
      <c r="BC382" s="119"/>
      <c r="BD382" s="119"/>
      <c r="BE382" s="5">
        <f>SUM(MC_2[[#This Row],[IS1Inv1M1]:[IS9Inv19M2]])</f>
        <v>142.5</v>
      </c>
      <c r="BF382" s="119"/>
      <c r="BG382" s="119"/>
      <c r="BH382" s="119"/>
      <c r="BI382" s="119"/>
      <c r="BJ382" s="119"/>
      <c r="BK382" s="119"/>
      <c r="BL382" s="121"/>
    </row>
    <row r="383" spans="1:64">
      <c r="A383" s="119">
        <v>381</v>
      </c>
      <c r="B383" s="113">
        <f t="shared" si="5"/>
        <v>45703</v>
      </c>
      <c r="C383" s="114">
        <f>YEAR(MC_2[[#This Row],[Date]])+IF(MONTH(MC_2[[#This Row],[Date]])&gt;=4,1,0)</f>
        <v>2025</v>
      </c>
      <c r="D383" s="115">
        <f>YEAR(MC_2[[#This Row],[Date]])</f>
        <v>2025</v>
      </c>
      <c r="E383" s="112" t="s">
        <v>340</v>
      </c>
      <c r="F383" s="112" t="s">
        <v>340</v>
      </c>
      <c r="G383" s="116" t="str">
        <f>TEXT(MC_2[[#This Row],[Date]],"mmm-yy")</f>
        <v>Feb-25</v>
      </c>
      <c r="H383" s="116">
        <f>DAY(EOMONTH(MC_2[[#This Row],[Month Year]],0))</f>
        <v>28</v>
      </c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>
        <v>22.5</v>
      </c>
      <c r="U383" s="119">
        <v>36</v>
      </c>
      <c r="V383" s="119"/>
      <c r="W383" s="119"/>
      <c r="X383" s="119">
        <v>17.5</v>
      </c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>
        <v>19.5</v>
      </c>
      <c r="AP383" s="119"/>
      <c r="AQ383" s="119"/>
      <c r="AR383" s="119"/>
      <c r="AS383" s="119"/>
      <c r="AT383" s="119"/>
      <c r="AU383" s="119">
        <v>17</v>
      </c>
      <c r="AV383" s="119"/>
      <c r="AW383" s="119"/>
      <c r="AX383" s="119"/>
      <c r="AY383" s="119"/>
      <c r="AZ383" s="119">
        <v>24</v>
      </c>
      <c r="BA383" s="119">
        <v>15</v>
      </c>
      <c r="BB383" s="119"/>
      <c r="BC383" s="119"/>
      <c r="BD383" s="119"/>
      <c r="BE383" s="5">
        <f>SUM(MC_2[[#This Row],[IS1Inv1M1]:[IS9Inv19M2]])</f>
        <v>151.5</v>
      </c>
      <c r="BF383" s="119"/>
      <c r="BG383" s="119"/>
      <c r="BH383" s="119"/>
      <c r="BI383" s="119"/>
      <c r="BJ383" s="119"/>
      <c r="BK383" s="119"/>
      <c r="BL383" s="121"/>
    </row>
    <row r="384" spans="1:64">
      <c r="A384" s="119">
        <v>382</v>
      </c>
      <c r="B384" s="113">
        <f t="shared" si="5"/>
        <v>45704</v>
      </c>
      <c r="C384" s="114">
        <f>YEAR(MC_2[[#This Row],[Date]])+IF(MONTH(MC_2[[#This Row],[Date]])&gt;=4,1,0)</f>
        <v>2025</v>
      </c>
      <c r="D384" s="115">
        <f>YEAR(MC_2[[#This Row],[Date]])</f>
        <v>2025</v>
      </c>
      <c r="E384" s="112" t="s">
        <v>340</v>
      </c>
      <c r="F384" s="112" t="s">
        <v>340</v>
      </c>
      <c r="G384" s="116" t="str">
        <f>TEXT(MC_2[[#This Row],[Date]],"mmm-yy")</f>
        <v>Feb-25</v>
      </c>
      <c r="H384" s="116">
        <f>DAY(EOMONTH(MC_2[[#This Row],[Month Year]],0))</f>
        <v>28</v>
      </c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>
        <v>10</v>
      </c>
      <c r="U384" s="119"/>
      <c r="V384" s="119"/>
      <c r="W384" s="119"/>
      <c r="X384" s="119">
        <v>6</v>
      </c>
      <c r="Y384" s="119">
        <v>48</v>
      </c>
      <c r="Z384" s="119">
        <v>7</v>
      </c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>
        <v>51</v>
      </c>
      <c r="BB384" s="119">
        <v>30</v>
      </c>
      <c r="BC384" s="119"/>
      <c r="BD384" s="119"/>
      <c r="BE384" s="5">
        <f>SUM(MC_2[[#This Row],[IS1Inv1M1]:[IS9Inv19M2]])</f>
        <v>152</v>
      </c>
      <c r="BF384" s="119"/>
      <c r="BG384" s="119"/>
      <c r="BH384" s="119"/>
      <c r="BI384" s="119"/>
      <c r="BJ384" s="119"/>
      <c r="BK384" s="119"/>
      <c r="BL384" s="121"/>
    </row>
    <row r="385" spans="1:64">
      <c r="A385" s="119">
        <v>383</v>
      </c>
      <c r="B385" s="113">
        <f t="shared" si="5"/>
        <v>45705</v>
      </c>
      <c r="C385" s="114">
        <f>YEAR(MC_2[[#This Row],[Date]])+IF(MONTH(MC_2[[#This Row],[Date]])&gt;=4,1,0)</f>
        <v>2025</v>
      </c>
      <c r="D385" s="115">
        <f>YEAR(MC_2[[#This Row],[Date]])</f>
        <v>2025</v>
      </c>
      <c r="E385" s="112" t="s">
        <v>340</v>
      </c>
      <c r="F385" s="112" t="s">
        <v>340</v>
      </c>
      <c r="G385" s="116" t="str">
        <f>TEXT(MC_2[[#This Row],[Date]],"mmm-yy")</f>
        <v>Feb-25</v>
      </c>
      <c r="H385" s="116">
        <f>DAY(EOMONTH(MC_2[[#This Row],[Month Year]],0))</f>
        <v>28</v>
      </c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>
        <v>36</v>
      </c>
      <c r="T385" s="119">
        <v>14</v>
      </c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  <c r="BB385" s="119">
        <v>39</v>
      </c>
      <c r="BC385" s="119">
        <v>40</v>
      </c>
      <c r="BD385" s="119"/>
      <c r="BE385" s="5">
        <f>SUM(MC_2[[#This Row],[IS1Inv1M1]:[IS9Inv19M2]])</f>
        <v>129</v>
      </c>
      <c r="BF385" s="119"/>
      <c r="BG385" s="119"/>
      <c r="BH385" s="119"/>
      <c r="BI385" s="119"/>
      <c r="BJ385" s="119"/>
      <c r="BK385" s="119"/>
      <c r="BL385" s="121"/>
    </row>
    <row r="386" spans="1:64">
      <c r="A386" s="119">
        <v>384</v>
      </c>
      <c r="B386" s="113">
        <f t="shared" si="5"/>
        <v>45706</v>
      </c>
      <c r="C386" s="114">
        <f>YEAR(MC_2[[#This Row],[Date]])+IF(MONTH(MC_2[[#This Row],[Date]])&gt;=4,1,0)</f>
        <v>2025</v>
      </c>
      <c r="D386" s="115">
        <f>YEAR(MC_2[[#This Row],[Date]])</f>
        <v>2025</v>
      </c>
      <c r="E386" s="112" t="s">
        <v>340</v>
      </c>
      <c r="F386" s="112" t="s">
        <v>340</v>
      </c>
      <c r="G386" s="116" t="str">
        <f>TEXT(MC_2[[#This Row],[Date]],"mmm-yy")</f>
        <v>Feb-25</v>
      </c>
      <c r="H386" s="116">
        <f>DAY(EOMONTH(MC_2[[#This Row],[Month Year]],0))</f>
        <v>28</v>
      </c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  <c r="BB386" s="119"/>
      <c r="BC386" s="119"/>
      <c r="BD386" s="119"/>
      <c r="BE386" s="5">
        <f>SUM(MC_2[[#This Row],[IS1Inv1M1]:[IS9Inv19M2]])</f>
        <v>0</v>
      </c>
      <c r="BF386" s="119"/>
      <c r="BG386" s="119"/>
      <c r="BH386" s="119"/>
      <c r="BI386" s="119"/>
      <c r="BJ386" s="119"/>
      <c r="BK386" s="119"/>
      <c r="BL386" s="121"/>
    </row>
    <row r="387" spans="1:64">
      <c r="A387" s="119">
        <v>385</v>
      </c>
      <c r="B387" s="113">
        <f t="shared" si="5"/>
        <v>45707</v>
      </c>
      <c r="C387" s="114">
        <f>YEAR(MC_2[[#This Row],[Date]])+IF(MONTH(MC_2[[#This Row],[Date]])&gt;=4,1,0)</f>
        <v>2025</v>
      </c>
      <c r="D387" s="115">
        <f>YEAR(MC_2[[#This Row],[Date]])</f>
        <v>2025</v>
      </c>
      <c r="E387" s="112" t="s">
        <v>340</v>
      </c>
      <c r="F387" s="112" t="s">
        <v>340</v>
      </c>
      <c r="G387" s="116" t="str">
        <f>TEXT(MC_2[[#This Row],[Date]],"mmm-yy")</f>
        <v>Feb-25</v>
      </c>
      <c r="H387" s="116">
        <f>DAY(EOMONTH(MC_2[[#This Row],[Month Year]],0))</f>
        <v>28</v>
      </c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>
        <v>16.5</v>
      </c>
      <c r="W387" s="119">
        <v>29</v>
      </c>
      <c r="X387" s="119"/>
      <c r="Y387" s="119"/>
      <c r="Z387" s="119">
        <v>12</v>
      </c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>
        <v>20.5</v>
      </c>
      <c r="AT387" s="119"/>
      <c r="AU387" s="119"/>
      <c r="AV387" s="119"/>
      <c r="AW387" s="119"/>
      <c r="AX387" s="119"/>
      <c r="AY387" s="119"/>
      <c r="AZ387" s="119"/>
      <c r="BA387" s="119"/>
      <c r="BB387" s="119"/>
      <c r="BC387" s="119"/>
      <c r="BD387" s="119">
        <v>41</v>
      </c>
      <c r="BE387" s="5">
        <f>SUM(MC_2[[#This Row],[IS1Inv1M1]:[IS9Inv19M2]])</f>
        <v>119</v>
      </c>
      <c r="BF387" s="119"/>
      <c r="BG387" s="119"/>
      <c r="BH387" s="119"/>
      <c r="BI387" s="119"/>
      <c r="BJ387" s="119"/>
      <c r="BK387" s="119"/>
      <c r="BL387" s="121"/>
    </row>
    <row r="388" spans="1:64">
      <c r="A388" s="119">
        <v>386</v>
      </c>
      <c r="B388" s="113">
        <f t="shared" si="5"/>
        <v>45708</v>
      </c>
      <c r="C388" s="114">
        <f>YEAR(MC_2[[#This Row],[Date]])+IF(MONTH(MC_2[[#This Row],[Date]])&gt;=4,1,0)</f>
        <v>2025</v>
      </c>
      <c r="D388" s="115">
        <f>YEAR(MC_2[[#This Row],[Date]])</f>
        <v>2025</v>
      </c>
      <c r="E388" s="112" t="s">
        <v>340</v>
      </c>
      <c r="F388" s="112" t="s">
        <v>340</v>
      </c>
      <c r="G388" s="116" t="str">
        <f>TEXT(MC_2[[#This Row],[Date]],"mmm-yy")</f>
        <v>Feb-25</v>
      </c>
      <c r="H388" s="116">
        <f>DAY(EOMONTH(MC_2[[#This Row],[Month Year]],0))</f>
        <v>28</v>
      </c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>
        <v>17</v>
      </c>
      <c r="AN388" s="119"/>
      <c r="AO388" s="119"/>
      <c r="AP388" s="119"/>
      <c r="AQ388" s="119">
        <v>21</v>
      </c>
      <c r="AR388" s="119">
        <v>8</v>
      </c>
      <c r="AS388" s="119">
        <v>12.5</v>
      </c>
      <c r="AT388" s="119">
        <v>15</v>
      </c>
      <c r="AU388" s="119"/>
      <c r="AV388" s="119"/>
      <c r="AW388" s="119"/>
      <c r="AX388" s="119"/>
      <c r="AY388" s="119"/>
      <c r="AZ388" s="119"/>
      <c r="BA388" s="119"/>
      <c r="BB388" s="119"/>
      <c r="BC388" s="119"/>
      <c r="BD388" s="119"/>
      <c r="BE388" s="5">
        <f>SUM(MC_2[[#This Row],[IS1Inv1M1]:[IS9Inv19M2]])</f>
        <v>73.5</v>
      </c>
      <c r="BF388" s="119"/>
      <c r="BG388" s="119"/>
      <c r="BH388" s="119"/>
      <c r="BI388" s="119"/>
      <c r="BJ388" s="119"/>
      <c r="BK388" s="119"/>
      <c r="BL388" s="121"/>
    </row>
    <row r="389" spans="1:64">
      <c r="A389" s="119">
        <v>387</v>
      </c>
      <c r="B389" s="113">
        <f t="shared" ref="B389:B452" si="6">B388+1</f>
        <v>45709</v>
      </c>
      <c r="C389" s="114">
        <f>YEAR(MC_2[[#This Row],[Date]])+IF(MONTH(MC_2[[#This Row],[Date]])&gt;=4,1,0)</f>
        <v>2025</v>
      </c>
      <c r="D389" s="115">
        <f>YEAR(MC_2[[#This Row],[Date]])</f>
        <v>2025</v>
      </c>
      <c r="E389" s="112" t="s">
        <v>340</v>
      </c>
      <c r="F389" s="112" t="s">
        <v>340</v>
      </c>
      <c r="G389" s="116" t="str">
        <f>TEXT(MC_2[[#This Row],[Date]],"mmm-yy")</f>
        <v>Feb-25</v>
      </c>
      <c r="H389" s="116">
        <f>DAY(EOMONTH(MC_2[[#This Row],[Month Year]],0))</f>
        <v>28</v>
      </c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>
        <v>16</v>
      </c>
      <c r="X389" s="119">
        <v>19</v>
      </c>
      <c r="Y389" s="119"/>
      <c r="Z389" s="119"/>
      <c r="AA389" s="119">
        <v>32</v>
      </c>
      <c r="AB389" s="119"/>
      <c r="AC389" s="119">
        <v>6</v>
      </c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>
        <v>35</v>
      </c>
      <c r="AN389" s="119">
        <v>25</v>
      </c>
      <c r="AO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  <c r="BC389" s="119"/>
      <c r="BD389" s="119"/>
      <c r="BE389" s="5">
        <f>SUM(MC_2[[#This Row],[IS1Inv1M1]:[IS9Inv19M2]])</f>
        <v>133</v>
      </c>
      <c r="BF389" s="119"/>
      <c r="BG389" s="119"/>
      <c r="BH389" s="119"/>
      <c r="BI389" s="119"/>
      <c r="BJ389" s="119"/>
      <c r="BK389" s="119"/>
      <c r="BL389" s="121"/>
    </row>
    <row r="390" spans="1:64">
      <c r="A390" s="119">
        <v>388</v>
      </c>
      <c r="B390" s="113">
        <f t="shared" si="6"/>
        <v>45710</v>
      </c>
      <c r="C390" s="114">
        <f>YEAR(MC_2[[#This Row],[Date]])+IF(MONTH(MC_2[[#This Row],[Date]])&gt;=4,1,0)</f>
        <v>2025</v>
      </c>
      <c r="D390" s="115">
        <f>YEAR(MC_2[[#This Row],[Date]])</f>
        <v>2025</v>
      </c>
      <c r="E390" s="112" t="s">
        <v>340</v>
      </c>
      <c r="F390" s="112" t="s">
        <v>340</v>
      </c>
      <c r="G390" s="116" t="str">
        <f>TEXT(MC_2[[#This Row],[Date]],"mmm-yy")</f>
        <v>Feb-25</v>
      </c>
      <c r="H390" s="116">
        <f>DAY(EOMONTH(MC_2[[#This Row],[Month Year]],0))</f>
        <v>28</v>
      </c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>
        <v>28</v>
      </c>
      <c r="AB390" s="119">
        <v>50</v>
      </c>
      <c r="AC390" s="119"/>
      <c r="AD390" s="119">
        <v>2</v>
      </c>
      <c r="AE390" s="119"/>
      <c r="AF390" s="119"/>
      <c r="AG390" s="119"/>
      <c r="AH390" s="119"/>
      <c r="AI390" s="119"/>
      <c r="AJ390" s="119"/>
      <c r="AK390" s="119"/>
      <c r="AL390" s="119"/>
      <c r="AM390" s="119">
        <v>3</v>
      </c>
      <c r="AN390" s="119">
        <v>6</v>
      </c>
      <c r="AO390" s="119"/>
      <c r="AP390" s="119"/>
      <c r="AQ390" s="119">
        <v>28</v>
      </c>
      <c r="AR390" s="119">
        <v>23.5</v>
      </c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  <c r="BC390" s="119"/>
      <c r="BD390" s="119"/>
      <c r="BE390" s="5">
        <f>SUM(MC_2[[#This Row],[IS1Inv1M1]:[IS9Inv19M2]])</f>
        <v>140.5</v>
      </c>
      <c r="BF390" s="119"/>
      <c r="BG390" s="119"/>
      <c r="BH390" s="119"/>
      <c r="BI390" s="119"/>
      <c r="BJ390" s="119"/>
      <c r="BK390" s="119"/>
      <c r="BL390" s="121"/>
    </row>
    <row r="391" spans="1:64">
      <c r="A391" s="119">
        <v>389</v>
      </c>
      <c r="B391" s="113">
        <f t="shared" si="6"/>
        <v>45711</v>
      </c>
      <c r="C391" s="114">
        <f>YEAR(MC_2[[#This Row],[Date]])+IF(MONTH(MC_2[[#This Row],[Date]])&gt;=4,1,0)</f>
        <v>2025</v>
      </c>
      <c r="D391" s="115">
        <f>YEAR(MC_2[[#This Row],[Date]])</f>
        <v>2025</v>
      </c>
      <c r="E391" s="112" t="s">
        <v>340</v>
      </c>
      <c r="F391" s="112" t="s">
        <v>340</v>
      </c>
      <c r="G391" s="116" t="str">
        <f>TEXT(MC_2[[#This Row],[Date]],"mmm-yy")</f>
        <v>Feb-25</v>
      </c>
      <c r="H391" s="116">
        <f>DAY(EOMONTH(MC_2[[#This Row],[Month Year]],0))</f>
        <v>28</v>
      </c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>
        <v>8</v>
      </c>
      <c r="AB391" s="119">
        <v>19</v>
      </c>
      <c r="AC391" s="119">
        <v>53</v>
      </c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  <c r="BB391" s="119"/>
      <c r="BC391" s="119"/>
      <c r="BD391" s="119"/>
      <c r="BE391" s="5">
        <f>SUM(MC_2[[#This Row],[IS1Inv1M1]:[IS9Inv19M2]])</f>
        <v>80</v>
      </c>
      <c r="BF391" s="119"/>
      <c r="BG391" s="119"/>
      <c r="BH391" s="119"/>
      <c r="BI391" s="119"/>
      <c r="BJ391" s="119"/>
      <c r="BK391" s="119"/>
      <c r="BL391" s="121"/>
    </row>
    <row r="392" spans="1:64">
      <c r="A392" s="119">
        <v>390</v>
      </c>
      <c r="B392" s="113">
        <f t="shared" si="6"/>
        <v>45712</v>
      </c>
      <c r="C392" s="114">
        <f>YEAR(MC_2[[#This Row],[Date]])+IF(MONTH(MC_2[[#This Row],[Date]])&gt;=4,1,0)</f>
        <v>2025</v>
      </c>
      <c r="D392" s="115">
        <f>YEAR(MC_2[[#This Row],[Date]])</f>
        <v>2025</v>
      </c>
      <c r="E392" s="112" t="s">
        <v>340</v>
      </c>
      <c r="F392" s="112" t="s">
        <v>340</v>
      </c>
      <c r="G392" s="116" t="str">
        <f>TEXT(MC_2[[#This Row],[Date]],"mmm-yy")</f>
        <v>Feb-25</v>
      </c>
      <c r="H392" s="116">
        <f>DAY(EOMONTH(MC_2[[#This Row],[Month Year]],0))</f>
        <v>28</v>
      </c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>
        <v>9</v>
      </c>
      <c r="AD392" s="119">
        <v>68</v>
      </c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>
        <v>29</v>
      </c>
      <c r="AO392" s="119">
        <v>5.5</v>
      </c>
      <c r="AP392" s="119">
        <v>3</v>
      </c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  <c r="BB392" s="119"/>
      <c r="BC392" s="119"/>
      <c r="BD392" s="119"/>
      <c r="BE392" s="5">
        <f>SUM(MC_2[[#This Row],[IS1Inv1M1]:[IS9Inv19M2]])</f>
        <v>114.5</v>
      </c>
      <c r="BF392" s="119"/>
      <c r="BG392" s="119"/>
      <c r="BH392" s="119"/>
      <c r="BI392" s="119"/>
      <c r="BJ392" s="119"/>
      <c r="BK392" s="119"/>
      <c r="BL392" s="121"/>
    </row>
    <row r="393" spans="1:64">
      <c r="A393" s="119">
        <v>391</v>
      </c>
      <c r="B393" s="113">
        <f t="shared" si="6"/>
        <v>45713</v>
      </c>
      <c r="C393" s="114">
        <f>YEAR(MC_2[[#This Row],[Date]])+IF(MONTH(MC_2[[#This Row],[Date]])&gt;=4,1,0)</f>
        <v>2025</v>
      </c>
      <c r="D393" s="115">
        <f>YEAR(MC_2[[#This Row],[Date]])</f>
        <v>2025</v>
      </c>
      <c r="E393" s="112" t="s">
        <v>340</v>
      </c>
      <c r="F393" s="112" t="s">
        <v>340</v>
      </c>
      <c r="G393" s="116" t="str">
        <f>TEXT(MC_2[[#This Row],[Date]],"mmm-yy")</f>
        <v>Feb-25</v>
      </c>
      <c r="H393" s="116">
        <f>DAY(EOMONTH(MC_2[[#This Row],[Month Year]],0))</f>
        <v>28</v>
      </c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>
        <v>11</v>
      </c>
      <c r="AF393" s="119"/>
      <c r="AG393" s="119"/>
      <c r="AH393" s="119"/>
      <c r="AI393" s="119"/>
      <c r="AJ393" s="119">
        <v>69</v>
      </c>
      <c r="AK393" s="119"/>
      <c r="AL393" s="119"/>
      <c r="AM393" s="119"/>
      <c r="AN393" s="119"/>
      <c r="AO393" s="119">
        <v>5</v>
      </c>
      <c r="AP393" s="119">
        <v>17</v>
      </c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  <c r="BB393" s="119"/>
      <c r="BC393" s="119"/>
      <c r="BD393" s="119"/>
      <c r="BE393" s="5">
        <f>SUM(MC_2[[#This Row],[IS1Inv1M1]:[IS9Inv19M2]])</f>
        <v>102</v>
      </c>
      <c r="BF393" s="119"/>
      <c r="BG393" s="119"/>
      <c r="BH393" s="119"/>
      <c r="BI393" s="119"/>
      <c r="BJ393" s="119"/>
      <c r="BK393" s="119"/>
      <c r="BL393" s="121"/>
    </row>
    <row r="394" spans="1:64">
      <c r="A394" s="119">
        <v>392</v>
      </c>
      <c r="B394" s="113">
        <f t="shared" si="6"/>
        <v>45714</v>
      </c>
      <c r="C394" s="114">
        <f>YEAR(MC_2[[#This Row],[Date]])+IF(MONTH(MC_2[[#This Row],[Date]])&gt;=4,1,0)</f>
        <v>2025</v>
      </c>
      <c r="D394" s="115">
        <f>YEAR(MC_2[[#This Row],[Date]])</f>
        <v>2025</v>
      </c>
      <c r="E394" s="112" t="s">
        <v>340</v>
      </c>
      <c r="F394" s="112" t="s">
        <v>340</v>
      </c>
      <c r="G394" s="116" t="str">
        <f>TEXT(MC_2[[#This Row],[Date]],"mmm-yy")</f>
        <v>Feb-25</v>
      </c>
      <c r="H394" s="116">
        <f>DAY(EOMONTH(MC_2[[#This Row],[Month Year]],0))</f>
        <v>28</v>
      </c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>
        <v>46</v>
      </c>
      <c r="AF394" s="119"/>
      <c r="AG394" s="119"/>
      <c r="AH394" s="119"/>
      <c r="AI394" s="119">
        <v>33</v>
      </c>
      <c r="AJ394" s="119"/>
      <c r="AK394" s="119"/>
      <c r="AL394" s="119"/>
      <c r="AM394" s="112"/>
      <c r="AN394" s="112"/>
      <c r="AO394" s="112">
        <v>3.5</v>
      </c>
      <c r="AP394" s="112"/>
      <c r="AQ394" s="112"/>
      <c r="AR394" s="112"/>
      <c r="AS394" s="112"/>
      <c r="AT394" s="112"/>
      <c r="AU394" s="112"/>
      <c r="AV394" s="112"/>
      <c r="AW394" s="112"/>
      <c r="AX394" s="112">
        <v>10.5</v>
      </c>
      <c r="AY394" s="112"/>
      <c r="AZ394" s="112"/>
      <c r="BA394" s="112"/>
      <c r="BB394" s="112"/>
      <c r="BC394" s="112"/>
      <c r="BD394" s="112"/>
      <c r="BE394" s="5">
        <f>SUM(MC_2[[#This Row],[IS1Inv1M1]:[IS9Inv19M2]])</f>
        <v>93</v>
      </c>
      <c r="BF394" s="119"/>
      <c r="BG394" s="119"/>
      <c r="BH394" s="119"/>
      <c r="BI394" s="119"/>
      <c r="BJ394" s="119"/>
      <c r="BK394" s="119"/>
      <c r="BL394" s="121"/>
    </row>
    <row r="395" spans="1:64">
      <c r="A395" s="119">
        <v>393</v>
      </c>
      <c r="B395" s="113">
        <f t="shared" si="6"/>
        <v>45715</v>
      </c>
      <c r="C395" s="114">
        <f>YEAR(MC_2[[#This Row],[Date]])+IF(MONTH(MC_2[[#This Row],[Date]])&gt;=4,1,0)</f>
        <v>2025</v>
      </c>
      <c r="D395" s="115">
        <f>YEAR(MC_2[[#This Row],[Date]])</f>
        <v>2025</v>
      </c>
      <c r="E395" s="112" t="s">
        <v>340</v>
      </c>
      <c r="F395" s="112" t="s">
        <v>340</v>
      </c>
      <c r="G395" s="116" t="str">
        <f>TEXT(MC_2[[#This Row],[Date]],"mmm-yy")</f>
        <v>Feb-25</v>
      </c>
      <c r="H395" s="116">
        <f>DAY(EOMONTH(MC_2[[#This Row],[Month Year]],0))</f>
        <v>28</v>
      </c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>
        <v>10</v>
      </c>
      <c r="AF395" s="119">
        <v>15</v>
      </c>
      <c r="AG395" s="119"/>
      <c r="AH395" s="119"/>
      <c r="AI395" s="119">
        <v>35</v>
      </c>
      <c r="AJ395" s="119"/>
      <c r="AK395" s="119">
        <v>4</v>
      </c>
      <c r="AL395" s="119"/>
      <c r="AM395" s="119"/>
      <c r="AN395" s="119"/>
      <c r="AO395" s="119"/>
      <c r="AP395" s="119"/>
      <c r="AQ395" s="119">
        <v>5.5</v>
      </c>
      <c r="AR395" s="119"/>
      <c r="AS395" s="119"/>
      <c r="AT395" s="119">
        <v>5</v>
      </c>
      <c r="AU395" s="119"/>
      <c r="AV395" s="119"/>
      <c r="AW395" s="119"/>
      <c r="AX395" s="119">
        <v>32.5</v>
      </c>
      <c r="AY395" s="119"/>
      <c r="AZ395" s="119"/>
      <c r="BA395" s="119"/>
      <c r="BB395" s="119"/>
      <c r="BC395" s="119"/>
      <c r="BD395" s="119"/>
      <c r="BE395" s="5">
        <f>SUM(MC_2[[#This Row],[IS1Inv1M1]:[IS9Inv19M2]])</f>
        <v>107</v>
      </c>
      <c r="BF395" s="119"/>
      <c r="BG395" s="119"/>
      <c r="BH395" s="119"/>
      <c r="BI395" s="119"/>
      <c r="BJ395" s="119"/>
      <c r="BK395" s="119"/>
      <c r="BL395" s="121"/>
    </row>
    <row r="396" spans="1:64">
      <c r="A396" s="119">
        <v>394</v>
      </c>
      <c r="B396" s="113">
        <f t="shared" si="6"/>
        <v>45716</v>
      </c>
      <c r="C396" s="114">
        <f>YEAR(MC_2[[#This Row],[Date]])+IF(MONTH(MC_2[[#This Row],[Date]])&gt;=4,1,0)</f>
        <v>2025</v>
      </c>
      <c r="D396" s="115">
        <f>YEAR(MC_2[[#This Row],[Date]])</f>
        <v>2025</v>
      </c>
      <c r="E396" s="112" t="s">
        <v>340</v>
      </c>
      <c r="F396" s="112" t="s">
        <v>340</v>
      </c>
      <c r="G396" s="116" t="str">
        <f>TEXT(MC_2[[#This Row],[Date]],"mmm-yy")</f>
        <v>Feb-25</v>
      </c>
      <c r="H396" s="116">
        <f>DAY(EOMONTH(MC_2[[#This Row],[Month Year]],0))</f>
        <v>28</v>
      </c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>
        <v>38</v>
      </c>
      <c r="AH396" s="119"/>
      <c r="AI396" s="119"/>
      <c r="AJ396" s="119"/>
      <c r="AK396" s="119">
        <v>41</v>
      </c>
      <c r="AL396" s="119"/>
      <c r="AM396" s="119"/>
      <c r="AN396" s="119"/>
      <c r="AO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  <c r="BB396" s="119"/>
      <c r="BC396" s="119"/>
      <c r="BD396" s="119"/>
      <c r="BE396" s="5">
        <f>SUM(MC_2[[#This Row],[IS1Inv1M1]:[IS9Inv19M2]])</f>
        <v>79</v>
      </c>
      <c r="BF396" s="119"/>
      <c r="BG396" s="119"/>
      <c r="BH396" s="119"/>
      <c r="BI396" s="119"/>
      <c r="BJ396" s="119"/>
      <c r="BK396" s="119"/>
      <c r="BL396" s="119"/>
    </row>
    <row r="397" spans="1:64">
      <c r="A397" s="119">
        <v>395</v>
      </c>
      <c r="B397" s="113">
        <f t="shared" si="6"/>
        <v>45717</v>
      </c>
      <c r="C397" s="114">
        <f>YEAR(MC_2[[#This Row],[Date]])+IF(MONTH(MC_2[[#This Row],[Date]])&gt;=4,1,0)</f>
        <v>2025</v>
      </c>
      <c r="D397" s="115">
        <f>YEAR(MC_2[[#This Row],[Date]])</f>
        <v>2025</v>
      </c>
      <c r="E397" s="112" t="s">
        <v>340</v>
      </c>
      <c r="F397" s="112" t="s">
        <v>340</v>
      </c>
      <c r="G397" s="116" t="str">
        <f>TEXT(MC_2[[#This Row],[Date]],"mmm-yy")</f>
        <v>Mar-25</v>
      </c>
      <c r="H397" s="116">
        <f>DAY(EOMONTH(MC_2[[#This Row],[Month Year]],0))</f>
        <v>31</v>
      </c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  <c r="AU397" s="119"/>
      <c r="AV397" s="119"/>
      <c r="AW397" s="119">
        <v>12</v>
      </c>
      <c r="AX397" s="119"/>
      <c r="AY397" s="119">
        <v>15</v>
      </c>
      <c r="AZ397" s="119"/>
      <c r="BA397" s="119"/>
      <c r="BB397" s="119"/>
      <c r="BC397" s="119"/>
      <c r="BD397" s="119"/>
      <c r="BE397" s="5">
        <f>SUM(MC_2[[#This Row],[IS1Inv1M1]:[IS9Inv19M2]])</f>
        <v>27</v>
      </c>
      <c r="BF397" s="119"/>
      <c r="BG397" s="119"/>
      <c r="BH397" s="119"/>
      <c r="BI397" s="119"/>
      <c r="BJ397" s="119"/>
      <c r="BK397" s="119"/>
      <c r="BL397" s="119"/>
    </row>
    <row r="398" spans="1:64">
      <c r="A398" s="119">
        <v>396</v>
      </c>
      <c r="B398" s="113">
        <f t="shared" si="6"/>
        <v>45718</v>
      </c>
      <c r="C398" s="114">
        <f>YEAR(MC_2[[#This Row],[Date]])+IF(MONTH(MC_2[[#This Row],[Date]])&gt;=4,1,0)</f>
        <v>2025</v>
      </c>
      <c r="D398" s="115">
        <f>YEAR(MC_2[[#This Row],[Date]])</f>
        <v>2025</v>
      </c>
      <c r="E398" s="112" t="s">
        <v>340</v>
      </c>
      <c r="F398" s="112" t="s">
        <v>340</v>
      </c>
      <c r="G398" s="116" t="str">
        <f>TEXT(MC_2[[#This Row],[Date]],"mmm-yy")</f>
        <v>Mar-25</v>
      </c>
      <c r="H398" s="116">
        <f>DAY(EOMONTH(MC_2[[#This Row],[Month Year]],0))</f>
        <v>31</v>
      </c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>
        <v>21</v>
      </c>
      <c r="AH398" s="119"/>
      <c r="AI398" s="119"/>
      <c r="AJ398" s="119"/>
      <c r="AK398" s="119">
        <v>13</v>
      </c>
      <c r="AL398" s="119">
        <v>6</v>
      </c>
      <c r="AM398" s="119"/>
      <c r="AN398" s="119"/>
      <c r="AO398" s="119"/>
      <c r="AP398" s="119">
        <v>7</v>
      </c>
      <c r="AQ398" s="119"/>
      <c r="AR398" s="119"/>
      <c r="AS398" s="119"/>
      <c r="AT398" s="119">
        <v>10</v>
      </c>
      <c r="AU398" s="119"/>
      <c r="AV398" s="119"/>
      <c r="AW398" s="119">
        <v>23</v>
      </c>
      <c r="AX398" s="119"/>
      <c r="AY398" s="119">
        <v>20</v>
      </c>
      <c r="AZ398" s="119"/>
      <c r="BA398" s="119"/>
      <c r="BB398" s="119"/>
      <c r="BC398" s="119"/>
      <c r="BD398" s="119"/>
      <c r="BE398" s="5">
        <f>SUM(MC_2[[#This Row],[IS1Inv1M1]:[IS9Inv19M2]])</f>
        <v>100</v>
      </c>
      <c r="BF398" s="119"/>
      <c r="BG398" s="119"/>
      <c r="BH398" s="119"/>
      <c r="BI398" s="119"/>
      <c r="BJ398" s="119"/>
      <c r="BK398" s="119"/>
      <c r="BL398" s="119"/>
    </row>
    <row r="399" spans="1:64">
      <c r="A399" s="119">
        <v>397</v>
      </c>
      <c r="B399" s="113">
        <f t="shared" si="6"/>
        <v>45719</v>
      </c>
      <c r="C399" s="114">
        <f>YEAR(MC_2[[#This Row],[Date]])+IF(MONTH(MC_2[[#This Row],[Date]])&gt;=4,1,0)</f>
        <v>2025</v>
      </c>
      <c r="D399" s="115">
        <f>YEAR(MC_2[[#This Row],[Date]])</f>
        <v>2025</v>
      </c>
      <c r="E399" s="112" t="s">
        <v>340</v>
      </c>
      <c r="F399" s="112" t="s">
        <v>340</v>
      </c>
      <c r="G399" s="116" t="str">
        <f>TEXT(MC_2[[#This Row],[Date]],"mmm-yy")</f>
        <v>Mar-25</v>
      </c>
      <c r="H399" s="116">
        <f>DAY(EOMONTH(MC_2[[#This Row],[Month Year]],0))</f>
        <v>31</v>
      </c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>
        <v>13</v>
      </c>
      <c r="AH399" s="119"/>
      <c r="AI399" s="119"/>
      <c r="AJ399" s="119"/>
      <c r="AK399" s="119">
        <v>8</v>
      </c>
      <c r="AL399" s="119">
        <v>33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  <c r="BB399" s="119"/>
      <c r="BC399" s="119"/>
      <c r="BD399" s="119">
        <v>32</v>
      </c>
      <c r="BE399" s="5">
        <f>SUM(MC_2[[#This Row],[IS1Inv1M1]:[IS9Inv19M2]])</f>
        <v>86</v>
      </c>
      <c r="BF399" s="119"/>
      <c r="BG399" s="119"/>
      <c r="BH399" s="119"/>
      <c r="BI399" s="119"/>
      <c r="BJ399" s="119"/>
      <c r="BK399" s="119"/>
      <c r="BL399" s="119"/>
    </row>
    <row r="400" spans="1:64">
      <c r="A400" s="119">
        <v>398</v>
      </c>
      <c r="B400" s="113">
        <f t="shared" si="6"/>
        <v>45720</v>
      </c>
      <c r="C400" s="114">
        <f>YEAR(MC_2[[#This Row],[Date]])+IF(MONTH(MC_2[[#This Row],[Date]])&gt;=4,1,0)</f>
        <v>2025</v>
      </c>
      <c r="D400" s="115">
        <f>YEAR(MC_2[[#This Row],[Date]])</f>
        <v>2025</v>
      </c>
      <c r="E400" s="112" t="s">
        <v>340</v>
      </c>
      <c r="F400" s="112" t="s">
        <v>340</v>
      </c>
      <c r="G400" s="116" t="str">
        <f>TEXT(MC_2[[#This Row],[Date]],"mmm-yy")</f>
        <v>Mar-25</v>
      </c>
      <c r="H400" s="116">
        <f>DAY(EOMONTH(MC_2[[#This Row],[Month Year]],0))</f>
        <v>31</v>
      </c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>
        <v>27.5</v>
      </c>
      <c r="AI400" s="119"/>
      <c r="AJ400" s="119"/>
      <c r="AK400" s="119"/>
      <c r="AL400" s="119">
        <v>38</v>
      </c>
      <c r="AM400" s="119"/>
      <c r="AN400" s="119"/>
      <c r="AO400" s="119"/>
      <c r="AP400" s="119"/>
      <c r="AQ400" s="119"/>
      <c r="AR400" s="119"/>
      <c r="AS400" s="119"/>
      <c r="AT400" s="119"/>
      <c r="AU400" s="119">
        <v>31</v>
      </c>
      <c r="AV400" s="119"/>
      <c r="AW400" s="119"/>
      <c r="AX400" s="119"/>
      <c r="AY400" s="119"/>
      <c r="AZ400" s="119"/>
      <c r="BA400" s="119"/>
      <c r="BB400" s="119"/>
      <c r="BC400" s="119"/>
      <c r="BD400" s="119"/>
      <c r="BE400" s="5">
        <f>SUM(MC_2[[#This Row],[IS1Inv1M1]:[IS9Inv19M2]])</f>
        <v>96.5</v>
      </c>
      <c r="BF400" s="119"/>
      <c r="BG400" s="119"/>
      <c r="BH400" s="119"/>
      <c r="BI400" s="119"/>
      <c r="BJ400" s="119"/>
      <c r="BK400" s="119"/>
      <c r="BL400" s="119"/>
    </row>
    <row r="401" spans="1:64">
      <c r="A401" s="119">
        <v>399</v>
      </c>
      <c r="B401" s="113">
        <f t="shared" si="6"/>
        <v>45721</v>
      </c>
      <c r="C401" s="114">
        <f>YEAR(MC_2[[#This Row],[Date]])+IF(MONTH(MC_2[[#This Row],[Date]])&gt;=4,1,0)</f>
        <v>2025</v>
      </c>
      <c r="D401" s="115">
        <f>YEAR(MC_2[[#This Row],[Date]])</f>
        <v>2025</v>
      </c>
      <c r="E401" s="112" t="s">
        <v>340</v>
      </c>
      <c r="F401" s="112" t="s">
        <v>340</v>
      </c>
      <c r="G401" s="116" t="str">
        <f>TEXT(MC_2[[#This Row],[Date]],"mmm-yy")</f>
        <v>Mar-25</v>
      </c>
      <c r="H401" s="116">
        <f>DAY(EOMONTH(MC_2[[#This Row],[Month Year]],0))</f>
        <v>31</v>
      </c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  <c r="AU401" s="119"/>
      <c r="AV401" s="119">
        <v>13.5</v>
      </c>
      <c r="AW401" s="119"/>
      <c r="AX401" s="119"/>
      <c r="AY401" s="119"/>
      <c r="AZ401" s="119"/>
      <c r="BA401" s="119"/>
      <c r="BB401" s="119"/>
      <c r="BC401" s="119"/>
      <c r="BD401" s="119"/>
      <c r="BE401" s="5">
        <f>SUM(MC_2[[#This Row],[IS1Inv1M1]:[IS9Inv19M2]])</f>
        <v>13.5</v>
      </c>
      <c r="BF401" s="119"/>
      <c r="BG401" s="119"/>
      <c r="BH401" s="119"/>
      <c r="BI401" s="119"/>
      <c r="BJ401" s="119"/>
      <c r="BK401" s="119"/>
      <c r="BL401" s="119"/>
    </row>
    <row r="402" spans="1:64">
      <c r="A402" s="119">
        <v>400</v>
      </c>
      <c r="B402" s="113">
        <f t="shared" si="6"/>
        <v>45722</v>
      </c>
      <c r="C402" s="114">
        <f>YEAR(MC_2[[#This Row],[Date]])+IF(MONTH(MC_2[[#This Row],[Date]])&gt;=4,1,0)</f>
        <v>2025</v>
      </c>
      <c r="D402" s="115">
        <f>YEAR(MC_2[[#This Row],[Date]])</f>
        <v>2025</v>
      </c>
      <c r="E402" s="112" t="s">
        <v>340</v>
      </c>
      <c r="F402" s="112" t="s">
        <v>340</v>
      </c>
      <c r="G402" s="116" t="str">
        <f>TEXT(MC_2[[#This Row],[Date]],"mmm-yy")</f>
        <v>Mar-25</v>
      </c>
      <c r="H402" s="116">
        <f>DAY(EOMONTH(MC_2[[#This Row],[Month Year]],0))</f>
        <v>31</v>
      </c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  <c r="BB402" s="119"/>
      <c r="BC402" s="119"/>
      <c r="BD402" s="119"/>
      <c r="BE402" s="5"/>
      <c r="BF402" s="119"/>
      <c r="BG402" s="119"/>
      <c r="BH402" s="119"/>
      <c r="BI402" s="119"/>
      <c r="BJ402" s="119"/>
      <c r="BK402" s="119"/>
      <c r="BL402" s="119"/>
    </row>
    <row r="403" spans="1:64">
      <c r="A403" s="119">
        <v>401</v>
      </c>
      <c r="B403" s="113">
        <f t="shared" si="6"/>
        <v>45723</v>
      </c>
      <c r="C403" s="114">
        <f>YEAR(MC_2[[#This Row],[Date]])+IF(MONTH(MC_2[[#This Row],[Date]])&gt;=4,1,0)</f>
        <v>2025</v>
      </c>
      <c r="D403" s="115">
        <f>YEAR(MC_2[[#This Row],[Date]])</f>
        <v>2025</v>
      </c>
      <c r="E403" s="112" t="s">
        <v>340</v>
      </c>
      <c r="F403" s="112" t="s">
        <v>340</v>
      </c>
      <c r="G403" s="116" t="str">
        <f>TEXT(MC_2[[#This Row],[Date]],"mmm-yy")</f>
        <v>Mar-25</v>
      </c>
      <c r="H403" s="116">
        <f>DAY(EOMONTH(MC_2[[#This Row],[Month Year]],0))</f>
        <v>31</v>
      </c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>
        <v>33</v>
      </c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  <c r="BC403" s="119"/>
      <c r="BD403" s="119"/>
      <c r="BE403" s="5">
        <f>SUM(MC_2[[#This Row],[IS1Inv1M1]:[IS9Inv19M2]])</f>
        <v>33</v>
      </c>
      <c r="BF403" s="119"/>
      <c r="BG403" s="119"/>
      <c r="BH403" s="119"/>
      <c r="BI403" s="119"/>
      <c r="BJ403" s="119"/>
      <c r="BK403" s="119"/>
      <c r="BL403" s="119"/>
    </row>
    <row r="404" spans="1:64">
      <c r="A404" s="119">
        <v>402</v>
      </c>
      <c r="B404" s="113">
        <f t="shared" si="6"/>
        <v>45724</v>
      </c>
      <c r="C404" s="114">
        <f>YEAR(MC_2[[#This Row],[Date]])+IF(MONTH(MC_2[[#This Row],[Date]])&gt;=4,1,0)</f>
        <v>2025</v>
      </c>
      <c r="D404" s="115">
        <f>YEAR(MC_2[[#This Row],[Date]])</f>
        <v>2025</v>
      </c>
      <c r="E404" s="112" t="s">
        <v>340</v>
      </c>
      <c r="F404" s="112" t="s">
        <v>340</v>
      </c>
      <c r="G404" s="116" t="str">
        <f>TEXT(MC_2[[#This Row],[Date]],"mmm-yy")</f>
        <v>Mar-25</v>
      </c>
      <c r="H404" s="116">
        <f>DAY(EOMONTH(MC_2[[#This Row],[Month Year]],0))</f>
        <v>31</v>
      </c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>
        <v>29</v>
      </c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  <c r="BC404" s="119"/>
      <c r="BD404" s="119"/>
      <c r="BE404" s="5">
        <f>SUM(MC_2[[#This Row],[IS1Inv1M1]:[IS9Inv19M2]])</f>
        <v>29</v>
      </c>
      <c r="BF404" s="119"/>
      <c r="BG404" s="119"/>
      <c r="BH404" s="119"/>
      <c r="BI404" s="119"/>
      <c r="BJ404" s="119"/>
      <c r="BK404" s="119"/>
      <c r="BL404" s="119"/>
    </row>
    <row r="405" spans="1:64">
      <c r="A405" s="119">
        <v>403</v>
      </c>
      <c r="B405" s="113">
        <f t="shared" si="6"/>
        <v>45725</v>
      </c>
      <c r="C405" s="114">
        <f>YEAR(MC_2[[#This Row],[Date]])+IF(MONTH(MC_2[[#This Row],[Date]])&gt;=4,1,0)</f>
        <v>2025</v>
      </c>
      <c r="D405" s="115">
        <f>YEAR(MC_2[[#This Row],[Date]])</f>
        <v>2025</v>
      </c>
      <c r="E405" s="112" t="s">
        <v>340</v>
      </c>
      <c r="F405" s="112" t="s">
        <v>340</v>
      </c>
      <c r="G405" s="116" t="str">
        <f>TEXT(MC_2[[#This Row],[Date]],"mmm-yy")</f>
        <v>Mar-25</v>
      </c>
      <c r="H405" s="116">
        <f>DAY(EOMONTH(MC_2[[#This Row],[Month Year]],0))</f>
        <v>31</v>
      </c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97"/>
      <c r="AN405" s="197"/>
      <c r="AO405" s="197"/>
      <c r="AP405" s="197"/>
      <c r="AQ405" s="197"/>
      <c r="AR405" s="197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  <c r="BC405" s="119"/>
      <c r="BD405" s="119"/>
      <c r="BE405" s="5">
        <f>SUM(MC_2[[#This Row],[IS1Inv1M1]:[IS9Inv19M2]])</f>
        <v>0</v>
      </c>
      <c r="BF405" s="119"/>
      <c r="BG405" s="119"/>
      <c r="BH405" s="119"/>
      <c r="BI405" s="119"/>
      <c r="BJ405" s="119"/>
      <c r="BK405" s="119"/>
      <c r="BL405" s="119"/>
    </row>
    <row r="406" spans="1:64">
      <c r="A406" s="119">
        <v>404</v>
      </c>
      <c r="B406" s="113">
        <f t="shared" si="6"/>
        <v>45726</v>
      </c>
      <c r="C406" s="114">
        <f>YEAR(MC_2[[#This Row],[Date]])+IF(MONTH(MC_2[[#This Row],[Date]])&gt;=4,1,0)</f>
        <v>2025</v>
      </c>
      <c r="D406" s="115">
        <f>YEAR(MC_2[[#This Row],[Date]])</f>
        <v>2025</v>
      </c>
      <c r="E406" s="112" t="s">
        <v>340</v>
      </c>
      <c r="F406" s="112" t="s">
        <v>340</v>
      </c>
      <c r="G406" s="116" t="str">
        <f>TEXT(MC_2[[#This Row],[Date]],"mmm-yy")</f>
        <v>Mar-25</v>
      </c>
      <c r="H406" s="116">
        <f>DAY(EOMONTH(MC_2[[#This Row],[Month Year]],0))</f>
        <v>31</v>
      </c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97"/>
      <c r="AN406" s="197"/>
      <c r="AO406" s="197"/>
      <c r="AP406" s="197"/>
      <c r="AQ406" s="197"/>
      <c r="AR406" s="197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  <c r="BC406" s="119"/>
      <c r="BD406" s="119"/>
      <c r="BE406" s="5">
        <f>SUM(MC_2[[#This Row],[IS1Inv1M1]:[IS9Inv19M2]])</f>
        <v>0</v>
      </c>
      <c r="BF406" s="119"/>
      <c r="BG406" s="119"/>
      <c r="BH406" s="119"/>
      <c r="BI406" s="119"/>
      <c r="BJ406" s="119"/>
      <c r="BK406" s="119"/>
      <c r="BL406" s="119"/>
    </row>
    <row r="407" spans="1:64">
      <c r="A407" s="119">
        <v>405</v>
      </c>
      <c r="B407" s="113">
        <f t="shared" si="6"/>
        <v>45727</v>
      </c>
      <c r="C407" s="114">
        <f>YEAR(MC_2[[#This Row],[Date]])+IF(MONTH(MC_2[[#This Row],[Date]])&gt;=4,1,0)</f>
        <v>2025</v>
      </c>
      <c r="D407" s="115">
        <f>YEAR(MC_2[[#This Row],[Date]])</f>
        <v>2025</v>
      </c>
      <c r="E407" s="112" t="s">
        <v>340</v>
      </c>
      <c r="F407" s="112" t="s">
        <v>340</v>
      </c>
      <c r="G407" s="116" t="str">
        <f>TEXT(MC_2[[#This Row],[Date]],"mmm-yy")</f>
        <v>Mar-25</v>
      </c>
      <c r="H407" s="116">
        <f>DAY(EOMONTH(MC_2[[#This Row],[Month Year]],0))</f>
        <v>31</v>
      </c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97"/>
      <c r="AN407" s="197"/>
      <c r="AO407" s="197"/>
      <c r="AP407" s="197"/>
      <c r="AQ407" s="197"/>
      <c r="AR407" s="197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  <c r="BC407" s="119"/>
      <c r="BD407" s="119"/>
      <c r="BE407" s="5">
        <f>SUM(MC_2[[#This Row],[IS1Inv1M1]:[IS9Inv19M2]])</f>
        <v>0</v>
      </c>
      <c r="BF407" s="119"/>
      <c r="BG407" s="119"/>
      <c r="BH407" s="119"/>
      <c r="BI407" s="119"/>
      <c r="BJ407" s="119"/>
      <c r="BK407" s="119"/>
      <c r="BL407" s="119"/>
    </row>
    <row r="408" spans="1:64">
      <c r="A408" s="119">
        <v>406</v>
      </c>
      <c r="B408" s="113">
        <f t="shared" si="6"/>
        <v>45728</v>
      </c>
      <c r="C408" s="114">
        <f>YEAR(MC_2[[#This Row],[Date]])+IF(MONTH(MC_2[[#This Row],[Date]])&gt;=4,1,0)</f>
        <v>2025</v>
      </c>
      <c r="D408" s="115">
        <f>YEAR(MC_2[[#This Row],[Date]])</f>
        <v>2025</v>
      </c>
      <c r="E408" s="112" t="s">
        <v>340</v>
      </c>
      <c r="F408" s="112" t="s">
        <v>340</v>
      </c>
      <c r="G408" s="116" t="str">
        <f>TEXT(MC_2[[#This Row],[Date]],"mmm-yy")</f>
        <v>Mar-25</v>
      </c>
      <c r="H408" s="116">
        <f>DAY(EOMONTH(MC_2[[#This Row],[Month Year]],0))</f>
        <v>31</v>
      </c>
      <c r="I408" s="119"/>
      <c r="J408" s="119"/>
      <c r="K408" s="119"/>
      <c r="L408" s="119"/>
      <c r="M408" s="119"/>
      <c r="N408" s="119"/>
      <c r="O408" s="119">
        <v>9</v>
      </c>
      <c r="P408" s="119">
        <v>31</v>
      </c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97"/>
      <c r="AN408" s="197"/>
      <c r="AO408" s="197"/>
      <c r="AP408" s="197"/>
      <c r="AQ408" s="197"/>
      <c r="AR408" s="197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  <c r="BC408" s="119"/>
      <c r="BD408" s="119"/>
      <c r="BE408" s="5">
        <f>SUM(MC_2[[#This Row],[IS1Inv1M1]:[IS9Inv19M2]])</f>
        <v>40</v>
      </c>
      <c r="BF408" s="119"/>
      <c r="BG408" s="119"/>
      <c r="BH408" s="119"/>
      <c r="BI408" s="119"/>
      <c r="BJ408" s="119"/>
      <c r="BK408" s="119"/>
      <c r="BL408" s="119"/>
    </row>
    <row r="409" spans="1:64">
      <c r="A409" s="119">
        <v>407</v>
      </c>
      <c r="B409" s="113">
        <f t="shared" si="6"/>
        <v>45729</v>
      </c>
      <c r="C409" s="114">
        <f>YEAR(MC_2[[#This Row],[Date]])+IF(MONTH(MC_2[[#This Row],[Date]])&gt;=4,1,0)</f>
        <v>2025</v>
      </c>
      <c r="D409" s="115">
        <f>YEAR(MC_2[[#This Row],[Date]])</f>
        <v>2025</v>
      </c>
      <c r="E409" s="112" t="s">
        <v>340</v>
      </c>
      <c r="F409" s="112" t="s">
        <v>340</v>
      </c>
      <c r="G409" s="116" t="str">
        <f>TEXT(MC_2[[#This Row],[Date]],"mmm-yy")</f>
        <v>Mar-25</v>
      </c>
      <c r="H409" s="116">
        <f>DAY(EOMONTH(MC_2[[#This Row],[Month Year]],0))</f>
        <v>31</v>
      </c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97"/>
      <c r="AN409" s="197"/>
      <c r="AO409" s="197"/>
      <c r="AP409" s="197"/>
      <c r="AQ409" s="197"/>
      <c r="AR409" s="197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  <c r="BC409" s="119"/>
      <c r="BD409" s="119"/>
      <c r="BE409" s="5">
        <f>SUM(MC_2[[#This Row],[IS1Inv1M1]:[IS9Inv19M2]])</f>
        <v>0</v>
      </c>
      <c r="BF409" s="119"/>
      <c r="BG409" s="119"/>
      <c r="BH409" s="119"/>
      <c r="BI409" s="119"/>
      <c r="BJ409" s="119"/>
      <c r="BK409" s="119"/>
      <c r="BL409" s="119"/>
    </row>
    <row r="410" spans="1:64">
      <c r="A410" s="119">
        <v>408</v>
      </c>
      <c r="B410" s="113">
        <f t="shared" si="6"/>
        <v>45730</v>
      </c>
      <c r="C410" s="114">
        <f>YEAR(MC_2[[#This Row],[Date]])+IF(MONTH(MC_2[[#This Row],[Date]])&gt;=4,1,0)</f>
        <v>2025</v>
      </c>
      <c r="D410" s="115">
        <f>YEAR(MC_2[[#This Row],[Date]])</f>
        <v>2025</v>
      </c>
      <c r="E410" s="112" t="s">
        <v>340</v>
      </c>
      <c r="F410" s="112" t="s">
        <v>340</v>
      </c>
      <c r="G410" s="116" t="str">
        <f>TEXT(MC_2[[#This Row],[Date]],"mmm-yy")</f>
        <v>Mar-25</v>
      </c>
      <c r="H410" s="116">
        <f>DAY(EOMONTH(MC_2[[#This Row],[Month Year]],0))</f>
        <v>31</v>
      </c>
      <c r="I410" s="119"/>
      <c r="J410" s="119"/>
      <c r="K410" s="119">
        <v>28</v>
      </c>
      <c r="L410" s="119"/>
      <c r="M410" s="119"/>
      <c r="N410" s="119"/>
      <c r="O410" s="119"/>
      <c r="P410" s="119">
        <v>11</v>
      </c>
      <c r="Q410" s="119">
        <v>18</v>
      </c>
      <c r="R410" s="119">
        <v>23</v>
      </c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97"/>
      <c r="AN410" s="197"/>
      <c r="AO410" s="197"/>
      <c r="AP410" s="197"/>
      <c r="AQ410" s="197"/>
      <c r="AR410" s="197"/>
      <c r="AS410" s="119"/>
      <c r="AT410" s="119"/>
      <c r="AU410" s="119"/>
      <c r="AV410" s="119"/>
      <c r="AW410" s="119"/>
      <c r="AX410" s="119"/>
      <c r="AY410" s="119"/>
      <c r="AZ410" s="119"/>
      <c r="BA410" s="119"/>
      <c r="BB410" s="119"/>
      <c r="BC410" s="119"/>
      <c r="BD410" s="119"/>
      <c r="BE410" s="5">
        <f>SUM(MC_2[[#This Row],[IS1Inv1M1]:[IS9Inv19M2]])</f>
        <v>80</v>
      </c>
      <c r="BF410" s="119"/>
      <c r="BG410" s="119"/>
      <c r="BH410" s="119"/>
      <c r="BI410" s="119"/>
      <c r="BJ410" s="119"/>
      <c r="BK410" s="119"/>
      <c r="BL410" s="119"/>
    </row>
    <row r="411" spans="1:64">
      <c r="A411" s="119">
        <v>409</v>
      </c>
      <c r="B411" s="113">
        <f t="shared" si="6"/>
        <v>45731</v>
      </c>
      <c r="C411" s="114">
        <f>YEAR(MC_2[[#This Row],[Date]])+IF(MONTH(MC_2[[#This Row],[Date]])&gt;=4,1,0)</f>
        <v>2025</v>
      </c>
      <c r="D411" s="115">
        <f>YEAR(MC_2[[#This Row],[Date]])</f>
        <v>2025</v>
      </c>
      <c r="E411" s="112" t="s">
        <v>340</v>
      </c>
      <c r="F411" s="112" t="s">
        <v>340</v>
      </c>
      <c r="G411" s="116" t="str">
        <f>TEXT(MC_2[[#This Row],[Date]],"mmm-yy")</f>
        <v>Mar-25</v>
      </c>
      <c r="H411" s="116">
        <f>DAY(EOMONTH(MC_2[[#This Row],[Month Year]],0))</f>
        <v>31</v>
      </c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97"/>
      <c r="AN411" s="197"/>
      <c r="AO411" s="197"/>
      <c r="AP411" s="197"/>
      <c r="AQ411" s="197"/>
      <c r="AR411" s="197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  <c r="BC411" s="119"/>
      <c r="BD411" s="119"/>
      <c r="BE411" s="5">
        <f>SUM(MC_2[[#This Row],[IS1Inv1M1]:[IS9Inv19M2]])</f>
        <v>0</v>
      </c>
      <c r="BF411" s="119"/>
      <c r="BG411" s="119"/>
      <c r="BH411" s="119"/>
      <c r="BI411" s="119"/>
      <c r="BJ411" s="119"/>
      <c r="BK411" s="119"/>
      <c r="BL411" s="119"/>
    </row>
    <row r="412" spans="1:64">
      <c r="A412" s="119">
        <v>410</v>
      </c>
      <c r="B412" s="113">
        <f t="shared" si="6"/>
        <v>45732</v>
      </c>
      <c r="C412" s="114">
        <f>YEAR(MC_2[[#This Row],[Date]])+IF(MONTH(MC_2[[#This Row],[Date]])&gt;=4,1,0)</f>
        <v>2025</v>
      </c>
      <c r="D412" s="115">
        <f>YEAR(MC_2[[#This Row],[Date]])</f>
        <v>2025</v>
      </c>
      <c r="E412" s="112" t="s">
        <v>340</v>
      </c>
      <c r="F412" s="112" t="s">
        <v>340</v>
      </c>
      <c r="G412" s="116" t="str">
        <f>TEXT(MC_2[[#This Row],[Date]],"mmm-yy")</f>
        <v>Mar-25</v>
      </c>
      <c r="H412" s="116">
        <f>DAY(EOMONTH(MC_2[[#This Row],[Month Year]],0))</f>
        <v>31</v>
      </c>
      <c r="I412" s="119"/>
      <c r="J412" s="119"/>
      <c r="K412" s="119">
        <v>19.5</v>
      </c>
      <c r="L412" s="119">
        <v>35</v>
      </c>
      <c r="M412" s="119">
        <v>44.5</v>
      </c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97"/>
      <c r="AN412" s="197"/>
      <c r="AO412" s="197"/>
      <c r="AP412" s="197"/>
      <c r="AQ412" s="197"/>
      <c r="AR412" s="197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  <c r="BC412" s="119"/>
      <c r="BD412" s="119"/>
      <c r="BE412" s="5">
        <f>SUM(MC_2[[#This Row],[IS1Inv1M1]:[IS9Inv19M2]])</f>
        <v>99</v>
      </c>
      <c r="BF412" s="119"/>
      <c r="BG412" s="119"/>
      <c r="BH412" s="119"/>
      <c r="BI412" s="119"/>
      <c r="BJ412" s="119"/>
      <c r="BK412" s="119"/>
      <c r="BL412" s="119"/>
    </row>
    <row r="413" spans="1:64">
      <c r="A413" s="119">
        <v>411</v>
      </c>
      <c r="B413" s="113">
        <f t="shared" si="6"/>
        <v>45733</v>
      </c>
      <c r="C413" s="114">
        <f>YEAR(MC_2[[#This Row],[Date]])+IF(MONTH(MC_2[[#This Row],[Date]])&gt;=4,1,0)</f>
        <v>2025</v>
      </c>
      <c r="D413" s="115">
        <f>YEAR(MC_2[[#This Row],[Date]])</f>
        <v>2025</v>
      </c>
      <c r="E413" s="112" t="s">
        <v>340</v>
      </c>
      <c r="F413" s="112" t="s">
        <v>340</v>
      </c>
      <c r="G413" s="116" t="str">
        <f>TEXT(MC_2[[#This Row],[Date]],"mmm-yy")</f>
        <v>Mar-25</v>
      </c>
      <c r="H413" s="116">
        <f>DAY(EOMONTH(MC_2[[#This Row],[Month Year]],0))</f>
        <v>31</v>
      </c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97"/>
      <c r="AN413" s="197"/>
      <c r="AO413" s="197"/>
      <c r="AP413" s="197"/>
      <c r="AQ413" s="197"/>
      <c r="AR413" s="197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  <c r="BC413" s="119"/>
      <c r="BD413" s="119"/>
      <c r="BE413" s="5">
        <f>SUM(MC_2[[#This Row],[IS1Inv1M1]:[IS9Inv19M2]])</f>
        <v>0</v>
      </c>
      <c r="BF413" s="119"/>
      <c r="BG413" s="119"/>
      <c r="BH413" s="119"/>
      <c r="BI413" s="119"/>
      <c r="BJ413" s="119"/>
      <c r="BK413" s="119"/>
      <c r="BL413" s="119"/>
    </row>
    <row r="414" spans="1:64">
      <c r="A414" s="119">
        <v>412</v>
      </c>
      <c r="B414" s="113">
        <f t="shared" si="6"/>
        <v>45734</v>
      </c>
      <c r="C414" s="114">
        <f>YEAR(MC_2[[#This Row],[Date]])+IF(MONTH(MC_2[[#This Row],[Date]])&gt;=4,1,0)</f>
        <v>2025</v>
      </c>
      <c r="D414" s="115">
        <f>YEAR(MC_2[[#This Row],[Date]])</f>
        <v>2025</v>
      </c>
      <c r="E414" s="112" t="s">
        <v>340</v>
      </c>
      <c r="F414" s="112" t="s">
        <v>340</v>
      </c>
      <c r="G414" s="116" t="str">
        <f>TEXT(MC_2[[#This Row],[Date]],"mmm-yy")</f>
        <v>Mar-25</v>
      </c>
      <c r="H414" s="116">
        <f>DAY(EOMONTH(MC_2[[#This Row],[Month Year]],0))</f>
        <v>31</v>
      </c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97"/>
      <c r="AN414" s="197"/>
      <c r="AO414" s="197"/>
      <c r="AP414" s="197"/>
      <c r="AQ414" s="197"/>
      <c r="AR414" s="197"/>
      <c r="AS414" s="119"/>
      <c r="AT414" s="119"/>
      <c r="AU414" s="119"/>
      <c r="AV414" s="119"/>
      <c r="AW414" s="119"/>
      <c r="AX414" s="119"/>
      <c r="AY414" s="119"/>
      <c r="AZ414" s="119"/>
      <c r="BA414" s="119"/>
      <c r="BB414" s="119"/>
      <c r="BC414" s="119"/>
      <c r="BD414" s="119"/>
      <c r="BE414" s="5">
        <f>SUM(MC_2[[#This Row],[IS1Inv1M1]:[IS9Inv19M2]])</f>
        <v>0</v>
      </c>
      <c r="BF414" s="119"/>
      <c r="BG414" s="119"/>
      <c r="BH414" s="119"/>
      <c r="BI414" s="119"/>
      <c r="BJ414" s="119"/>
      <c r="BK414" s="119"/>
      <c r="BL414" s="119"/>
    </row>
    <row r="415" spans="1:64">
      <c r="A415" s="119">
        <v>413</v>
      </c>
      <c r="B415" s="113">
        <f t="shared" si="6"/>
        <v>45735</v>
      </c>
      <c r="C415" s="114">
        <f>YEAR(MC_2[[#This Row],[Date]])+IF(MONTH(MC_2[[#This Row],[Date]])&gt;=4,1,0)</f>
        <v>2025</v>
      </c>
      <c r="D415" s="115">
        <f>YEAR(MC_2[[#This Row],[Date]])</f>
        <v>2025</v>
      </c>
      <c r="E415" s="112" t="s">
        <v>340</v>
      </c>
      <c r="F415" s="112" t="s">
        <v>340</v>
      </c>
      <c r="G415" s="116" t="str">
        <f>TEXT(MC_2[[#This Row],[Date]],"mmm-yy")</f>
        <v>Mar-25</v>
      </c>
      <c r="H415" s="116">
        <f>DAY(EOMONTH(MC_2[[#This Row],[Month Year]],0))</f>
        <v>31</v>
      </c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97"/>
      <c r="AN415" s="197"/>
      <c r="AO415" s="197"/>
      <c r="AP415" s="197"/>
      <c r="AQ415" s="197"/>
      <c r="AR415" s="197"/>
      <c r="AS415" s="119"/>
      <c r="AT415" s="119"/>
      <c r="AU415" s="119"/>
      <c r="AV415" s="119"/>
      <c r="AW415" s="119"/>
      <c r="AX415" s="119"/>
      <c r="AY415" s="119"/>
      <c r="AZ415" s="119"/>
      <c r="BA415" s="119"/>
      <c r="BB415" s="119"/>
      <c r="BC415" s="119"/>
      <c r="BD415" s="119"/>
      <c r="BE415" s="5">
        <f>SUM(MC_2[[#This Row],[IS1Inv1M1]:[IS9Inv19M2]])</f>
        <v>0</v>
      </c>
      <c r="BF415" s="119"/>
      <c r="BG415" s="119"/>
      <c r="BH415" s="119"/>
      <c r="BI415" s="119"/>
      <c r="BJ415" s="119"/>
      <c r="BK415" s="119"/>
      <c r="BL415" s="119"/>
    </row>
    <row r="416" spans="1:64">
      <c r="A416" s="119">
        <v>414</v>
      </c>
      <c r="B416" s="113">
        <f t="shared" si="6"/>
        <v>45736</v>
      </c>
      <c r="C416" s="114">
        <f>YEAR(MC_2[[#This Row],[Date]])+IF(MONTH(MC_2[[#This Row],[Date]])&gt;=4,1,0)</f>
        <v>2025</v>
      </c>
      <c r="D416" s="115">
        <f>YEAR(MC_2[[#This Row],[Date]])</f>
        <v>2025</v>
      </c>
      <c r="E416" s="112" t="s">
        <v>340</v>
      </c>
      <c r="F416" s="112" t="s">
        <v>340</v>
      </c>
      <c r="G416" s="116" t="str">
        <f>TEXT(MC_2[[#This Row],[Date]],"mmm-yy")</f>
        <v>Mar-25</v>
      </c>
      <c r="H416" s="116">
        <f>DAY(EOMONTH(MC_2[[#This Row],[Month Year]],0))</f>
        <v>31</v>
      </c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97"/>
      <c r="AN416" s="197"/>
      <c r="AO416" s="197"/>
      <c r="AP416" s="197"/>
      <c r="AQ416" s="197"/>
      <c r="AR416" s="197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  <c r="BC416" s="119"/>
      <c r="BD416" s="119"/>
      <c r="BE416" s="5">
        <f>SUM(MC_2[[#This Row],[IS1Inv1M1]:[IS9Inv19M2]])</f>
        <v>0</v>
      </c>
      <c r="BF416" s="119"/>
      <c r="BG416" s="119"/>
      <c r="BH416" s="119"/>
      <c r="BI416" s="119"/>
      <c r="BJ416" s="119"/>
      <c r="BK416" s="119"/>
      <c r="BL416" s="119"/>
    </row>
    <row r="417" spans="1:64">
      <c r="A417" s="119">
        <v>415</v>
      </c>
      <c r="B417" s="113">
        <f t="shared" si="6"/>
        <v>45737</v>
      </c>
      <c r="C417" s="114">
        <f>YEAR(MC_2[[#This Row],[Date]])+IF(MONTH(MC_2[[#This Row],[Date]])&gt;=4,1,0)</f>
        <v>2025</v>
      </c>
      <c r="D417" s="115">
        <f>YEAR(MC_2[[#This Row],[Date]])</f>
        <v>2025</v>
      </c>
      <c r="E417" s="112" t="s">
        <v>340</v>
      </c>
      <c r="F417" s="112" t="s">
        <v>340</v>
      </c>
      <c r="G417" s="116" t="str">
        <f>TEXT(MC_2[[#This Row],[Date]],"mmm-yy")</f>
        <v>Mar-25</v>
      </c>
      <c r="H417" s="116">
        <f>DAY(EOMONTH(MC_2[[#This Row],[Month Year]],0))</f>
        <v>31</v>
      </c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97"/>
      <c r="AN417" s="197"/>
      <c r="AO417" s="197"/>
      <c r="AP417" s="197"/>
      <c r="AQ417" s="197"/>
      <c r="AR417" s="197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  <c r="BC417" s="119"/>
      <c r="BD417" s="119"/>
      <c r="BE417" s="5">
        <f>SUM(MC_2[[#This Row],[IS1Inv1M1]:[IS9Inv19M2]])</f>
        <v>0</v>
      </c>
      <c r="BF417" s="119"/>
      <c r="BG417" s="119"/>
      <c r="BH417" s="119"/>
      <c r="BI417" s="119"/>
      <c r="BJ417" s="119"/>
      <c r="BK417" s="119"/>
      <c r="BL417" s="119"/>
    </row>
    <row r="418" spans="1:64">
      <c r="A418" s="119">
        <v>416</v>
      </c>
      <c r="B418" s="113">
        <f t="shared" si="6"/>
        <v>45738</v>
      </c>
      <c r="C418" s="114">
        <f>YEAR(MC_2[[#This Row],[Date]])+IF(MONTH(MC_2[[#This Row],[Date]])&gt;=4,1,0)</f>
        <v>2025</v>
      </c>
      <c r="D418" s="115">
        <f>YEAR(MC_2[[#This Row],[Date]])</f>
        <v>2025</v>
      </c>
      <c r="E418" s="112" t="s">
        <v>340</v>
      </c>
      <c r="F418" s="112" t="s">
        <v>340</v>
      </c>
      <c r="G418" s="116" t="str">
        <f>TEXT(MC_2[[#This Row],[Date]],"mmm-yy")</f>
        <v>Mar-25</v>
      </c>
      <c r="H418" s="116">
        <f>DAY(EOMONTH(MC_2[[#This Row],[Month Year]],0))</f>
        <v>31</v>
      </c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97"/>
      <c r="AN418" s="197"/>
      <c r="AO418" s="197"/>
      <c r="AP418" s="197"/>
      <c r="AQ418" s="197"/>
      <c r="AR418" s="197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19"/>
      <c r="BD418" s="119"/>
      <c r="BE418" s="5">
        <f>SUM(MC_2[[#This Row],[IS1Inv1M1]:[IS9Inv19M2]])</f>
        <v>0</v>
      </c>
      <c r="BF418" s="119"/>
      <c r="BG418" s="119"/>
      <c r="BH418" s="119"/>
      <c r="BI418" s="119"/>
      <c r="BJ418" s="119"/>
      <c r="BK418" s="119"/>
      <c r="BL418" s="119"/>
    </row>
    <row r="419" spans="1:64">
      <c r="A419" s="119">
        <v>417</v>
      </c>
      <c r="B419" s="113">
        <f t="shared" si="6"/>
        <v>45739</v>
      </c>
      <c r="C419" s="114">
        <f>YEAR(MC_2[[#This Row],[Date]])+IF(MONTH(MC_2[[#This Row],[Date]])&gt;=4,1,0)</f>
        <v>2025</v>
      </c>
      <c r="D419" s="115">
        <f>YEAR(MC_2[[#This Row],[Date]])</f>
        <v>2025</v>
      </c>
      <c r="E419" s="112" t="s">
        <v>340</v>
      </c>
      <c r="F419" s="112" t="s">
        <v>340</v>
      </c>
      <c r="G419" s="116" t="str">
        <f>TEXT(MC_2[[#This Row],[Date]],"mmm-yy")</f>
        <v>Mar-25</v>
      </c>
      <c r="H419" s="116">
        <f>DAY(EOMONTH(MC_2[[#This Row],[Month Year]],0))</f>
        <v>31</v>
      </c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97"/>
      <c r="AN419" s="197"/>
      <c r="AO419" s="197"/>
      <c r="AP419" s="197"/>
      <c r="AQ419" s="197"/>
      <c r="AR419" s="197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  <c r="BC419" s="119"/>
      <c r="BD419" s="119"/>
      <c r="BE419" s="5">
        <f>SUM(MC_2[[#This Row],[IS1Inv1M1]:[IS9Inv19M2]])</f>
        <v>0</v>
      </c>
      <c r="BF419" s="119"/>
      <c r="BG419" s="119"/>
      <c r="BH419" s="119"/>
      <c r="BI419" s="119"/>
      <c r="BJ419" s="119"/>
      <c r="BK419" s="119"/>
      <c r="BL419" s="119"/>
    </row>
    <row r="420" spans="1:64">
      <c r="A420" s="119">
        <v>418</v>
      </c>
      <c r="B420" s="113">
        <f t="shared" si="6"/>
        <v>45740</v>
      </c>
      <c r="C420" s="114">
        <f>YEAR(MC_2[[#This Row],[Date]])+IF(MONTH(MC_2[[#This Row],[Date]])&gt;=4,1,0)</f>
        <v>2025</v>
      </c>
      <c r="D420" s="115">
        <f>YEAR(MC_2[[#This Row],[Date]])</f>
        <v>2025</v>
      </c>
      <c r="E420" s="112" t="s">
        <v>340</v>
      </c>
      <c r="F420" s="112" t="s">
        <v>340</v>
      </c>
      <c r="G420" s="116" t="str">
        <f>TEXT(MC_2[[#This Row],[Date]],"mmm-yy")</f>
        <v>Mar-25</v>
      </c>
      <c r="H420" s="116">
        <f>DAY(EOMONTH(MC_2[[#This Row],[Month Year]],0))</f>
        <v>31</v>
      </c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97"/>
      <c r="AN420" s="197"/>
      <c r="AO420" s="197"/>
      <c r="AP420" s="197"/>
      <c r="AQ420" s="197"/>
      <c r="AR420" s="197"/>
      <c r="AS420" s="119"/>
      <c r="AT420" s="119"/>
      <c r="AU420" s="119"/>
      <c r="AV420" s="119"/>
      <c r="AW420" s="119"/>
      <c r="AX420" s="119"/>
      <c r="AY420" s="119"/>
      <c r="AZ420" s="119"/>
      <c r="BA420" s="119"/>
      <c r="BB420" s="119"/>
      <c r="BC420" s="119"/>
      <c r="BD420" s="119"/>
      <c r="BE420" s="5">
        <f>SUM(MC_2[[#This Row],[IS1Inv1M1]:[IS9Inv19M2]])</f>
        <v>0</v>
      </c>
      <c r="BF420" s="119"/>
      <c r="BG420" s="119"/>
      <c r="BH420" s="119"/>
      <c r="BI420" s="119"/>
      <c r="BJ420" s="119"/>
      <c r="BK420" s="119"/>
      <c r="BL420" s="119"/>
    </row>
    <row r="421" spans="1:64">
      <c r="A421" s="119">
        <v>419</v>
      </c>
      <c r="B421" s="113">
        <f t="shared" si="6"/>
        <v>45741</v>
      </c>
      <c r="C421" s="114">
        <f>YEAR(MC_2[[#This Row],[Date]])+IF(MONTH(MC_2[[#This Row],[Date]])&gt;=4,1,0)</f>
        <v>2025</v>
      </c>
      <c r="D421" s="115">
        <f>YEAR(MC_2[[#This Row],[Date]])</f>
        <v>2025</v>
      </c>
      <c r="E421" s="112" t="s">
        <v>340</v>
      </c>
      <c r="F421" s="112" t="s">
        <v>340</v>
      </c>
      <c r="G421" s="116" t="str">
        <f>TEXT(MC_2[[#This Row],[Date]],"mmm-yy")</f>
        <v>Mar-25</v>
      </c>
      <c r="H421" s="116">
        <f>DAY(EOMONTH(MC_2[[#This Row],[Month Year]],0))</f>
        <v>31</v>
      </c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97"/>
      <c r="AN421" s="197"/>
      <c r="AO421" s="197"/>
      <c r="AP421" s="197"/>
      <c r="AQ421" s="197"/>
      <c r="AR421" s="197"/>
      <c r="AS421" s="119"/>
      <c r="AT421" s="119"/>
      <c r="AU421" s="119"/>
      <c r="AV421" s="119"/>
      <c r="AW421" s="119"/>
      <c r="AX421" s="119"/>
      <c r="AY421" s="119"/>
      <c r="AZ421" s="119"/>
      <c r="BA421" s="119"/>
      <c r="BB421" s="119"/>
      <c r="BC421" s="119"/>
      <c r="BD421" s="119"/>
      <c r="BE421" s="5">
        <f>SUM(MC_2[[#This Row],[IS1Inv1M1]:[IS9Inv19M2]])</f>
        <v>0</v>
      </c>
      <c r="BF421" s="119"/>
      <c r="BG421" s="119"/>
      <c r="BH421" s="119"/>
      <c r="BI421" s="119"/>
      <c r="BJ421" s="119"/>
      <c r="BK421" s="119"/>
      <c r="BL421" s="119"/>
    </row>
    <row r="422" spans="1:64">
      <c r="A422" s="119">
        <v>420</v>
      </c>
      <c r="B422" s="113">
        <f t="shared" si="6"/>
        <v>45742</v>
      </c>
      <c r="C422" s="114">
        <f>YEAR(MC_2[[#This Row],[Date]])+IF(MONTH(MC_2[[#This Row],[Date]])&gt;=4,1,0)</f>
        <v>2025</v>
      </c>
      <c r="D422" s="115">
        <f>YEAR(MC_2[[#This Row],[Date]])</f>
        <v>2025</v>
      </c>
      <c r="E422" s="112" t="s">
        <v>340</v>
      </c>
      <c r="F422" s="112" t="s">
        <v>340</v>
      </c>
      <c r="G422" s="116" t="str">
        <f>TEXT(MC_2[[#This Row],[Date]],"mmm-yy")</f>
        <v>Mar-25</v>
      </c>
      <c r="H422" s="116">
        <f>DAY(EOMONTH(MC_2[[#This Row],[Month Year]],0))</f>
        <v>31</v>
      </c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97"/>
      <c r="AN422" s="197"/>
      <c r="AO422" s="197"/>
      <c r="AP422" s="197"/>
      <c r="AQ422" s="197"/>
      <c r="AR422" s="197"/>
      <c r="AS422" s="119"/>
      <c r="AT422" s="119"/>
      <c r="AU422" s="119"/>
      <c r="AV422" s="119"/>
      <c r="AW422" s="119"/>
      <c r="AX422" s="119"/>
      <c r="AY422" s="119"/>
      <c r="AZ422" s="119"/>
      <c r="BA422" s="119"/>
      <c r="BB422" s="119"/>
      <c r="BC422" s="119"/>
      <c r="BD422" s="119"/>
      <c r="BE422" s="5">
        <f>SUM(MC_2[[#This Row],[IS1Inv1M1]:[IS9Inv19M2]])</f>
        <v>0</v>
      </c>
      <c r="BF422" s="119"/>
      <c r="BG422" s="119"/>
      <c r="BH422" s="119"/>
      <c r="BI422" s="119"/>
      <c r="BJ422" s="119"/>
      <c r="BK422" s="119"/>
      <c r="BL422" s="119"/>
    </row>
    <row r="423" spans="1:64">
      <c r="A423" s="119">
        <v>421</v>
      </c>
      <c r="B423" s="113">
        <f t="shared" si="6"/>
        <v>45743</v>
      </c>
      <c r="C423" s="114">
        <f>YEAR(MC_2[[#This Row],[Date]])+IF(MONTH(MC_2[[#This Row],[Date]])&gt;=4,1,0)</f>
        <v>2025</v>
      </c>
      <c r="D423" s="115">
        <f>YEAR(MC_2[[#This Row],[Date]])</f>
        <v>2025</v>
      </c>
      <c r="E423" s="112" t="s">
        <v>340</v>
      </c>
      <c r="F423" s="112" t="s">
        <v>340</v>
      </c>
      <c r="G423" s="116" t="str">
        <f>TEXT(MC_2[[#This Row],[Date]],"mmm-yy")</f>
        <v>Mar-25</v>
      </c>
      <c r="H423" s="116">
        <f>DAY(EOMONTH(MC_2[[#This Row],[Month Year]],0))</f>
        <v>31</v>
      </c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97"/>
      <c r="AN423" s="197"/>
      <c r="AO423" s="197"/>
      <c r="AP423" s="197"/>
      <c r="AQ423" s="197"/>
      <c r="AR423" s="197"/>
      <c r="AS423" s="119"/>
      <c r="AT423" s="119"/>
      <c r="AU423" s="119"/>
      <c r="AV423" s="119"/>
      <c r="AW423" s="119"/>
      <c r="AX423" s="119"/>
      <c r="AY423" s="119"/>
      <c r="AZ423" s="119"/>
      <c r="BA423" s="119"/>
      <c r="BB423" s="119"/>
      <c r="BC423" s="119"/>
      <c r="BD423" s="119"/>
      <c r="BE423" s="5">
        <f>SUM(MC_2[[#This Row],[IS1Inv1M1]:[IS9Inv19M2]])</f>
        <v>0</v>
      </c>
      <c r="BF423" s="119"/>
      <c r="BG423" s="119"/>
      <c r="BH423" s="119"/>
      <c r="BI423" s="119"/>
      <c r="BJ423" s="119"/>
      <c r="BK423" s="119"/>
      <c r="BL423" s="119"/>
    </row>
    <row r="424" spans="1:64">
      <c r="A424" s="119">
        <v>422</v>
      </c>
      <c r="B424" s="113">
        <f t="shared" si="6"/>
        <v>45744</v>
      </c>
      <c r="C424" s="114">
        <f>YEAR(MC_2[[#This Row],[Date]])+IF(MONTH(MC_2[[#This Row],[Date]])&gt;=4,1,0)</f>
        <v>2025</v>
      </c>
      <c r="D424" s="115">
        <f>YEAR(MC_2[[#This Row],[Date]])</f>
        <v>2025</v>
      </c>
      <c r="E424" s="112" t="s">
        <v>340</v>
      </c>
      <c r="F424" s="112" t="s">
        <v>340</v>
      </c>
      <c r="G424" s="116" t="str">
        <f>TEXT(MC_2[[#This Row],[Date]],"mmm-yy")</f>
        <v>Mar-25</v>
      </c>
      <c r="H424" s="116">
        <f>DAY(EOMONTH(MC_2[[#This Row],[Month Year]],0))</f>
        <v>31</v>
      </c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97"/>
      <c r="AN424" s="197"/>
      <c r="AO424" s="197"/>
      <c r="AP424" s="197"/>
      <c r="AQ424" s="197"/>
      <c r="AR424" s="197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  <c r="BC424" s="119"/>
      <c r="BD424" s="119"/>
      <c r="BE424" s="5">
        <f>SUM(MC_2[[#This Row],[IS1Inv1M1]:[IS9Inv19M2]])</f>
        <v>0</v>
      </c>
      <c r="BF424" s="119"/>
      <c r="BG424" s="119"/>
      <c r="BH424" s="119"/>
      <c r="BI424" s="119"/>
      <c r="BJ424" s="119"/>
      <c r="BK424" s="119"/>
      <c r="BL424" s="119"/>
    </row>
    <row r="425" spans="1:64">
      <c r="A425" s="119">
        <v>423</v>
      </c>
      <c r="B425" s="113">
        <f t="shared" si="6"/>
        <v>45745</v>
      </c>
      <c r="C425" s="114">
        <f>YEAR(MC_2[[#This Row],[Date]])+IF(MONTH(MC_2[[#This Row],[Date]])&gt;=4,1,0)</f>
        <v>2025</v>
      </c>
      <c r="D425" s="115">
        <f>YEAR(MC_2[[#This Row],[Date]])</f>
        <v>2025</v>
      </c>
      <c r="E425" s="112" t="s">
        <v>340</v>
      </c>
      <c r="F425" s="112" t="s">
        <v>340</v>
      </c>
      <c r="G425" s="116" t="str">
        <f>TEXT(MC_2[[#This Row],[Date]],"mmm-yy")</f>
        <v>Mar-25</v>
      </c>
      <c r="H425" s="116">
        <f>DAY(EOMONTH(MC_2[[#This Row],[Month Year]],0))</f>
        <v>31</v>
      </c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97"/>
      <c r="AN425" s="197"/>
      <c r="AO425" s="197"/>
      <c r="AP425" s="197"/>
      <c r="AQ425" s="197"/>
      <c r="AR425" s="197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  <c r="BC425" s="119"/>
      <c r="BD425" s="119"/>
      <c r="BE425" s="5">
        <f>SUM(MC_2[[#This Row],[IS1Inv1M1]:[IS9Inv19M2]])</f>
        <v>0</v>
      </c>
      <c r="BF425" s="119"/>
      <c r="BG425" s="119"/>
      <c r="BH425" s="119"/>
      <c r="BI425" s="119"/>
      <c r="BJ425" s="119"/>
      <c r="BK425" s="119"/>
      <c r="BL425" s="119"/>
    </row>
    <row r="426" spans="1:64">
      <c r="A426" s="119">
        <v>424</v>
      </c>
      <c r="B426" s="113">
        <f t="shared" si="6"/>
        <v>45746</v>
      </c>
      <c r="C426" s="114">
        <f>YEAR(MC_2[[#This Row],[Date]])+IF(MONTH(MC_2[[#This Row],[Date]])&gt;=4,1,0)</f>
        <v>2025</v>
      </c>
      <c r="D426" s="115">
        <f>YEAR(MC_2[[#This Row],[Date]])</f>
        <v>2025</v>
      </c>
      <c r="E426" s="112" t="s">
        <v>340</v>
      </c>
      <c r="F426" s="112" t="s">
        <v>340</v>
      </c>
      <c r="G426" s="116" t="str">
        <f>TEXT(MC_2[[#This Row],[Date]],"mmm-yy")</f>
        <v>Mar-25</v>
      </c>
      <c r="H426" s="116">
        <f>DAY(EOMONTH(MC_2[[#This Row],[Month Year]],0))</f>
        <v>31</v>
      </c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97"/>
      <c r="AN426" s="197"/>
      <c r="AO426" s="197"/>
      <c r="AP426" s="197"/>
      <c r="AQ426" s="197"/>
      <c r="AR426" s="197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  <c r="BC426" s="119"/>
      <c r="BD426" s="119"/>
      <c r="BE426" s="5">
        <f>SUM(MC_2[[#This Row],[IS1Inv1M1]:[IS9Inv19M2]])</f>
        <v>0</v>
      </c>
      <c r="BF426" s="119"/>
      <c r="BG426" s="119"/>
      <c r="BH426" s="119"/>
      <c r="BI426" s="119"/>
      <c r="BJ426" s="119"/>
      <c r="BK426" s="119"/>
      <c r="BL426" s="119"/>
    </row>
    <row r="427" spans="1:64">
      <c r="A427" s="119">
        <v>425</v>
      </c>
      <c r="B427" s="194">
        <f t="shared" si="6"/>
        <v>45747</v>
      </c>
      <c r="C427" s="195">
        <f>YEAR(MC_2[[#This Row],[Date]])+IF(MONTH(MC_2[[#This Row],[Date]])&gt;=4,1,0)</f>
        <v>2025</v>
      </c>
      <c r="D427" s="116">
        <f>YEAR(MC_2[[#This Row],[Date]])</f>
        <v>2025</v>
      </c>
      <c r="E427" s="196" t="s">
        <v>340</v>
      </c>
      <c r="F427" s="119" t="s">
        <v>340</v>
      </c>
      <c r="G427" s="116" t="str">
        <f>TEXT(MC_2[[#This Row],[Date]],"mmm-yy")</f>
        <v>Mar-25</v>
      </c>
      <c r="H427" s="116">
        <f>DAY(EOMONTH(MC_2[[#This Row],[Month Year]],0))</f>
        <v>31</v>
      </c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97"/>
      <c r="AN427" s="197"/>
      <c r="AO427" s="197"/>
      <c r="AP427" s="197"/>
      <c r="AQ427" s="197"/>
      <c r="AR427" s="197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  <c r="BC427" s="119"/>
      <c r="BD427" s="119"/>
      <c r="BE427" s="5">
        <f>SUM(MC_2[[#This Row],[IS1Inv1M1]:[IS9Inv19M2]])</f>
        <v>0</v>
      </c>
      <c r="BF427" s="119"/>
      <c r="BG427" s="119"/>
      <c r="BH427" s="119"/>
      <c r="BI427" s="119"/>
      <c r="BJ427" s="119"/>
      <c r="BK427" s="119"/>
      <c r="BL427" s="119"/>
    </row>
    <row r="428" spans="1:64">
      <c r="A428" s="119">
        <v>426</v>
      </c>
      <c r="B428" s="194">
        <f t="shared" si="6"/>
        <v>45748</v>
      </c>
      <c r="C428" s="195">
        <f>YEAR(MC_2[[#This Row],[Date]])+IF(MONTH(MC_2[[#This Row],[Date]])&gt;=4,1,0)</f>
        <v>2026</v>
      </c>
      <c r="D428" s="116">
        <f>YEAR(MC_2[[#This Row],[Date]])</f>
        <v>2025</v>
      </c>
      <c r="E428" s="196" t="s">
        <v>340</v>
      </c>
      <c r="F428" s="119" t="s">
        <v>340</v>
      </c>
      <c r="G428" s="5" t="str">
        <f>TEXT(MC_2[[#This Row],[Date]],"mmm-yy")</f>
        <v>Apr-25</v>
      </c>
      <c r="H428" s="5">
        <f>DAY(EOMONTH(MC_2[[#This Row],[Month Year]],0))</f>
        <v>30</v>
      </c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97"/>
      <c r="AN428" s="197"/>
      <c r="AO428" s="197"/>
      <c r="AP428" s="197"/>
      <c r="AQ428" s="197"/>
      <c r="AR428" s="197"/>
      <c r="AS428" s="119"/>
      <c r="AT428" s="119"/>
      <c r="AU428" s="119"/>
      <c r="AV428" s="119"/>
      <c r="AW428" s="119"/>
      <c r="AX428" s="119"/>
      <c r="AY428" s="119"/>
      <c r="AZ428" s="119"/>
      <c r="BA428" s="119"/>
      <c r="BB428" s="119"/>
      <c r="BC428" s="119"/>
      <c r="BD428" s="119"/>
      <c r="BE428" s="5">
        <f>SUM(MC_2[[#This Row],[IS1Inv1M1]:[IS9Inv19M2]])</f>
        <v>0</v>
      </c>
      <c r="BF428" s="119"/>
      <c r="BG428" s="119"/>
      <c r="BH428" s="119"/>
      <c r="BI428" s="119"/>
      <c r="BJ428" s="119"/>
      <c r="BK428" s="119"/>
      <c r="BL428" s="119"/>
    </row>
    <row r="429" spans="1:64">
      <c r="A429" s="119">
        <v>427</v>
      </c>
      <c r="B429" s="194">
        <f t="shared" si="6"/>
        <v>45749</v>
      </c>
      <c r="C429" s="195">
        <f>YEAR(MC_2[[#This Row],[Date]])+IF(MONTH(MC_2[[#This Row],[Date]])&gt;=4,1,0)</f>
        <v>2026</v>
      </c>
      <c r="D429" s="116">
        <f>YEAR(MC_2[[#This Row],[Date]])</f>
        <v>2025</v>
      </c>
      <c r="E429" s="196" t="s">
        <v>340</v>
      </c>
      <c r="F429" s="119" t="s">
        <v>340</v>
      </c>
      <c r="G429" s="5" t="str">
        <f>TEXT(MC_2[[#This Row],[Date]],"mmm-yy")</f>
        <v>Apr-25</v>
      </c>
      <c r="H429" s="5">
        <f>DAY(EOMONTH(MC_2[[#This Row],[Month Year]],0))</f>
        <v>30</v>
      </c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>
        <v>21</v>
      </c>
      <c r="AF429" s="119"/>
      <c r="AG429" s="119"/>
      <c r="AH429" s="119"/>
      <c r="AI429" s="119"/>
      <c r="AJ429" s="119">
        <v>55</v>
      </c>
      <c r="AK429" s="119"/>
      <c r="AL429" s="119"/>
      <c r="AM429" s="197"/>
      <c r="AN429" s="197"/>
      <c r="AO429" s="197">
        <v>12</v>
      </c>
      <c r="AP429" s="197"/>
      <c r="AQ429" s="197">
        <v>5.5</v>
      </c>
      <c r="AR429" s="197"/>
      <c r="AS429" s="119"/>
      <c r="AT429" s="119"/>
      <c r="AU429" s="119"/>
      <c r="AV429" s="119"/>
      <c r="AW429" s="119"/>
      <c r="AX429" s="119">
        <v>16</v>
      </c>
      <c r="AY429" s="119"/>
      <c r="AZ429" s="119"/>
      <c r="BA429" s="119"/>
      <c r="BB429" s="119"/>
      <c r="BC429" s="119"/>
      <c r="BD429" s="119"/>
      <c r="BE429" s="5">
        <f>SUM(MC_2[[#This Row],[IS1Inv1M1]:[IS9Inv19M2]])</f>
        <v>109.5</v>
      </c>
      <c r="BF429" s="119"/>
      <c r="BG429" s="119"/>
      <c r="BH429" s="119"/>
      <c r="BI429" s="119"/>
      <c r="BJ429" s="119"/>
      <c r="BK429" s="119"/>
      <c r="BL429" s="119"/>
    </row>
    <row r="430" spans="1:64">
      <c r="A430" s="119">
        <v>428</v>
      </c>
      <c r="B430" s="194">
        <f t="shared" si="6"/>
        <v>45750</v>
      </c>
      <c r="C430" s="195">
        <f>YEAR(MC_2[[#This Row],[Date]])+IF(MONTH(MC_2[[#This Row],[Date]])&gt;=4,1,0)</f>
        <v>2026</v>
      </c>
      <c r="D430" s="116">
        <f>YEAR(MC_2[[#This Row],[Date]])</f>
        <v>2025</v>
      </c>
      <c r="E430" s="196" t="s">
        <v>340</v>
      </c>
      <c r="F430" s="119" t="s">
        <v>340</v>
      </c>
      <c r="G430" s="5" t="str">
        <f>TEXT(MC_2[[#This Row],[Date]],"mmm-yy")</f>
        <v>Apr-25</v>
      </c>
      <c r="H430" s="5">
        <f>DAY(EOMONTH(MC_2[[#This Row],[Month Year]],0))</f>
        <v>30</v>
      </c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97"/>
      <c r="AN430" s="197"/>
      <c r="AO430" s="197"/>
      <c r="AP430" s="197"/>
      <c r="AQ430" s="197"/>
      <c r="AR430" s="197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  <c r="BC430" s="119"/>
      <c r="BD430" s="119"/>
      <c r="BE430" s="5">
        <f>SUM(MC_2[[#This Row],[IS1Inv1M1]:[IS9Inv19M2]])</f>
        <v>0</v>
      </c>
      <c r="BF430" s="119"/>
      <c r="BG430" s="119"/>
      <c r="BH430" s="119"/>
      <c r="BI430" s="119"/>
      <c r="BJ430" s="119"/>
      <c r="BK430" s="119"/>
      <c r="BL430" s="119"/>
    </row>
    <row r="431" spans="1:64">
      <c r="A431" s="119">
        <v>429</v>
      </c>
      <c r="B431" s="194">
        <f t="shared" si="6"/>
        <v>45751</v>
      </c>
      <c r="C431" s="195">
        <f>YEAR(MC_2[[#This Row],[Date]])+IF(MONTH(MC_2[[#This Row],[Date]])&gt;=4,1,0)</f>
        <v>2026</v>
      </c>
      <c r="D431" s="116">
        <f>YEAR(MC_2[[#This Row],[Date]])</f>
        <v>2025</v>
      </c>
      <c r="E431" s="196"/>
      <c r="F431" s="119"/>
      <c r="G431" s="5" t="str">
        <f>TEXT(MC_2[[#This Row],[Date]],"mmm-yy")</f>
        <v>Apr-25</v>
      </c>
      <c r="H431" s="5">
        <f>DAY(EOMONTH(MC_2[[#This Row],[Month Year]],0))</f>
        <v>30</v>
      </c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>
        <v>48</v>
      </c>
      <c r="AF431" s="119"/>
      <c r="AG431" s="119"/>
      <c r="AH431" s="119"/>
      <c r="AI431" s="119">
        <v>35</v>
      </c>
      <c r="AJ431" s="119"/>
      <c r="AK431" s="119"/>
      <c r="AL431" s="119"/>
      <c r="AM431" s="197"/>
      <c r="AN431" s="197"/>
      <c r="AO431" s="197"/>
      <c r="AP431" s="197"/>
      <c r="AQ431" s="197"/>
      <c r="AR431" s="197"/>
      <c r="AS431" s="119"/>
      <c r="AT431" s="119"/>
      <c r="AU431" s="119"/>
      <c r="AV431" s="119"/>
      <c r="AW431" s="119"/>
      <c r="AX431" s="119"/>
      <c r="AY431" s="119"/>
      <c r="AZ431" s="119"/>
      <c r="BA431" s="119"/>
      <c r="BB431" s="119"/>
      <c r="BC431" s="119"/>
      <c r="BD431" s="119"/>
      <c r="BE431" s="5">
        <f>SUM(MC_2[[#This Row],[IS1Inv1M1]:[IS9Inv19M2]])</f>
        <v>83</v>
      </c>
      <c r="BF431" s="119"/>
      <c r="BG431" s="119"/>
      <c r="BH431" s="119"/>
      <c r="BI431" s="119"/>
      <c r="BJ431" s="119"/>
      <c r="BK431" s="119"/>
      <c r="BL431" s="119"/>
    </row>
    <row r="432" spans="1:64">
      <c r="A432" s="119">
        <v>430</v>
      </c>
      <c r="B432" s="194">
        <f t="shared" si="6"/>
        <v>45752</v>
      </c>
      <c r="C432" s="195">
        <f>YEAR(MC_2[[#This Row],[Date]])+IF(MONTH(MC_2[[#This Row],[Date]])&gt;=4,1,0)</f>
        <v>2026</v>
      </c>
      <c r="D432" s="116">
        <f>YEAR(MC_2[[#This Row],[Date]])</f>
        <v>2025</v>
      </c>
      <c r="E432" s="196"/>
      <c r="F432" s="119"/>
      <c r="G432" s="5" t="str">
        <f>TEXT(MC_2[[#This Row],[Date]],"mmm-yy")</f>
        <v>Apr-25</v>
      </c>
      <c r="H432" s="5">
        <f>DAY(EOMONTH(MC_2[[#This Row],[Month Year]],0))</f>
        <v>30</v>
      </c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>
        <v>9</v>
      </c>
      <c r="AF432" s="119"/>
      <c r="AG432" s="119">
        <v>19</v>
      </c>
      <c r="AH432" s="119"/>
      <c r="AI432" s="119">
        <v>37</v>
      </c>
      <c r="AJ432" s="119">
        <v>21</v>
      </c>
      <c r="AK432" s="119"/>
      <c r="AL432" s="119"/>
      <c r="AM432" s="197"/>
      <c r="AN432" s="197"/>
      <c r="AO432" s="197"/>
      <c r="AP432" s="197"/>
      <c r="AQ432" s="197"/>
      <c r="AR432" s="197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  <c r="BC432" s="119"/>
      <c r="BD432" s="119"/>
      <c r="BE432" s="5">
        <f>SUM(MC_2[[#This Row],[IS1Inv1M1]:[IS9Inv19M2]])</f>
        <v>86</v>
      </c>
      <c r="BF432" s="119"/>
      <c r="BG432" s="119"/>
      <c r="BH432" s="119"/>
      <c r="BI432" s="119"/>
      <c r="BJ432" s="119"/>
      <c r="BK432" s="119"/>
      <c r="BL432" s="119"/>
    </row>
    <row r="433" spans="1:64">
      <c r="A433" s="119">
        <v>431</v>
      </c>
      <c r="B433" s="194">
        <f t="shared" si="6"/>
        <v>45753</v>
      </c>
      <c r="C433" s="195">
        <f>YEAR(MC_2[[#This Row],[Date]])+IF(MONTH(MC_2[[#This Row],[Date]])&gt;=4,1,0)</f>
        <v>2026</v>
      </c>
      <c r="D433" s="116">
        <f>YEAR(MC_2[[#This Row],[Date]])</f>
        <v>2025</v>
      </c>
      <c r="E433" s="196"/>
      <c r="F433" s="119"/>
      <c r="G433" s="5" t="str">
        <f>TEXT(MC_2[[#This Row],[Date]],"mmm-yy")</f>
        <v>Apr-25</v>
      </c>
      <c r="H433" s="5">
        <f>DAY(EOMONTH(MC_2[[#This Row],[Month Year]],0))</f>
        <v>30</v>
      </c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G433" s="119">
        <v>39</v>
      </c>
      <c r="AH433" s="119"/>
      <c r="AI433" s="119"/>
      <c r="AJ433" s="119"/>
      <c r="AK433" s="119">
        <v>35</v>
      </c>
      <c r="AL433" s="119"/>
      <c r="AM433" s="197"/>
      <c r="AN433" s="197"/>
      <c r="AO433" s="197"/>
      <c r="AP433" s="197"/>
      <c r="AQ433" s="197"/>
      <c r="AR433" s="197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  <c r="BC433" s="119"/>
      <c r="BD433" s="119"/>
      <c r="BE433" s="5">
        <f>SUM(MC_2[[#This Row],[IS1Inv1M1]:[IS9Inv19M2]])</f>
        <v>74</v>
      </c>
      <c r="BF433" s="119"/>
      <c r="BG433" s="119"/>
      <c r="BH433" s="119"/>
      <c r="BI433" s="119"/>
      <c r="BJ433" s="119"/>
      <c r="BK433" s="119"/>
      <c r="BL433" s="119"/>
    </row>
    <row r="434" spans="1:64">
      <c r="A434" s="119">
        <v>432</v>
      </c>
      <c r="B434" s="194">
        <f t="shared" si="6"/>
        <v>45754</v>
      </c>
      <c r="C434" s="195">
        <f>YEAR(MC_2[[#This Row],[Date]])+IF(MONTH(MC_2[[#This Row],[Date]])&gt;=4,1,0)</f>
        <v>2026</v>
      </c>
      <c r="D434" s="116">
        <f>YEAR(MC_2[[#This Row],[Date]])</f>
        <v>2025</v>
      </c>
      <c r="E434" s="196"/>
      <c r="F434" s="119"/>
      <c r="G434" s="5" t="str">
        <f>TEXT(MC_2[[#This Row],[Date]],"mmm-yy")</f>
        <v>Apr-25</v>
      </c>
      <c r="H434" s="5">
        <f>DAY(EOMONTH(MC_2[[#This Row],[Month Year]],0))</f>
        <v>30</v>
      </c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G434" s="119">
        <v>29</v>
      </c>
      <c r="AH434" s="119"/>
      <c r="AI434" s="119"/>
      <c r="AJ434" s="119"/>
      <c r="AK434" s="119">
        <v>21</v>
      </c>
      <c r="AL434" s="119">
        <v>27</v>
      </c>
      <c r="AM434" s="197"/>
      <c r="AN434" s="197"/>
      <c r="AO434" s="197"/>
      <c r="AP434" s="197"/>
      <c r="AQ434" s="197"/>
      <c r="AR434" s="197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  <c r="BC434" s="119"/>
      <c r="BD434" s="119"/>
      <c r="BE434" s="5">
        <f>SUM(MC_2[[#This Row],[IS1Inv1M1]:[IS9Inv19M2]])</f>
        <v>77</v>
      </c>
      <c r="BF434" s="119"/>
      <c r="BG434" s="119"/>
      <c r="BH434" s="119"/>
      <c r="BI434" s="119"/>
      <c r="BJ434" s="119"/>
      <c r="BK434" s="119"/>
      <c r="BL434" s="119"/>
    </row>
    <row r="435" spans="1:64">
      <c r="A435" s="119">
        <v>433</v>
      </c>
      <c r="B435" s="194">
        <f t="shared" si="6"/>
        <v>45755</v>
      </c>
      <c r="C435" s="195">
        <f>YEAR(MC_2[[#This Row],[Date]])+IF(MONTH(MC_2[[#This Row],[Date]])&gt;=4,1,0)</f>
        <v>2026</v>
      </c>
      <c r="D435" s="116">
        <f>YEAR(MC_2[[#This Row],[Date]])</f>
        <v>2025</v>
      </c>
      <c r="E435" s="196"/>
      <c r="F435" s="119"/>
      <c r="G435" s="5" t="str">
        <f>TEXT(MC_2[[#This Row],[Date]],"mmm-yy")</f>
        <v>Apr-25</v>
      </c>
      <c r="H435" s="5">
        <f>DAY(EOMONTH(MC_2[[#This Row],[Month Year]],0))</f>
        <v>30</v>
      </c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97"/>
      <c r="AN435" s="197"/>
      <c r="AO435" s="197"/>
      <c r="AP435" s="197"/>
      <c r="AQ435" s="197"/>
      <c r="AR435" s="197"/>
      <c r="AS435" s="119"/>
      <c r="AT435" s="119"/>
      <c r="AU435" s="119"/>
      <c r="AV435" s="119"/>
      <c r="AW435" s="119"/>
      <c r="AX435" s="119"/>
      <c r="AY435" s="119"/>
      <c r="AZ435" s="119"/>
      <c r="BA435" s="119"/>
      <c r="BB435" s="119"/>
      <c r="BC435" s="119"/>
      <c r="BD435" s="119"/>
      <c r="BE435" s="5">
        <f>SUM(MC_2[[#This Row],[IS1Inv1M1]:[IS9Inv19M2]])</f>
        <v>0</v>
      </c>
      <c r="BF435" s="119"/>
      <c r="BG435" s="119"/>
      <c r="BH435" s="119"/>
      <c r="BI435" s="119"/>
      <c r="BJ435" s="119"/>
      <c r="BK435" s="119"/>
      <c r="BL435" s="119"/>
    </row>
    <row r="436" spans="1:64">
      <c r="A436" s="119">
        <v>434</v>
      </c>
      <c r="B436" s="194">
        <f t="shared" si="6"/>
        <v>45756</v>
      </c>
      <c r="C436" s="195">
        <f>YEAR(MC_2[[#This Row],[Date]])+IF(MONTH(MC_2[[#This Row],[Date]])&gt;=4,1,0)</f>
        <v>2026</v>
      </c>
      <c r="D436" s="116">
        <f>YEAR(MC_2[[#This Row],[Date]])</f>
        <v>2025</v>
      </c>
      <c r="E436" s="196"/>
      <c r="F436" s="119"/>
      <c r="G436" s="5" t="str">
        <f>TEXT(MC_2[[#This Row],[Date]],"mmm-yy")</f>
        <v>Apr-25</v>
      </c>
      <c r="H436" s="5">
        <f>DAY(EOMONTH(MC_2[[#This Row],[Month Year]],0))</f>
        <v>30</v>
      </c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>
        <v>36</v>
      </c>
      <c r="AI436" s="119"/>
      <c r="AJ436" s="119"/>
      <c r="AK436" s="119"/>
      <c r="AL436" s="119">
        <v>44</v>
      </c>
      <c r="AM436" s="197"/>
      <c r="AN436" s="197"/>
      <c r="AO436" s="197"/>
      <c r="AP436" s="197"/>
      <c r="AQ436" s="197"/>
      <c r="AR436" s="197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  <c r="BC436" s="119"/>
      <c r="BD436" s="119"/>
      <c r="BE436" s="5">
        <f>SUM(MC_2[[#This Row],[IS1Inv1M1]:[IS9Inv19M2]])</f>
        <v>80</v>
      </c>
      <c r="BF436" s="119"/>
      <c r="BG436" s="119"/>
      <c r="BH436" s="119"/>
      <c r="BI436" s="119"/>
      <c r="BJ436" s="119"/>
      <c r="BK436" s="119"/>
      <c r="BL436" s="119"/>
    </row>
    <row r="437" spans="1:64">
      <c r="A437" s="119">
        <v>435</v>
      </c>
      <c r="B437" s="194">
        <f t="shared" si="6"/>
        <v>45757</v>
      </c>
      <c r="C437" s="195">
        <f>YEAR(MC_2[[#This Row],[Date]])+IF(MONTH(MC_2[[#This Row],[Date]])&gt;=4,1,0)</f>
        <v>2026</v>
      </c>
      <c r="D437" s="116">
        <f>YEAR(MC_2[[#This Row],[Date]])</f>
        <v>2025</v>
      </c>
      <c r="E437" s="196"/>
      <c r="F437" s="119"/>
      <c r="G437" s="5" t="str">
        <f>TEXT(MC_2[[#This Row],[Date]],"mmm-yy")</f>
        <v>Apr-25</v>
      </c>
      <c r="H437" s="5">
        <f>DAY(EOMONTH(MC_2[[#This Row],[Month Year]],0))</f>
        <v>30</v>
      </c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97"/>
      <c r="AN437" s="197"/>
      <c r="AO437" s="197"/>
      <c r="AP437" s="197"/>
      <c r="AQ437" s="197"/>
      <c r="AR437" s="197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  <c r="BC437" s="119"/>
      <c r="BD437" s="119"/>
      <c r="BE437" s="5">
        <f>SUM(MC_2[[#This Row],[IS1Inv1M1]:[IS9Inv19M2]])</f>
        <v>0</v>
      </c>
      <c r="BF437" s="119"/>
      <c r="BG437" s="119"/>
      <c r="BH437" s="119"/>
      <c r="BI437" s="119"/>
      <c r="BJ437" s="119"/>
      <c r="BK437" s="119"/>
      <c r="BL437" s="119"/>
    </row>
    <row r="438" spans="1:64">
      <c r="A438" s="119">
        <v>436</v>
      </c>
      <c r="B438" s="194">
        <f t="shared" si="6"/>
        <v>45758</v>
      </c>
      <c r="C438" s="195">
        <f>YEAR(MC_2[[#This Row],[Date]])+IF(MONTH(MC_2[[#This Row],[Date]])&gt;=4,1,0)</f>
        <v>2026</v>
      </c>
      <c r="D438" s="116">
        <f>YEAR(MC_2[[#This Row],[Date]])</f>
        <v>2025</v>
      </c>
      <c r="E438" s="196"/>
      <c r="F438" s="119"/>
      <c r="G438" s="5" t="str">
        <f>TEXT(MC_2[[#This Row],[Date]],"mmm-yy")</f>
        <v>Apr-25</v>
      </c>
      <c r="H438" s="5">
        <f>DAY(EOMONTH(MC_2[[#This Row],[Month Year]],0))</f>
        <v>30</v>
      </c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>
        <v>34</v>
      </c>
      <c r="AI438" s="119"/>
      <c r="AJ438" s="119"/>
      <c r="AK438" s="119"/>
      <c r="AL438" s="119">
        <v>9</v>
      </c>
      <c r="AM438" s="197"/>
      <c r="AN438" s="197"/>
      <c r="AO438" s="197"/>
      <c r="AP438" s="197"/>
      <c r="AQ438" s="197"/>
      <c r="AR438" s="197"/>
      <c r="AS438" s="119"/>
      <c r="AT438" s="119"/>
      <c r="AU438" s="119"/>
      <c r="AV438" s="119"/>
      <c r="AW438" s="119"/>
      <c r="AX438" s="119"/>
      <c r="AY438" s="119"/>
      <c r="AZ438" s="119"/>
      <c r="BA438" s="119"/>
      <c r="BB438" s="119"/>
      <c r="BC438" s="119"/>
      <c r="BD438" s="119"/>
      <c r="BE438" s="5">
        <f>SUM(MC_2[[#This Row],[IS1Inv1M1]:[IS9Inv19M2]])</f>
        <v>43</v>
      </c>
      <c r="BF438" s="119"/>
      <c r="BG438" s="119"/>
      <c r="BH438" s="119"/>
      <c r="BI438" s="119"/>
      <c r="BJ438" s="119"/>
      <c r="BK438" s="119"/>
      <c r="BL438" s="119"/>
    </row>
    <row r="439" spans="1:64">
      <c r="A439" s="119">
        <v>437</v>
      </c>
      <c r="B439" s="194">
        <f t="shared" si="6"/>
        <v>45759</v>
      </c>
      <c r="C439" s="195">
        <f>YEAR(MC_2[[#This Row],[Date]])+IF(MONTH(MC_2[[#This Row],[Date]])&gt;=4,1,0)</f>
        <v>2026</v>
      </c>
      <c r="D439" s="116">
        <f>YEAR(MC_2[[#This Row],[Date]])</f>
        <v>2025</v>
      </c>
      <c r="E439" s="196"/>
      <c r="F439" s="119"/>
      <c r="G439" s="5" t="str">
        <f>TEXT(MC_2[[#This Row],[Date]],"mmm-yy")</f>
        <v>Apr-25</v>
      </c>
      <c r="H439" s="5">
        <f>DAY(EOMONTH(MC_2[[#This Row],[Month Year]],0))</f>
        <v>30</v>
      </c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97"/>
      <c r="AN439" s="197"/>
      <c r="AO439" s="197"/>
      <c r="AP439" s="197"/>
      <c r="AQ439" s="197"/>
      <c r="AR439" s="197"/>
      <c r="AS439" s="119"/>
      <c r="AT439" s="119"/>
      <c r="AU439" s="119"/>
      <c r="AV439" s="119"/>
      <c r="AW439" s="119"/>
      <c r="AX439" s="119"/>
      <c r="AY439" s="119"/>
      <c r="AZ439" s="119"/>
      <c r="BA439" s="119"/>
      <c r="BB439" s="119"/>
      <c r="BC439" s="119"/>
      <c r="BD439" s="119"/>
      <c r="BE439" s="5">
        <f>SUM(MC_2[[#This Row],[IS1Inv1M1]:[IS9Inv19M2]])</f>
        <v>0</v>
      </c>
      <c r="BF439" s="119"/>
      <c r="BG439" s="119"/>
      <c r="BH439" s="119"/>
      <c r="BI439" s="119"/>
      <c r="BJ439" s="119"/>
      <c r="BK439" s="119"/>
      <c r="BL439" s="119"/>
    </row>
    <row r="440" spans="1:64">
      <c r="A440" s="119">
        <v>438</v>
      </c>
      <c r="B440" s="194">
        <f t="shared" si="6"/>
        <v>45760</v>
      </c>
      <c r="C440" s="195">
        <f>YEAR(MC_2[[#This Row],[Date]])+IF(MONTH(MC_2[[#This Row],[Date]])&gt;=4,1,0)</f>
        <v>2026</v>
      </c>
      <c r="D440" s="116">
        <f>YEAR(MC_2[[#This Row],[Date]])</f>
        <v>2025</v>
      </c>
      <c r="E440" s="196"/>
      <c r="F440" s="119"/>
      <c r="G440" s="5" t="str">
        <f>TEXT(MC_2[[#This Row],[Date]],"mmm-yy")</f>
        <v>Apr-25</v>
      </c>
      <c r="H440" s="5">
        <f>DAY(EOMONTH(MC_2[[#This Row],[Month Year]],0))</f>
        <v>30</v>
      </c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97"/>
      <c r="AN440" s="197"/>
      <c r="AO440" s="197"/>
      <c r="AP440" s="197"/>
      <c r="AQ440" s="197"/>
      <c r="AR440" s="197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  <c r="BC440" s="119"/>
      <c r="BD440" s="119"/>
      <c r="BE440" s="5">
        <f>SUM(MC_2[[#This Row],[IS1Inv1M1]:[IS9Inv19M2]])</f>
        <v>0</v>
      </c>
      <c r="BF440" s="119"/>
      <c r="BG440" s="119"/>
      <c r="BH440" s="119"/>
      <c r="BI440" s="119"/>
      <c r="BJ440" s="119"/>
      <c r="BK440" s="119"/>
      <c r="BL440" s="119"/>
    </row>
    <row r="441" spans="1:64">
      <c r="A441" s="119">
        <v>439</v>
      </c>
      <c r="B441" s="194">
        <f t="shared" si="6"/>
        <v>45761</v>
      </c>
      <c r="C441" s="195">
        <f>YEAR(MC_2[[#This Row],[Date]])+IF(MONTH(MC_2[[#This Row],[Date]])&gt;=4,1,0)</f>
        <v>2026</v>
      </c>
      <c r="D441" s="116">
        <f>YEAR(MC_2[[#This Row],[Date]])</f>
        <v>2025</v>
      </c>
      <c r="E441" s="196"/>
      <c r="F441" s="119"/>
      <c r="G441" s="5" t="str">
        <f>TEXT(MC_2[[#This Row],[Date]],"mmm-yy")</f>
        <v>Apr-25</v>
      </c>
      <c r="H441" s="5">
        <f>DAY(EOMONTH(MC_2[[#This Row],[Month Year]],0))</f>
        <v>30</v>
      </c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97"/>
      <c r="AN441" s="197"/>
      <c r="AO441" s="197"/>
      <c r="AP441" s="197"/>
      <c r="AQ441" s="197"/>
      <c r="AR441" s="197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  <c r="BC441" s="119"/>
      <c r="BD441" s="119"/>
      <c r="BE441" s="5">
        <f>SUM(MC_2[[#This Row],[IS1Inv1M1]:[IS9Inv19M2]])</f>
        <v>0</v>
      </c>
      <c r="BF441" s="119"/>
      <c r="BG441" s="119"/>
      <c r="BH441" s="119"/>
      <c r="BI441" s="119"/>
      <c r="BJ441" s="119"/>
      <c r="BK441" s="119"/>
      <c r="BL441" s="119"/>
    </row>
    <row r="442" spans="1:64">
      <c r="A442" s="119">
        <v>440</v>
      </c>
      <c r="B442" s="194">
        <f t="shared" si="6"/>
        <v>45762</v>
      </c>
      <c r="C442" s="195">
        <f>YEAR(MC_2[[#This Row],[Date]])+IF(MONTH(MC_2[[#This Row],[Date]])&gt;=4,1,0)</f>
        <v>2026</v>
      </c>
      <c r="D442" s="116">
        <f>YEAR(MC_2[[#This Row],[Date]])</f>
        <v>2025</v>
      </c>
      <c r="E442" s="196"/>
      <c r="F442" s="119"/>
      <c r="G442" s="5" t="str">
        <f>TEXT(MC_2[[#This Row],[Date]],"mmm-yy")</f>
        <v>Apr-25</v>
      </c>
      <c r="H442" s="5">
        <f>DAY(EOMONTH(MC_2[[#This Row],[Month Year]],0))</f>
        <v>30</v>
      </c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>
        <v>79</v>
      </c>
      <c r="AG442" s="119"/>
      <c r="AH442" s="119">
        <v>9</v>
      </c>
      <c r="AI442" s="119"/>
      <c r="AJ442" s="119">
        <v>3</v>
      </c>
      <c r="AK442" s="119"/>
      <c r="AL442" s="119"/>
      <c r="AM442" s="197"/>
      <c r="AN442" s="197"/>
      <c r="AO442" s="197"/>
      <c r="AP442" s="197"/>
      <c r="AQ442" s="197"/>
      <c r="AR442" s="197"/>
      <c r="AS442" s="119"/>
      <c r="AT442" s="119"/>
      <c r="AU442" s="119"/>
      <c r="AV442" s="119"/>
      <c r="AW442" s="119"/>
      <c r="AX442" s="119"/>
      <c r="AY442" s="119"/>
      <c r="AZ442" s="119"/>
      <c r="BA442" s="119"/>
      <c r="BB442" s="119"/>
      <c r="BC442" s="119"/>
      <c r="BD442" s="119"/>
      <c r="BE442" s="5">
        <f>SUM(MC_2[[#This Row],[IS1Inv1M1]:[IS9Inv19M2]])</f>
        <v>91</v>
      </c>
      <c r="BF442" s="119"/>
      <c r="BG442" s="119"/>
      <c r="BH442" s="119"/>
      <c r="BI442" s="119"/>
      <c r="BJ442" s="119"/>
      <c r="BK442" s="119"/>
      <c r="BL442" s="119"/>
    </row>
    <row r="443" spans="1:64">
      <c r="A443" s="119">
        <v>441</v>
      </c>
      <c r="B443" s="194">
        <f t="shared" si="6"/>
        <v>45763</v>
      </c>
      <c r="C443" s="195">
        <f>YEAR(MC_2[[#This Row],[Date]])+IF(MONTH(MC_2[[#This Row],[Date]])&gt;=4,1,0)</f>
        <v>2026</v>
      </c>
      <c r="D443" s="116">
        <f>YEAR(MC_2[[#This Row],[Date]])</f>
        <v>2025</v>
      </c>
      <c r="E443" s="196"/>
      <c r="F443" s="119"/>
      <c r="G443" s="5" t="str">
        <f>TEXT(MC_2[[#This Row],[Date]],"mmm-yy")</f>
        <v>Apr-25</v>
      </c>
      <c r="H443" s="5">
        <f>DAY(EOMONTH(MC_2[[#This Row],[Month Year]],0))</f>
        <v>30</v>
      </c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97"/>
      <c r="AN443" s="197"/>
      <c r="AO443" s="197"/>
      <c r="AP443" s="197"/>
      <c r="AQ443" s="197"/>
      <c r="AR443" s="197"/>
      <c r="AS443" s="119"/>
      <c r="AT443" s="119"/>
      <c r="AU443" s="119"/>
      <c r="AV443" s="119"/>
      <c r="AW443" s="119"/>
      <c r="AX443" s="119"/>
      <c r="AY443" s="119"/>
      <c r="AZ443" s="119"/>
      <c r="BA443" s="119"/>
      <c r="BB443" s="119"/>
      <c r="BC443" s="119"/>
      <c r="BD443" s="119"/>
      <c r="BE443" s="5">
        <f>SUM(MC_2[[#This Row],[IS1Inv1M1]:[IS9Inv19M2]])</f>
        <v>0</v>
      </c>
      <c r="BF443" s="119"/>
      <c r="BG443" s="119"/>
      <c r="BH443" s="119"/>
      <c r="BI443" s="119"/>
      <c r="BJ443" s="119"/>
      <c r="BK443" s="119"/>
      <c r="BL443" s="119"/>
    </row>
    <row r="444" spans="1:64">
      <c r="A444" s="119">
        <v>442</v>
      </c>
      <c r="B444" s="194">
        <f t="shared" si="6"/>
        <v>45764</v>
      </c>
      <c r="C444" s="195">
        <f>YEAR(MC_2[[#This Row],[Date]])+IF(MONTH(MC_2[[#This Row],[Date]])&gt;=4,1,0)</f>
        <v>2026</v>
      </c>
      <c r="D444" s="116">
        <f>YEAR(MC_2[[#This Row],[Date]])</f>
        <v>2025</v>
      </c>
      <c r="E444" s="196"/>
      <c r="F444" s="119"/>
      <c r="G444" s="5" t="str">
        <f>TEXT(MC_2[[#This Row],[Date]],"mmm-yy")</f>
        <v>Apr-25</v>
      </c>
      <c r="H444" s="5">
        <f>DAY(EOMONTH(MC_2[[#This Row],[Month Year]],0))</f>
        <v>30</v>
      </c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97"/>
      <c r="AN444" s="197"/>
      <c r="AO444" s="197"/>
      <c r="AP444" s="197"/>
      <c r="AQ444" s="197"/>
      <c r="AR444" s="197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  <c r="BD444" s="119"/>
      <c r="BE444" s="5">
        <f>SUM(MC_2[[#This Row],[IS1Inv1M1]:[IS9Inv19M2]])</f>
        <v>0</v>
      </c>
      <c r="BF444" s="119"/>
      <c r="BG444" s="119"/>
      <c r="BH444" s="119"/>
      <c r="BI444" s="119"/>
      <c r="BJ444" s="119"/>
      <c r="BK444" s="119"/>
      <c r="BL444" s="119"/>
    </row>
    <row r="445" spans="1:64">
      <c r="A445" s="119">
        <v>443</v>
      </c>
      <c r="B445" s="194">
        <f t="shared" si="6"/>
        <v>45765</v>
      </c>
      <c r="C445" s="195">
        <f>YEAR(MC_2[[#This Row],[Date]])+IF(MONTH(MC_2[[#This Row],[Date]])&gt;=4,1,0)</f>
        <v>2026</v>
      </c>
      <c r="D445" s="116">
        <f>YEAR(MC_2[[#This Row],[Date]])</f>
        <v>2025</v>
      </c>
      <c r="E445" s="196"/>
      <c r="F445" s="119"/>
      <c r="G445" s="5" t="str">
        <f>TEXT(MC_2[[#This Row],[Date]],"mmm-yy")</f>
        <v>Apr-25</v>
      </c>
      <c r="H445" s="5">
        <f>DAY(EOMONTH(MC_2[[#This Row],[Month Year]],0))</f>
        <v>30</v>
      </c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97"/>
      <c r="AN445" s="197"/>
      <c r="AO445" s="197"/>
      <c r="AP445" s="197"/>
      <c r="AQ445" s="197"/>
      <c r="AR445" s="197"/>
      <c r="AS445" s="119"/>
      <c r="AT445" s="119"/>
      <c r="AU445" s="119"/>
      <c r="AV445" s="119"/>
      <c r="AW445" s="119"/>
      <c r="AX445" s="119"/>
      <c r="AY445" s="119"/>
      <c r="AZ445" s="119"/>
      <c r="BA445" s="119"/>
      <c r="BB445" s="119"/>
      <c r="BC445" s="119"/>
      <c r="BD445" s="119"/>
      <c r="BE445" s="5">
        <f>SUM(MC_2[[#This Row],[IS1Inv1M1]:[IS9Inv19M2]])</f>
        <v>0</v>
      </c>
      <c r="BF445" s="119"/>
      <c r="BG445" s="119"/>
      <c r="BH445" s="119"/>
      <c r="BI445" s="119"/>
      <c r="BJ445" s="119"/>
      <c r="BK445" s="119"/>
      <c r="BL445" s="119"/>
    </row>
    <row r="446" spans="1:64">
      <c r="A446" s="119">
        <v>444</v>
      </c>
      <c r="B446" s="194">
        <f t="shared" si="6"/>
        <v>45766</v>
      </c>
      <c r="C446" s="195">
        <f>YEAR(MC_2[[#This Row],[Date]])+IF(MONTH(MC_2[[#This Row],[Date]])&gt;=4,1,0)</f>
        <v>2026</v>
      </c>
      <c r="D446" s="116">
        <f>YEAR(MC_2[[#This Row],[Date]])</f>
        <v>2025</v>
      </c>
      <c r="E446" s="196"/>
      <c r="F446" s="119"/>
      <c r="G446" s="5" t="str">
        <f>TEXT(MC_2[[#This Row],[Date]],"mmm-yy")</f>
        <v>Apr-25</v>
      </c>
      <c r="H446" s="5">
        <f>DAY(EOMONTH(MC_2[[#This Row],[Month Year]],0))</f>
        <v>30</v>
      </c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97"/>
      <c r="AN446" s="197"/>
      <c r="AO446" s="197"/>
      <c r="AP446" s="197"/>
      <c r="AQ446" s="197"/>
      <c r="AR446" s="197"/>
      <c r="AS446" s="119"/>
      <c r="AT446" s="119"/>
      <c r="AU446" s="119"/>
      <c r="AV446" s="119"/>
      <c r="AW446" s="119"/>
      <c r="AX446" s="119"/>
      <c r="AY446" s="119"/>
      <c r="AZ446" s="119"/>
      <c r="BA446" s="119"/>
      <c r="BB446" s="119"/>
      <c r="BC446" s="119"/>
      <c r="BD446" s="119"/>
      <c r="BE446" s="5">
        <f>SUM(MC_2[[#This Row],[IS1Inv1M1]:[IS9Inv19M2]])</f>
        <v>0</v>
      </c>
      <c r="BF446" s="119"/>
      <c r="BG446" s="119"/>
      <c r="BH446" s="119"/>
      <c r="BI446" s="119"/>
      <c r="BJ446" s="119"/>
      <c r="BK446" s="119"/>
      <c r="BL446" s="119"/>
    </row>
    <row r="447" spans="1:64">
      <c r="A447" s="119">
        <v>445</v>
      </c>
      <c r="B447" s="194">
        <f t="shared" si="6"/>
        <v>45767</v>
      </c>
      <c r="C447" s="195">
        <f>YEAR(MC_2[[#This Row],[Date]])+IF(MONTH(MC_2[[#This Row],[Date]])&gt;=4,1,0)</f>
        <v>2026</v>
      </c>
      <c r="D447" s="116">
        <f>YEAR(MC_2[[#This Row],[Date]])</f>
        <v>2025</v>
      </c>
      <c r="E447" s="196"/>
      <c r="F447" s="119"/>
      <c r="G447" s="5" t="str">
        <f>TEXT(MC_2[[#This Row],[Date]],"mmm-yy")</f>
        <v>Apr-25</v>
      </c>
      <c r="H447" s="5">
        <f>DAY(EOMONTH(MC_2[[#This Row],[Month Year]],0))</f>
        <v>30</v>
      </c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97"/>
      <c r="AN447" s="197"/>
      <c r="AO447" s="197"/>
      <c r="AP447" s="197"/>
      <c r="AQ447" s="197"/>
      <c r="AR447" s="197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  <c r="BC447" s="119"/>
      <c r="BD447" s="119"/>
      <c r="BE447" s="5">
        <f>SUM(MC_2[[#This Row],[IS1Inv1M1]:[IS9Inv19M2]])</f>
        <v>0</v>
      </c>
      <c r="BF447" s="119"/>
      <c r="BG447" s="119"/>
      <c r="BH447" s="119"/>
      <c r="BI447" s="119"/>
      <c r="BJ447" s="119"/>
      <c r="BK447" s="119"/>
      <c r="BL447" s="119"/>
    </row>
    <row r="448" spans="1:64">
      <c r="A448" s="119">
        <v>446</v>
      </c>
      <c r="B448" s="194">
        <f t="shared" si="6"/>
        <v>45768</v>
      </c>
      <c r="C448" s="195">
        <f>YEAR(MC_2[[#This Row],[Date]])+IF(MONTH(MC_2[[#This Row],[Date]])&gt;=4,1,0)</f>
        <v>2026</v>
      </c>
      <c r="D448" s="116">
        <f>YEAR(MC_2[[#This Row],[Date]])</f>
        <v>2025</v>
      </c>
      <c r="E448" s="196"/>
      <c r="F448" s="119"/>
      <c r="G448" s="5" t="str">
        <f>TEXT(MC_2[[#This Row],[Date]],"mmm-yy")</f>
        <v>Apr-25</v>
      </c>
      <c r="H448" s="5">
        <f>DAY(EOMONTH(MC_2[[#This Row],[Month Year]],0))</f>
        <v>30</v>
      </c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97"/>
      <c r="AN448" s="197"/>
      <c r="AO448" s="197"/>
      <c r="AP448" s="197"/>
      <c r="AQ448" s="197"/>
      <c r="AR448" s="197"/>
      <c r="AS448" s="119"/>
      <c r="AT448" s="119"/>
      <c r="AU448" s="119"/>
      <c r="AV448" s="119"/>
      <c r="AW448" s="119"/>
      <c r="AX448" s="119"/>
      <c r="AY448" s="119"/>
      <c r="AZ448" s="119"/>
      <c r="BA448" s="119"/>
      <c r="BB448" s="119"/>
      <c r="BC448" s="119"/>
      <c r="BD448" s="119"/>
      <c r="BE448" s="5">
        <f>SUM(MC_2[[#This Row],[IS1Inv1M1]:[IS9Inv19M2]])</f>
        <v>0</v>
      </c>
      <c r="BF448" s="119"/>
      <c r="BG448" s="119"/>
      <c r="BH448" s="119"/>
      <c r="BI448" s="119"/>
      <c r="BJ448" s="119"/>
      <c r="BK448" s="119"/>
      <c r="BL448" s="119"/>
    </row>
    <row r="449" spans="1:64">
      <c r="A449" s="119">
        <v>447</v>
      </c>
      <c r="B449" s="194">
        <f t="shared" si="6"/>
        <v>45769</v>
      </c>
      <c r="C449" s="195">
        <f>YEAR(MC_2[[#This Row],[Date]])+IF(MONTH(MC_2[[#This Row],[Date]])&gt;=4,1,0)</f>
        <v>2026</v>
      </c>
      <c r="D449" s="116">
        <f>YEAR(MC_2[[#This Row],[Date]])</f>
        <v>2025</v>
      </c>
      <c r="E449" s="196"/>
      <c r="F449" s="119"/>
      <c r="G449" s="5" t="str">
        <f>TEXT(MC_2[[#This Row],[Date]],"mmm-yy")</f>
        <v>Apr-25</v>
      </c>
      <c r="H449" s="5">
        <f>DAY(EOMONTH(MC_2[[#This Row],[Month Year]],0))</f>
        <v>30</v>
      </c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97"/>
      <c r="AN449" s="197"/>
      <c r="AO449" s="197"/>
      <c r="AP449" s="197"/>
      <c r="AQ449" s="197"/>
      <c r="AR449" s="197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  <c r="BC449" s="119"/>
      <c r="BD449" s="119"/>
      <c r="BE449" s="5">
        <f>SUM(MC_2[[#This Row],[IS1Inv1M1]:[IS9Inv19M2]])</f>
        <v>0</v>
      </c>
      <c r="BF449" s="119"/>
      <c r="BG449" s="119"/>
      <c r="BH449" s="119"/>
      <c r="BI449" s="119"/>
      <c r="BJ449" s="119"/>
      <c r="BK449" s="119"/>
      <c r="BL449" s="119"/>
    </row>
    <row r="450" spans="1:64">
      <c r="A450" s="119">
        <v>448</v>
      </c>
      <c r="B450" s="194">
        <f t="shared" si="6"/>
        <v>45770</v>
      </c>
      <c r="C450" s="195">
        <f>YEAR(MC_2[[#This Row],[Date]])+IF(MONTH(MC_2[[#This Row],[Date]])&gt;=4,1,0)</f>
        <v>2026</v>
      </c>
      <c r="D450" s="116">
        <f>YEAR(MC_2[[#This Row],[Date]])</f>
        <v>2025</v>
      </c>
      <c r="E450" s="196"/>
      <c r="F450" s="119"/>
      <c r="G450" s="5" t="str">
        <f>TEXT(MC_2[[#This Row],[Date]],"mmm-yy")</f>
        <v>Apr-25</v>
      </c>
      <c r="H450" s="5">
        <f>DAY(EOMONTH(MC_2[[#This Row],[Month Year]],0))</f>
        <v>30</v>
      </c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97"/>
      <c r="AN450" s="197"/>
      <c r="AO450" s="197"/>
      <c r="AP450" s="197"/>
      <c r="AQ450" s="197"/>
      <c r="AR450" s="197"/>
      <c r="AS450" s="119"/>
      <c r="AT450" s="119"/>
      <c r="AU450" s="119"/>
      <c r="AV450" s="119"/>
      <c r="AW450" s="119"/>
      <c r="AX450" s="119"/>
      <c r="AY450" s="119"/>
      <c r="AZ450" s="119"/>
      <c r="BA450" s="119"/>
      <c r="BB450" s="119"/>
      <c r="BC450" s="119"/>
      <c r="BD450" s="119"/>
      <c r="BE450" s="5">
        <f>SUM(MC_2[[#This Row],[IS1Inv1M1]:[IS9Inv19M2]])</f>
        <v>0</v>
      </c>
      <c r="BF450" s="119"/>
      <c r="BG450" s="119"/>
      <c r="BH450" s="119"/>
      <c r="BI450" s="119"/>
      <c r="BJ450" s="119"/>
      <c r="BK450" s="119"/>
      <c r="BL450" s="119"/>
    </row>
    <row r="451" spans="1:64">
      <c r="A451" s="119">
        <v>449</v>
      </c>
      <c r="B451" s="194">
        <f t="shared" si="6"/>
        <v>45771</v>
      </c>
      <c r="C451" s="195">
        <f>YEAR(MC_2[[#This Row],[Date]])+IF(MONTH(MC_2[[#This Row],[Date]])&gt;=4,1,0)</f>
        <v>2026</v>
      </c>
      <c r="D451" s="116">
        <f>YEAR(MC_2[[#This Row],[Date]])</f>
        <v>2025</v>
      </c>
      <c r="E451" s="196"/>
      <c r="F451" s="119"/>
      <c r="G451" s="5" t="str">
        <f>TEXT(MC_2[[#This Row],[Date]],"mmm-yy")</f>
        <v>Apr-25</v>
      </c>
      <c r="H451" s="5">
        <f>DAY(EOMONTH(MC_2[[#This Row],[Month Year]],0))</f>
        <v>30</v>
      </c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97"/>
      <c r="AN451" s="197"/>
      <c r="AO451" s="197"/>
      <c r="AP451" s="197"/>
      <c r="AQ451" s="197"/>
      <c r="AR451" s="197"/>
      <c r="AS451" s="119"/>
      <c r="AT451" s="119"/>
      <c r="AU451" s="119"/>
      <c r="AV451" s="119"/>
      <c r="AW451" s="119"/>
      <c r="AX451" s="119"/>
      <c r="AY451" s="119"/>
      <c r="AZ451" s="119"/>
      <c r="BA451" s="119"/>
      <c r="BB451" s="119"/>
      <c r="BC451" s="119"/>
      <c r="BD451" s="119"/>
      <c r="BE451" s="5">
        <f>SUM(MC_2[[#This Row],[IS1Inv1M1]:[IS9Inv19M2]])</f>
        <v>0</v>
      </c>
      <c r="BF451" s="119"/>
      <c r="BG451" s="119"/>
      <c r="BH451" s="119"/>
      <c r="BI451" s="119"/>
      <c r="BJ451" s="119"/>
      <c r="BK451" s="119"/>
      <c r="BL451" s="119"/>
    </row>
    <row r="452" spans="1:64">
      <c r="A452" s="119">
        <v>450</v>
      </c>
      <c r="B452" s="194">
        <f t="shared" si="6"/>
        <v>45772</v>
      </c>
      <c r="C452" s="195">
        <f>YEAR(MC_2[[#This Row],[Date]])+IF(MONTH(MC_2[[#This Row],[Date]])&gt;=4,1,0)</f>
        <v>2026</v>
      </c>
      <c r="D452" s="116">
        <f>YEAR(MC_2[[#This Row],[Date]])</f>
        <v>2025</v>
      </c>
      <c r="E452" s="196"/>
      <c r="F452" s="119"/>
      <c r="G452" s="5" t="str">
        <f>TEXT(MC_2[[#This Row],[Date]],"mmm-yy")</f>
        <v>Apr-25</v>
      </c>
      <c r="H452" s="5">
        <f>DAY(EOMONTH(MC_2[[#This Row],[Month Year]],0))</f>
        <v>30</v>
      </c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97"/>
      <c r="AN452" s="197"/>
      <c r="AO452" s="197"/>
      <c r="AP452" s="197"/>
      <c r="AQ452" s="197"/>
      <c r="AR452" s="197"/>
      <c r="AS452" s="119"/>
      <c r="AT452" s="119"/>
      <c r="AU452" s="119"/>
      <c r="AV452" s="119"/>
      <c r="AW452" s="119"/>
      <c r="AX452" s="119"/>
      <c r="AY452" s="119"/>
      <c r="AZ452" s="119"/>
      <c r="BA452" s="119"/>
      <c r="BB452" s="119"/>
      <c r="BC452" s="119"/>
      <c r="BD452" s="119"/>
      <c r="BE452" s="5">
        <f>SUM(MC_2[[#This Row],[IS1Inv1M1]:[IS9Inv19M2]])</f>
        <v>0</v>
      </c>
      <c r="BF452" s="119"/>
      <c r="BG452" s="119"/>
      <c r="BH452" s="119"/>
      <c r="BI452" s="119"/>
      <c r="BJ452" s="119"/>
      <c r="BK452" s="119"/>
      <c r="BL452" s="119"/>
    </row>
    <row r="453" spans="1:64">
      <c r="A453" s="119">
        <v>451</v>
      </c>
      <c r="B453" s="194">
        <f t="shared" ref="B453:B457" si="7">B452+1</f>
        <v>45773</v>
      </c>
      <c r="C453" s="195">
        <f>YEAR(MC_2[[#This Row],[Date]])+IF(MONTH(MC_2[[#This Row],[Date]])&gt;=4,1,0)</f>
        <v>2026</v>
      </c>
      <c r="D453" s="116">
        <f>YEAR(MC_2[[#This Row],[Date]])</f>
        <v>2025</v>
      </c>
      <c r="E453" s="196"/>
      <c r="F453" s="119"/>
      <c r="G453" s="5" t="str">
        <f>TEXT(MC_2[[#This Row],[Date]],"mmm-yy")</f>
        <v>Apr-25</v>
      </c>
      <c r="H453" s="5">
        <f>DAY(EOMONTH(MC_2[[#This Row],[Month Year]],0))</f>
        <v>30</v>
      </c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97"/>
      <c r="AN453" s="197"/>
      <c r="AO453" s="197"/>
      <c r="AP453" s="197"/>
      <c r="AQ453" s="197"/>
      <c r="AR453" s="197"/>
      <c r="AS453" s="119"/>
      <c r="AT453" s="119"/>
      <c r="AU453" s="119"/>
      <c r="AV453" s="119"/>
      <c r="AW453" s="119"/>
      <c r="AX453" s="119"/>
      <c r="AY453" s="119"/>
      <c r="AZ453" s="119"/>
      <c r="BA453" s="119"/>
      <c r="BB453" s="119"/>
      <c r="BC453" s="119"/>
      <c r="BD453" s="119"/>
      <c r="BE453" s="5">
        <f>SUM(MC_2[[#This Row],[IS1Inv1M1]:[IS9Inv19M2]])</f>
        <v>0</v>
      </c>
      <c r="BF453" s="119"/>
      <c r="BG453" s="119"/>
      <c r="BH453" s="119"/>
      <c r="BI453" s="119"/>
      <c r="BJ453" s="119"/>
      <c r="BK453" s="119"/>
      <c r="BL453" s="119"/>
    </row>
    <row r="454" spans="1:64">
      <c r="A454" s="119">
        <v>452</v>
      </c>
      <c r="B454" s="194">
        <f t="shared" si="7"/>
        <v>45774</v>
      </c>
      <c r="C454" s="195">
        <f>YEAR(MC_2[[#This Row],[Date]])+IF(MONTH(MC_2[[#This Row],[Date]])&gt;=4,1,0)</f>
        <v>2026</v>
      </c>
      <c r="D454" s="116">
        <f>YEAR(MC_2[[#This Row],[Date]])</f>
        <v>2025</v>
      </c>
      <c r="E454" s="196"/>
      <c r="F454" s="119"/>
      <c r="G454" s="5" t="str">
        <f>TEXT(MC_2[[#This Row],[Date]],"mmm-yy")</f>
        <v>Apr-25</v>
      </c>
      <c r="H454" s="5">
        <f>DAY(EOMONTH(MC_2[[#This Row],[Month Year]],0))</f>
        <v>30</v>
      </c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97"/>
      <c r="AN454" s="197"/>
      <c r="AO454" s="197"/>
      <c r="AP454" s="197"/>
      <c r="AQ454" s="197"/>
      <c r="AR454" s="197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  <c r="BC454" s="119"/>
      <c r="BD454" s="119"/>
      <c r="BE454" s="5">
        <f>SUM(MC_2[[#This Row],[IS1Inv1M1]:[IS9Inv19M2]])</f>
        <v>0</v>
      </c>
      <c r="BF454" s="119"/>
      <c r="BG454" s="119"/>
      <c r="BH454" s="119"/>
      <c r="BI454" s="119"/>
      <c r="BJ454" s="119"/>
      <c r="BK454" s="119"/>
      <c r="BL454" s="119"/>
    </row>
    <row r="455" spans="1:64">
      <c r="A455" s="119">
        <v>453</v>
      </c>
      <c r="B455" s="194">
        <f t="shared" si="7"/>
        <v>45775</v>
      </c>
      <c r="C455" s="195">
        <f>YEAR(MC_2[[#This Row],[Date]])+IF(MONTH(MC_2[[#This Row],[Date]])&gt;=4,1,0)</f>
        <v>2026</v>
      </c>
      <c r="D455" s="116">
        <f>YEAR(MC_2[[#This Row],[Date]])</f>
        <v>2025</v>
      </c>
      <c r="E455" s="196"/>
      <c r="F455" s="119"/>
      <c r="G455" s="5" t="str">
        <f>TEXT(MC_2[[#This Row],[Date]],"mmm-yy")</f>
        <v>Apr-25</v>
      </c>
      <c r="H455" s="5">
        <f>DAY(EOMONTH(MC_2[[#This Row],[Month Year]],0))</f>
        <v>30</v>
      </c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97"/>
      <c r="AN455" s="197"/>
      <c r="AO455" s="197"/>
      <c r="AP455" s="197"/>
      <c r="AQ455" s="197"/>
      <c r="AR455" s="197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  <c r="BC455" s="119"/>
      <c r="BD455" s="119"/>
      <c r="BE455" s="5">
        <f>SUM(MC_2[[#This Row],[IS1Inv1M1]:[IS9Inv19M2]])</f>
        <v>0</v>
      </c>
      <c r="BF455" s="119"/>
      <c r="BG455" s="119"/>
      <c r="BH455" s="119"/>
      <c r="BI455" s="119"/>
      <c r="BJ455" s="119"/>
      <c r="BK455" s="119"/>
      <c r="BL455" s="119"/>
    </row>
    <row r="456" spans="1:64">
      <c r="A456" s="119">
        <v>454</v>
      </c>
      <c r="B456" s="194">
        <f t="shared" si="7"/>
        <v>45776</v>
      </c>
      <c r="C456" s="195">
        <f>YEAR(MC_2[[#This Row],[Date]])+IF(MONTH(MC_2[[#This Row],[Date]])&gt;=4,1,0)</f>
        <v>2026</v>
      </c>
      <c r="D456" s="116">
        <f>YEAR(MC_2[[#This Row],[Date]])</f>
        <v>2025</v>
      </c>
      <c r="E456" s="196"/>
      <c r="F456" s="119"/>
      <c r="G456" s="5" t="str">
        <f>TEXT(MC_2[[#This Row],[Date]],"mmm-yy")</f>
        <v>Apr-25</v>
      </c>
      <c r="H456" s="5">
        <f>DAY(EOMONTH(MC_2[[#This Row],[Month Year]],0))</f>
        <v>30</v>
      </c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97"/>
      <c r="AN456" s="197"/>
      <c r="AO456" s="197"/>
      <c r="AP456" s="197"/>
      <c r="AQ456" s="197"/>
      <c r="AR456" s="197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  <c r="BC456" s="119"/>
      <c r="BD456" s="119"/>
      <c r="BE456" s="5">
        <f>SUM(MC_2[[#This Row],[IS1Inv1M1]:[IS9Inv19M2]])</f>
        <v>0</v>
      </c>
      <c r="BF456" s="119"/>
      <c r="BG456" s="119"/>
      <c r="BH456" s="119"/>
      <c r="BI456" s="119"/>
      <c r="BJ456" s="119"/>
      <c r="BK456" s="119"/>
      <c r="BL456" s="119"/>
    </row>
    <row r="457" spans="1:64">
      <c r="A457" s="119">
        <v>455</v>
      </c>
      <c r="B457" s="194">
        <f t="shared" si="7"/>
        <v>45777</v>
      </c>
      <c r="C457" s="195">
        <f>YEAR(MC_2[[#This Row],[Date]])+IF(MONTH(MC_2[[#This Row],[Date]])&gt;=4,1,0)</f>
        <v>2026</v>
      </c>
      <c r="D457" s="116">
        <f>YEAR(MC_2[[#This Row],[Date]])</f>
        <v>2025</v>
      </c>
      <c r="E457" s="196"/>
      <c r="F457" s="119"/>
      <c r="G457" s="5" t="str">
        <f>TEXT(MC_2[[#This Row],[Date]],"mmm-yy")</f>
        <v>Apr-25</v>
      </c>
      <c r="H457" s="5">
        <f>DAY(EOMONTH(MC_2[[#This Row],[Month Year]],0))</f>
        <v>30</v>
      </c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97"/>
      <c r="AN457" s="197"/>
      <c r="AO457" s="197"/>
      <c r="AP457" s="197"/>
      <c r="AQ457" s="197"/>
      <c r="AR457" s="197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  <c r="BC457" s="119"/>
      <c r="BD457" s="119"/>
      <c r="BE457" s="5">
        <f>SUM(MC_2[[#This Row],[IS1Inv1M1]:[IS9Inv19M2]])</f>
        <v>0</v>
      </c>
      <c r="BF457" s="119"/>
      <c r="BG457" s="119"/>
      <c r="BH457" s="119"/>
      <c r="BI457" s="119"/>
      <c r="BJ457" s="119"/>
      <c r="BK457" s="119"/>
      <c r="BL457" s="119"/>
    </row>
    <row r="458" spans="1:64">
      <c r="A458" s="119"/>
      <c r="B458" s="194"/>
      <c r="C458" s="195">
        <f>YEAR(MC_2[[#This Row],[Date]])+IF(MONTH(MC_2[[#This Row],[Date]])&gt;=4,1,0)</f>
        <v>1900</v>
      </c>
      <c r="D458" s="116">
        <f>YEAR(MC_2[[#This Row],[Date]])</f>
        <v>1900</v>
      </c>
      <c r="E458" s="196"/>
      <c r="F458" s="119"/>
      <c r="G458" s="5" t="str">
        <f>TEXT(MC_2[[#This Row],[Date]],"mmm-yy")</f>
        <v>Jan-00</v>
      </c>
      <c r="H458" s="5">
        <f>DAY(EOMONTH(MC_2[[#This Row],[Month Year]],0))</f>
        <v>31</v>
      </c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97"/>
      <c r="AN458" s="197"/>
      <c r="AO458" s="197"/>
      <c r="AP458" s="197"/>
      <c r="AQ458" s="197"/>
      <c r="AR458" s="197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  <c r="BC458" s="119"/>
      <c r="BD458" s="119"/>
      <c r="BE458" s="5">
        <f>SUM(MC_2[[#This Row],[IS1Inv1M1]:[IS9Inv19M2]])</f>
        <v>0</v>
      </c>
      <c r="BF458" s="119"/>
      <c r="BG458" s="119"/>
      <c r="BH458" s="119"/>
      <c r="BI458" s="119"/>
      <c r="BJ458" s="119"/>
      <c r="BK458" s="119"/>
      <c r="BL458" s="119"/>
    </row>
    <row r="459" spans="1:64">
      <c r="A459" s="119"/>
      <c r="B459" s="194"/>
      <c r="C459" s="195">
        <f>YEAR(MC_2[[#This Row],[Date]])+IF(MONTH(MC_2[[#This Row],[Date]])&gt;=4,1,0)</f>
        <v>1900</v>
      </c>
      <c r="D459" s="116">
        <f>YEAR(MC_2[[#This Row],[Date]])</f>
        <v>1900</v>
      </c>
      <c r="E459" s="196"/>
      <c r="F459" s="119"/>
      <c r="G459" s="5" t="str">
        <f>TEXT(MC_2[[#This Row],[Date]],"mmm-yy")</f>
        <v>Jan-00</v>
      </c>
      <c r="H459" s="5">
        <f>DAY(EOMONTH(MC_2[[#This Row],[Month Year]],0))</f>
        <v>31</v>
      </c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97"/>
      <c r="AN459" s="197"/>
      <c r="AO459" s="197"/>
      <c r="AP459" s="197"/>
      <c r="AQ459" s="197"/>
      <c r="AR459" s="197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  <c r="BC459" s="119"/>
      <c r="BD459" s="119"/>
      <c r="BE459" s="5">
        <f>SUM(MC_2[[#This Row],[IS1Inv1M1]:[IS9Inv19M2]])</f>
        <v>0</v>
      </c>
      <c r="BF459" s="119"/>
      <c r="BG459" s="119"/>
      <c r="BH459" s="119"/>
      <c r="BI459" s="119"/>
      <c r="BJ459" s="119"/>
      <c r="BK459" s="119"/>
      <c r="BL459" s="119"/>
    </row>
    <row r="460" spans="1:64">
      <c r="A460" s="119"/>
      <c r="B460" s="194"/>
      <c r="C460" s="195">
        <f>YEAR(MC_2[[#This Row],[Date]])+IF(MONTH(MC_2[[#This Row],[Date]])&gt;=4,1,0)</f>
        <v>1900</v>
      </c>
      <c r="D460" s="116">
        <f>YEAR(MC_2[[#This Row],[Date]])</f>
        <v>1900</v>
      </c>
      <c r="E460" s="196"/>
      <c r="F460" s="119"/>
      <c r="G460" s="5" t="str">
        <f>TEXT(MC_2[[#This Row],[Date]],"mmm-yy")</f>
        <v>Jan-00</v>
      </c>
      <c r="H460" s="5">
        <f>DAY(EOMONTH(MC_2[[#This Row],[Month Year]],0))</f>
        <v>31</v>
      </c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97"/>
      <c r="AN460" s="197"/>
      <c r="AO460" s="197"/>
      <c r="AP460" s="197"/>
      <c r="AQ460" s="197"/>
      <c r="AR460" s="197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  <c r="BC460" s="119"/>
      <c r="BD460" s="119"/>
      <c r="BE460" s="5">
        <f>SUM(MC_2[[#This Row],[IS1Inv1M1]:[IS9Inv19M2]])</f>
        <v>0</v>
      </c>
      <c r="BF460" s="119"/>
      <c r="BG460" s="119"/>
      <c r="BH460" s="119"/>
      <c r="BI460" s="119"/>
      <c r="BJ460" s="119"/>
      <c r="BK460" s="119"/>
      <c r="BL460" s="119"/>
    </row>
    <row r="461" spans="1:64">
      <c r="A461" s="119"/>
      <c r="B461" s="194"/>
      <c r="C461" s="195">
        <f>YEAR(MC_2[[#This Row],[Date]])+IF(MONTH(MC_2[[#This Row],[Date]])&gt;=4,1,0)</f>
        <v>1900</v>
      </c>
      <c r="D461" s="116">
        <f>YEAR(MC_2[[#This Row],[Date]])</f>
        <v>1900</v>
      </c>
      <c r="E461" s="196"/>
      <c r="F461" s="119"/>
      <c r="G461" s="5" t="str">
        <f>TEXT(MC_2[[#This Row],[Date]],"mmm-yy")</f>
        <v>Jan-00</v>
      </c>
      <c r="H461" s="5">
        <f>DAY(EOMONTH(MC_2[[#This Row],[Month Year]],0))</f>
        <v>31</v>
      </c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97"/>
      <c r="AN461" s="197"/>
      <c r="AO461" s="197"/>
      <c r="AP461" s="197"/>
      <c r="AQ461" s="197"/>
      <c r="AR461" s="197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  <c r="BC461" s="119"/>
      <c r="BD461" s="119"/>
      <c r="BE461" s="5">
        <f>SUM(MC_2[[#This Row],[IS1Inv1M1]:[IS9Inv19M2]])</f>
        <v>0</v>
      </c>
      <c r="BF461" s="119"/>
      <c r="BG461" s="119"/>
      <c r="BH461" s="119"/>
      <c r="BI461" s="119"/>
      <c r="BJ461" s="119"/>
      <c r="BK461" s="119"/>
      <c r="BL461" s="119"/>
    </row>
    <row r="462" spans="1:64">
      <c r="A462" s="119"/>
      <c r="B462" s="194"/>
      <c r="C462" s="195">
        <f>YEAR(MC_2[[#This Row],[Date]])+IF(MONTH(MC_2[[#This Row],[Date]])&gt;=4,1,0)</f>
        <v>1900</v>
      </c>
      <c r="D462" s="116">
        <f>YEAR(MC_2[[#This Row],[Date]])</f>
        <v>1900</v>
      </c>
      <c r="E462" s="196"/>
      <c r="F462" s="119"/>
      <c r="G462" s="5" t="str">
        <f>TEXT(MC_2[[#This Row],[Date]],"mmm-yy")</f>
        <v>Jan-00</v>
      </c>
      <c r="H462" s="5">
        <f>DAY(EOMONTH(MC_2[[#This Row],[Month Year]],0))</f>
        <v>31</v>
      </c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97"/>
      <c r="AN462" s="197"/>
      <c r="AO462" s="197"/>
      <c r="AP462" s="197"/>
      <c r="AQ462" s="197"/>
      <c r="AR462" s="197"/>
      <c r="AS462" s="119"/>
      <c r="AT462" s="119"/>
      <c r="AU462" s="119"/>
      <c r="AV462" s="119"/>
      <c r="AW462" s="119"/>
      <c r="AX462" s="119"/>
      <c r="AY462" s="119"/>
      <c r="AZ462" s="119"/>
      <c r="BA462" s="119"/>
      <c r="BB462" s="119"/>
      <c r="BC462" s="119"/>
      <c r="BD462" s="119"/>
      <c r="BE462" s="5">
        <f>SUM(MC_2[[#This Row],[IS1Inv1M1]:[IS9Inv19M2]])</f>
        <v>0</v>
      </c>
      <c r="BF462" s="119"/>
      <c r="BG462" s="119"/>
      <c r="BH462" s="119"/>
      <c r="BI462" s="119"/>
      <c r="BJ462" s="119"/>
      <c r="BK462" s="119"/>
      <c r="BL462" s="119"/>
    </row>
    <row r="463" spans="1:64">
      <c r="A463" s="119"/>
      <c r="B463" s="194"/>
      <c r="C463" s="195">
        <f>YEAR(MC_2[[#This Row],[Date]])+IF(MONTH(MC_2[[#This Row],[Date]])&gt;=4,1,0)</f>
        <v>1900</v>
      </c>
      <c r="D463" s="116">
        <f>YEAR(MC_2[[#This Row],[Date]])</f>
        <v>1900</v>
      </c>
      <c r="E463" s="196"/>
      <c r="F463" s="119"/>
      <c r="G463" s="5" t="str">
        <f>TEXT(MC_2[[#This Row],[Date]],"mmm-yy")</f>
        <v>Jan-00</v>
      </c>
      <c r="H463" s="5">
        <f>DAY(EOMONTH(MC_2[[#This Row],[Month Year]],0))</f>
        <v>31</v>
      </c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97"/>
      <c r="AN463" s="197"/>
      <c r="AO463" s="197"/>
      <c r="AP463" s="197"/>
      <c r="AQ463" s="197"/>
      <c r="AR463" s="197"/>
      <c r="AS463" s="119"/>
      <c r="AT463" s="119"/>
      <c r="AU463" s="119"/>
      <c r="AV463" s="119"/>
      <c r="AW463" s="119"/>
      <c r="AX463" s="119"/>
      <c r="AY463" s="119"/>
      <c r="AZ463" s="119"/>
      <c r="BA463" s="119"/>
      <c r="BB463" s="119"/>
      <c r="BC463" s="119"/>
      <c r="BD463" s="119"/>
      <c r="BE463" s="5">
        <f>SUM(MC_2[[#This Row],[IS1Inv1M1]:[IS9Inv19M2]])</f>
        <v>0</v>
      </c>
      <c r="BF463" s="119"/>
      <c r="BG463" s="119"/>
      <c r="BH463" s="119"/>
      <c r="BI463" s="119"/>
      <c r="BJ463" s="119"/>
      <c r="BK463" s="119"/>
      <c r="BL463" s="119"/>
    </row>
    <row r="464" spans="1:64">
      <c r="A464" s="119"/>
      <c r="B464" s="194"/>
      <c r="C464" s="195">
        <f>YEAR(MC_2[[#This Row],[Date]])+IF(MONTH(MC_2[[#This Row],[Date]])&gt;=4,1,0)</f>
        <v>1900</v>
      </c>
      <c r="D464" s="116">
        <f>YEAR(MC_2[[#This Row],[Date]])</f>
        <v>1900</v>
      </c>
      <c r="E464" s="196"/>
      <c r="F464" s="119"/>
      <c r="G464" s="5" t="str">
        <f>TEXT(MC_2[[#This Row],[Date]],"mmm-yy")</f>
        <v>Jan-00</v>
      </c>
      <c r="H464" s="5">
        <f>DAY(EOMONTH(MC_2[[#This Row],[Month Year]],0))</f>
        <v>31</v>
      </c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97"/>
      <c r="AN464" s="197"/>
      <c r="AO464" s="197"/>
      <c r="AP464" s="197"/>
      <c r="AQ464" s="197"/>
      <c r="AR464" s="197"/>
      <c r="AS464" s="119"/>
      <c r="AT464" s="119"/>
      <c r="AU464" s="119"/>
      <c r="AV464" s="119"/>
      <c r="AW464" s="119"/>
      <c r="AX464" s="119"/>
      <c r="AY464" s="119"/>
      <c r="AZ464" s="119"/>
      <c r="BA464" s="119"/>
      <c r="BB464" s="119"/>
      <c r="BC464" s="119"/>
      <c r="BD464" s="119"/>
      <c r="BE464" s="5">
        <f>SUM(MC_2[[#This Row],[IS1Inv1M1]:[IS9Inv19M2]])</f>
        <v>0</v>
      </c>
      <c r="BF464" s="119"/>
      <c r="BG464" s="119"/>
      <c r="BH464" s="119"/>
      <c r="BI464" s="119"/>
      <c r="BJ464" s="119"/>
      <c r="BK464" s="119"/>
      <c r="BL464" s="119"/>
    </row>
    <row r="465" spans="1:64">
      <c r="A465" s="119"/>
      <c r="B465" s="194"/>
      <c r="C465" s="195">
        <f>YEAR(MC_2[[#This Row],[Date]])+IF(MONTH(MC_2[[#This Row],[Date]])&gt;=4,1,0)</f>
        <v>1900</v>
      </c>
      <c r="D465" s="116">
        <f>YEAR(MC_2[[#This Row],[Date]])</f>
        <v>1900</v>
      </c>
      <c r="E465" s="196"/>
      <c r="F465" s="119"/>
      <c r="G465" s="5" t="str">
        <f>TEXT(MC_2[[#This Row],[Date]],"mmm-yy")</f>
        <v>Jan-00</v>
      </c>
      <c r="H465" s="5">
        <f>DAY(EOMONTH(MC_2[[#This Row],[Month Year]],0))</f>
        <v>31</v>
      </c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97"/>
      <c r="AN465" s="197"/>
      <c r="AO465" s="197"/>
      <c r="AP465" s="197"/>
      <c r="AQ465" s="197"/>
      <c r="AR465" s="197"/>
      <c r="AS465" s="119"/>
      <c r="AT465" s="119"/>
      <c r="AU465" s="119"/>
      <c r="AV465" s="119"/>
      <c r="AW465" s="119"/>
      <c r="AX465" s="119"/>
      <c r="AY465" s="119"/>
      <c r="AZ465" s="119"/>
      <c r="BA465" s="119"/>
      <c r="BB465" s="119"/>
      <c r="BC465" s="119"/>
      <c r="BD465" s="119"/>
      <c r="BE465" s="5">
        <f>SUM(MC_2[[#This Row],[IS1Inv1M1]:[IS9Inv19M2]])</f>
        <v>0</v>
      </c>
      <c r="BF465" s="119"/>
      <c r="BG465" s="119"/>
      <c r="BH465" s="119"/>
      <c r="BI465" s="119"/>
      <c r="BJ465" s="119"/>
      <c r="BK465" s="119"/>
      <c r="BL465" s="119"/>
    </row>
    <row r="466" spans="1:64">
      <c r="A466" s="119"/>
      <c r="B466" s="194"/>
      <c r="C466" s="195">
        <f>YEAR(MC_2[[#This Row],[Date]])+IF(MONTH(MC_2[[#This Row],[Date]])&gt;=4,1,0)</f>
        <v>1900</v>
      </c>
      <c r="D466" s="116">
        <f>YEAR(MC_2[[#This Row],[Date]])</f>
        <v>1900</v>
      </c>
      <c r="E466" s="196"/>
      <c r="F466" s="119"/>
      <c r="G466" s="5" t="str">
        <f>TEXT(MC_2[[#This Row],[Date]],"mmm-yy")</f>
        <v>Jan-00</v>
      </c>
      <c r="H466" s="5">
        <f>DAY(EOMONTH(MC_2[[#This Row],[Month Year]],0))</f>
        <v>31</v>
      </c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97"/>
      <c r="AN466" s="197"/>
      <c r="AO466" s="197"/>
      <c r="AP466" s="197"/>
      <c r="AQ466" s="197"/>
      <c r="AR466" s="197"/>
      <c r="AS466" s="119"/>
      <c r="AT466" s="119"/>
      <c r="AU466" s="119"/>
      <c r="AV466" s="119"/>
      <c r="AW466" s="119"/>
      <c r="AX466" s="119"/>
      <c r="AY466" s="119"/>
      <c r="AZ466" s="119"/>
      <c r="BA466" s="119"/>
      <c r="BB466" s="119"/>
      <c r="BC466" s="119"/>
      <c r="BD466" s="119"/>
      <c r="BE466" s="5">
        <f>SUM(MC_2[[#This Row],[IS1Inv1M1]:[IS9Inv19M2]])</f>
        <v>0</v>
      </c>
      <c r="BF466" s="119"/>
      <c r="BG466" s="119"/>
      <c r="BH466" s="119"/>
      <c r="BI466" s="119"/>
      <c r="BJ466" s="119"/>
      <c r="BK466" s="119"/>
      <c r="BL466" s="119"/>
    </row>
    <row r="467" spans="1:64">
      <c r="A467" s="119"/>
      <c r="B467" s="194"/>
      <c r="C467" s="195">
        <f>YEAR(MC_2[[#This Row],[Date]])+IF(MONTH(MC_2[[#This Row],[Date]])&gt;=4,1,0)</f>
        <v>1900</v>
      </c>
      <c r="D467" s="116">
        <f>YEAR(MC_2[[#This Row],[Date]])</f>
        <v>1900</v>
      </c>
      <c r="E467" s="196"/>
      <c r="F467" s="119"/>
      <c r="G467" s="5" t="str">
        <f>TEXT(MC_2[[#This Row],[Date]],"mmm-yy")</f>
        <v>Jan-00</v>
      </c>
      <c r="H467" s="5">
        <f>DAY(EOMONTH(MC_2[[#This Row],[Month Year]],0))</f>
        <v>31</v>
      </c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97"/>
      <c r="AN467" s="197"/>
      <c r="AO467" s="197"/>
      <c r="AP467" s="197"/>
      <c r="AQ467" s="197"/>
      <c r="AR467" s="197"/>
      <c r="AS467" s="119"/>
      <c r="AT467" s="119"/>
      <c r="AU467" s="119"/>
      <c r="AV467" s="119"/>
      <c r="AW467" s="119"/>
      <c r="AX467" s="119"/>
      <c r="AY467" s="119"/>
      <c r="AZ467" s="119"/>
      <c r="BA467" s="119"/>
      <c r="BB467" s="119"/>
      <c r="BC467" s="119"/>
      <c r="BD467" s="119"/>
      <c r="BE467" s="5">
        <f>SUM(MC_2[[#This Row],[IS1Inv1M1]:[IS9Inv19M2]])</f>
        <v>0</v>
      </c>
      <c r="BF467" s="119"/>
      <c r="BG467" s="119"/>
      <c r="BH467" s="119"/>
      <c r="BI467" s="119"/>
      <c r="BJ467" s="119"/>
      <c r="BK467" s="119"/>
      <c r="BL467" s="119"/>
    </row>
    <row r="468" spans="1:64">
      <c r="A468" s="119"/>
      <c r="B468" s="194"/>
      <c r="C468" s="195">
        <f>YEAR(MC_2[[#This Row],[Date]])+IF(MONTH(MC_2[[#This Row],[Date]])&gt;=4,1,0)</f>
        <v>1900</v>
      </c>
      <c r="D468" s="116">
        <f>YEAR(MC_2[[#This Row],[Date]])</f>
        <v>1900</v>
      </c>
      <c r="E468" s="196"/>
      <c r="F468" s="119"/>
      <c r="G468" s="5" t="str">
        <f>TEXT(MC_2[[#This Row],[Date]],"mmm-yy")</f>
        <v>Jan-00</v>
      </c>
      <c r="H468" s="5">
        <f>DAY(EOMONTH(MC_2[[#This Row],[Month Year]],0))</f>
        <v>31</v>
      </c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97"/>
      <c r="AN468" s="197"/>
      <c r="AO468" s="197"/>
      <c r="AP468" s="197"/>
      <c r="AQ468" s="197"/>
      <c r="AR468" s="197"/>
      <c r="AS468" s="119"/>
      <c r="AT468" s="119"/>
      <c r="AU468" s="119"/>
      <c r="AV468" s="119"/>
      <c r="AW468" s="119"/>
      <c r="AX468" s="119"/>
      <c r="AY468" s="119"/>
      <c r="AZ468" s="119"/>
      <c r="BA468" s="119"/>
      <c r="BB468" s="119"/>
      <c r="BC468" s="119"/>
      <c r="BD468" s="119"/>
      <c r="BE468" s="5">
        <f>SUM(MC_2[[#This Row],[IS1Inv1M1]:[IS9Inv19M2]])</f>
        <v>0</v>
      </c>
      <c r="BF468" s="119"/>
      <c r="BG468" s="119"/>
      <c r="BH468" s="119"/>
      <c r="BI468" s="119"/>
      <c r="BJ468" s="119"/>
      <c r="BK468" s="119"/>
      <c r="BL468" s="119"/>
    </row>
    <row r="469" spans="1:64">
      <c r="A469" s="119"/>
      <c r="B469" s="194"/>
      <c r="C469" s="195">
        <f>YEAR(MC_2[[#This Row],[Date]])+IF(MONTH(MC_2[[#This Row],[Date]])&gt;=4,1,0)</f>
        <v>1900</v>
      </c>
      <c r="D469" s="116">
        <f>YEAR(MC_2[[#This Row],[Date]])</f>
        <v>1900</v>
      </c>
      <c r="E469" s="196"/>
      <c r="F469" s="119"/>
      <c r="G469" s="5" t="str">
        <f>TEXT(MC_2[[#This Row],[Date]],"mmm-yy")</f>
        <v>Jan-00</v>
      </c>
      <c r="H469" s="5">
        <f>DAY(EOMONTH(MC_2[[#This Row],[Month Year]],0))</f>
        <v>31</v>
      </c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97"/>
      <c r="AN469" s="197"/>
      <c r="AO469" s="197"/>
      <c r="AP469" s="197"/>
      <c r="AQ469" s="197"/>
      <c r="AR469" s="197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  <c r="BC469" s="119"/>
      <c r="BD469" s="119"/>
      <c r="BE469" s="5">
        <f>SUM(MC_2[[#This Row],[IS1Inv1M1]:[IS9Inv19M2]])</f>
        <v>0</v>
      </c>
      <c r="BF469" s="119"/>
      <c r="BG469" s="119"/>
      <c r="BH469" s="119"/>
      <c r="BI469" s="119"/>
      <c r="BJ469" s="119"/>
      <c r="BK469" s="119"/>
      <c r="BL469" s="119"/>
    </row>
    <row r="470" spans="1:64">
      <c r="A470" s="119"/>
      <c r="B470" s="194"/>
      <c r="C470" s="195">
        <f>YEAR(MC_2[[#This Row],[Date]])+IF(MONTH(MC_2[[#This Row],[Date]])&gt;=4,1,0)</f>
        <v>1900</v>
      </c>
      <c r="D470" s="116">
        <f>YEAR(MC_2[[#This Row],[Date]])</f>
        <v>1900</v>
      </c>
      <c r="E470" s="196"/>
      <c r="F470" s="119"/>
      <c r="G470" s="5" t="str">
        <f>TEXT(MC_2[[#This Row],[Date]],"mmm-yy")</f>
        <v>Jan-00</v>
      </c>
      <c r="H470" s="5">
        <f>DAY(EOMONTH(MC_2[[#This Row],[Month Year]],0))</f>
        <v>31</v>
      </c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97"/>
      <c r="AN470" s="197"/>
      <c r="AO470" s="197"/>
      <c r="AP470" s="197"/>
      <c r="AQ470" s="197"/>
      <c r="AR470" s="197"/>
      <c r="AS470" s="119"/>
      <c r="AT470" s="119"/>
      <c r="AU470" s="119"/>
      <c r="AV470" s="119"/>
      <c r="AW470" s="119"/>
      <c r="AX470" s="119"/>
      <c r="AY470" s="119"/>
      <c r="AZ470" s="119"/>
      <c r="BA470" s="119"/>
      <c r="BB470" s="119"/>
      <c r="BC470" s="119"/>
      <c r="BD470" s="119"/>
      <c r="BE470" s="5">
        <f>SUM(MC_2[[#This Row],[IS1Inv1M1]:[IS9Inv19M2]])</f>
        <v>0</v>
      </c>
      <c r="BF470" s="119"/>
      <c r="BG470" s="119"/>
      <c r="BH470" s="119"/>
      <c r="BI470" s="119"/>
      <c r="BJ470" s="119"/>
      <c r="BK470" s="119"/>
      <c r="BL470" s="119"/>
    </row>
    <row r="471" spans="1:64">
      <c r="A471" s="119"/>
      <c r="B471" s="194"/>
      <c r="C471" s="195">
        <f>YEAR(MC_2[[#This Row],[Date]])+IF(MONTH(MC_2[[#This Row],[Date]])&gt;=4,1,0)</f>
        <v>1900</v>
      </c>
      <c r="D471" s="116">
        <f>YEAR(MC_2[[#This Row],[Date]])</f>
        <v>1900</v>
      </c>
      <c r="E471" s="196"/>
      <c r="F471" s="119"/>
      <c r="G471" s="5" t="str">
        <f>TEXT(MC_2[[#This Row],[Date]],"mmm-yy")</f>
        <v>Jan-00</v>
      </c>
      <c r="H471" s="5">
        <f>DAY(EOMONTH(MC_2[[#This Row],[Month Year]],0))</f>
        <v>31</v>
      </c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97"/>
      <c r="AN471" s="197"/>
      <c r="AO471" s="197"/>
      <c r="AP471" s="197"/>
      <c r="AQ471" s="197"/>
      <c r="AR471" s="197"/>
      <c r="AS471" s="119"/>
      <c r="AT471" s="119"/>
      <c r="AU471" s="119"/>
      <c r="AV471" s="119"/>
      <c r="AW471" s="119"/>
      <c r="AX471" s="119"/>
      <c r="AY471" s="119"/>
      <c r="AZ471" s="119"/>
      <c r="BA471" s="119"/>
      <c r="BB471" s="119"/>
      <c r="BC471" s="119"/>
      <c r="BD471" s="119"/>
      <c r="BE471" s="5">
        <f>SUM(MC_2[[#This Row],[IS1Inv1M1]:[IS9Inv19M2]])</f>
        <v>0</v>
      </c>
      <c r="BF471" s="119"/>
      <c r="BG471" s="119"/>
      <c r="BH471" s="119"/>
      <c r="BI471" s="119"/>
      <c r="BJ471" s="119"/>
      <c r="BK471" s="119"/>
      <c r="BL471" s="119"/>
    </row>
    <row r="472" spans="1:64">
      <c r="A472" s="119"/>
      <c r="B472" s="194"/>
      <c r="C472" s="195">
        <f>YEAR(MC_2[[#This Row],[Date]])+IF(MONTH(MC_2[[#This Row],[Date]])&gt;=4,1,0)</f>
        <v>1900</v>
      </c>
      <c r="D472" s="116">
        <f>YEAR(MC_2[[#This Row],[Date]])</f>
        <v>1900</v>
      </c>
      <c r="E472" s="196"/>
      <c r="F472" s="119"/>
      <c r="G472" s="5" t="str">
        <f>TEXT(MC_2[[#This Row],[Date]],"mmm-yy")</f>
        <v>Jan-00</v>
      </c>
      <c r="H472" s="5">
        <f>DAY(EOMONTH(MC_2[[#This Row],[Month Year]],0))</f>
        <v>31</v>
      </c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97"/>
      <c r="AN472" s="197"/>
      <c r="AO472" s="197"/>
      <c r="AP472" s="197"/>
      <c r="AQ472" s="197"/>
      <c r="AR472" s="197"/>
      <c r="AS472" s="119"/>
      <c r="AT472" s="119"/>
      <c r="AU472" s="119"/>
      <c r="AV472" s="119"/>
      <c r="AW472" s="119"/>
      <c r="AX472" s="119"/>
      <c r="AY472" s="119"/>
      <c r="AZ472" s="119"/>
      <c r="BA472" s="119"/>
      <c r="BB472" s="119"/>
      <c r="BC472" s="119"/>
      <c r="BD472" s="119"/>
      <c r="BE472" s="5">
        <f>SUM(MC_2[[#This Row],[IS1Inv1M1]:[IS9Inv19M2]])</f>
        <v>0</v>
      </c>
      <c r="BF472" s="119"/>
      <c r="BG472" s="119"/>
      <c r="BH472" s="119"/>
      <c r="BI472" s="119"/>
      <c r="BJ472" s="119"/>
      <c r="BK472" s="119"/>
      <c r="BL472" s="119"/>
    </row>
    <row r="473" spans="1:64">
      <c r="A473" s="119"/>
      <c r="B473" s="194"/>
      <c r="C473" s="195">
        <f>YEAR(MC_2[[#This Row],[Date]])+IF(MONTH(MC_2[[#This Row],[Date]])&gt;=4,1,0)</f>
        <v>1900</v>
      </c>
      <c r="D473" s="116">
        <f>YEAR(MC_2[[#This Row],[Date]])</f>
        <v>1900</v>
      </c>
      <c r="E473" s="196"/>
      <c r="F473" s="119"/>
      <c r="G473" s="5" t="str">
        <f>TEXT(MC_2[[#This Row],[Date]],"mmm-yy")</f>
        <v>Jan-00</v>
      </c>
      <c r="H473" s="5">
        <f>DAY(EOMONTH(MC_2[[#This Row],[Month Year]],0))</f>
        <v>31</v>
      </c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97"/>
      <c r="AN473" s="197"/>
      <c r="AO473" s="197"/>
      <c r="AP473" s="197"/>
      <c r="AQ473" s="197"/>
      <c r="AR473" s="197"/>
      <c r="AS473" s="119"/>
      <c r="AT473" s="119"/>
      <c r="AU473" s="119"/>
      <c r="AV473" s="119"/>
      <c r="AW473" s="119"/>
      <c r="AX473" s="119"/>
      <c r="AY473" s="119"/>
      <c r="AZ473" s="119"/>
      <c r="BA473" s="119"/>
      <c r="BB473" s="119"/>
      <c r="BC473" s="119"/>
      <c r="BD473" s="119"/>
      <c r="BE473" s="5">
        <f>SUM(MC_2[[#This Row],[IS1Inv1M1]:[IS9Inv19M2]])</f>
        <v>0</v>
      </c>
      <c r="BF473" s="119"/>
      <c r="BG473" s="119"/>
      <c r="BH473" s="119"/>
      <c r="BI473" s="119"/>
      <c r="BJ473" s="119"/>
      <c r="BK473" s="119"/>
      <c r="BL473" s="119"/>
    </row>
    <row r="474" spans="1:64">
      <c r="A474" s="119"/>
      <c r="B474" s="194"/>
      <c r="C474" s="195">
        <f>YEAR(MC_2[[#This Row],[Date]])+IF(MONTH(MC_2[[#This Row],[Date]])&gt;=4,1,0)</f>
        <v>1900</v>
      </c>
      <c r="D474" s="116">
        <f>YEAR(MC_2[[#This Row],[Date]])</f>
        <v>1900</v>
      </c>
      <c r="E474" s="196"/>
      <c r="F474" s="119"/>
      <c r="G474" s="5" t="str">
        <f>TEXT(MC_2[[#This Row],[Date]],"mmm-yy")</f>
        <v>Jan-00</v>
      </c>
      <c r="H474" s="5">
        <f>DAY(EOMONTH(MC_2[[#This Row],[Month Year]],0))</f>
        <v>31</v>
      </c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97"/>
      <c r="AN474" s="197"/>
      <c r="AO474" s="197"/>
      <c r="AP474" s="197"/>
      <c r="AQ474" s="197"/>
      <c r="AR474" s="197"/>
      <c r="AS474" s="119"/>
      <c r="AT474" s="119"/>
      <c r="AU474" s="119"/>
      <c r="AV474" s="119"/>
      <c r="AW474" s="119"/>
      <c r="AX474" s="119"/>
      <c r="AY474" s="119"/>
      <c r="AZ474" s="119"/>
      <c r="BA474" s="119"/>
      <c r="BB474" s="119"/>
      <c r="BC474" s="119"/>
      <c r="BD474" s="119"/>
      <c r="BE474" s="5">
        <f>SUM(MC_2[[#This Row],[IS1Inv1M1]:[IS9Inv19M2]])</f>
        <v>0</v>
      </c>
      <c r="BF474" s="119"/>
      <c r="BG474" s="119"/>
      <c r="BH474" s="119"/>
      <c r="BI474" s="119"/>
      <c r="BJ474" s="119"/>
      <c r="BK474" s="119"/>
      <c r="BL474" s="119"/>
    </row>
    <row r="475" spans="1:64">
      <c r="A475" s="119"/>
      <c r="B475" s="194"/>
      <c r="C475" s="195">
        <f>YEAR(MC_2[[#This Row],[Date]])+IF(MONTH(MC_2[[#This Row],[Date]])&gt;=4,1,0)</f>
        <v>1900</v>
      </c>
      <c r="D475" s="116">
        <f>YEAR(MC_2[[#This Row],[Date]])</f>
        <v>1900</v>
      </c>
      <c r="E475" s="196"/>
      <c r="F475" s="119"/>
      <c r="G475" s="5" t="str">
        <f>TEXT(MC_2[[#This Row],[Date]],"mmm-yy")</f>
        <v>Jan-00</v>
      </c>
      <c r="H475" s="5">
        <f>DAY(EOMONTH(MC_2[[#This Row],[Month Year]],0))</f>
        <v>31</v>
      </c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97"/>
      <c r="AN475" s="197"/>
      <c r="AO475" s="197"/>
      <c r="AP475" s="197"/>
      <c r="AQ475" s="197"/>
      <c r="AR475" s="197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  <c r="BC475" s="119"/>
      <c r="BD475" s="119"/>
      <c r="BE475" s="5">
        <f>SUM(MC_2[[#This Row],[IS1Inv1M1]:[IS9Inv19M2]])</f>
        <v>0</v>
      </c>
      <c r="BF475" s="119"/>
      <c r="BG475" s="119"/>
      <c r="BH475" s="119"/>
      <c r="BI475" s="119"/>
      <c r="BJ475" s="119"/>
      <c r="BK475" s="119"/>
      <c r="BL475" s="119"/>
    </row>
    <row r="476" spans="1:64">
      <c r="A476" s="119"/>
      <c r="B476" s="194"/>
      <c r="C476" s="195">
        <f>YEAR(MC_2[[#This Row],[Date]])+IF(MONTH(MC_2[[#This Row],[Date]])&gt;=4,1,0)</f>
        <v>1900</v>
      </c>
      <c r="D476" s="116">
        <f>YEAR(MC_2[[#This Row],[Date]])</f>
        <v>1900</v>
      </c>
      <c r="E476" s="196"/>
      <c r="F476" s="119"/>
      <c r="G476" s="5" t="str">
        <f>TEXT(MC_2[[#This Row],[Date]],"mmm-yy")</f>
        <v>Jan-00</v>
      </c>
      <c r="H476" s="5">
        <f>DAY(EOMONTH(MC_2[[#This Row],[Month Year]],0))</f>
        <v>31</v>
      </c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97"/>
      <c r="AN476" s="197"/>
      <c r="AO476" s="197"/>
      <c r="AP476" s="197"/>
      <c r="AQ476" s="197"/>
      <c r="AR476" s="197"/>
      <c r="AS476" s="119"/>
      <c r="AT476" s="119"/>
      <c r="AU476" s="119"/>
      <c r="AV476" s="119"/>
      <c r="AW476" s="119"/>
      <c r="AX476" s="119"/>
      <c r="AY476" s="119"/>
      <c r="AZ476" s="119"/>
      <c r="BA476" s="119"/>
      <c r="BB476" s="119"/>
      <c r="BC476" s="119"/>
      <c r="BD476" s="119"/>
      <c r="BE476" s="5">
        <f>SUM(MC_2[[#This Row],[IS1Inv1M1]:[IS9Inv19M2]])</f>
        <v>0</v>
      </c>
      <c r="BF476" s="119"/>
      <c r="BG476" s="119"/>
      <c r="BH476" s="119"/>
      <c r="BI476" s="119"/>
      <c r="BJ476" s="119"/>
      <c r="BK476" s="119"/>
      <c r="BL476" s="119"/>
    </row>
    <row r="477" spans="1:64">
      <c r="A477" s="119"/>
      <c r="B477" s="194"/>
      <c r="C477" s="195">
        <f>YEAR(MC_2[[#This Row],[Date]])+IF(MONTH(MC_2[[#This Row],[Date]])&gt;=4,1,0)</f>
        <v>1900</v>
      </c>
      <c r="D477" s="116">
        <f>YEAR(MC_2[[#This Row],[Date]])</f>
        <v>1900</v>
      </c>
      <c r="E477" s="196"/>
      <c r="F477" s="119"/>
      <c r="G477" s="5" t="str">
        <f>TEXT(MC_2[[#This Row],[Date]],"mmm-yy")</f>
        <v>Jan-00</v>
      </c>
      <c r="H477" s="5">
        <f>DAY(EOMONTH(MC_2[[#This Row],[Month Year]],0))</f>
        <v>31</v>
      </c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97"/>
      <c r="AN477" s="197"/>
      <c r="AO477" s="197"/>
      <c r="AP477" s="197"/>
      <c r="AQ477" s="197"/>
      <c r="AR477" s="197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  <c r="BC477" s="119"/>
      <c r="BD477" s="119"/>
      <c r="BE477" s="5">
        <f>SUM(MC_2[[#This Row],[IS1Inv1M1]:[IS9Inv19M2]])</f>
        <v>0</v>
      </c>
      <c r="BF477" s="119"/>
      <c r="BG477" s="119"/>
      <c r="BH477" s="119"/>
      <c r="BI477" s="119"/>
      <c r="BJ477" s="119"/>
      <c r="BK477" s="119"/>
      <c r="BL477" s="119"/>
    </row>
    <row r="478" spans="1:64">
      <c r="A478" s="119"/>
      <c r="B478" s="194"/>
      <c r="C478" s="195">
        <f>YEAR(MC_2[[#This Row],[Date]])+IF(MONTH(MC_2[[#This Row],[Date]])&gt;=4,1,0)</f>
        <v>1900</v>
      </c>
      <c r="D478" s="116">
        <f>YEAR(MC_2[[#This Row],[Date]])</f>
        <v>1900</v>
      </c>
      <c r="E478" s="196"/>
      <c r="F478" s="119"/>
      <c r="G478" s="5" t="str">
        <f>TEXT(MC_2[[#This Row],[Date]],"mmm-yy")</f>
        <v>Jan-00</v>
      </c>
      <c r="H478" s="5">
        <f>DAY(EOMONTH(MC_2[[#This Row],[Month Year]],0))</f>
        <v>31</v>
      </c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97"/>
      <c r="AN478" s="197"/>
      <c r="AO478" s="197"/>
      <c r="AP478" s="197"/>
      <c r="AQ478" s="197"/>
      <c r="AR478" s="197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  <c r="BC478" s="119"/>
      <c r="BD478" s="119"/>
      <c r="BE478" s="5">
        <f>SUM(MC_2[[#This Row],[IS1Inv1M1]:[IS9Inv19M2]])</f>
        <v>0</v>
      </c>
      <c r="BF478" s="119"/>
      <c r="BG478" s="119"/>
      <c r="BH478" s="119"/>
      <c r="BI478" s="119"/>
      <c r="BJ478" s="119"/>
      <c r="BK478" s="119"/>
      <c r="BL478" s="119"/>
    </row>
    <row r="479" spans="1:64">
      <c r="A479" s="119"/>
      <c r="B479" s="194"/>
      <c r="C479" s="195">
        <f>YEAR(MC_2[[#This Row],[Date]])+IF(MONTH(MC_2[[#This Row],[Date]])&gt;=4,1,0)</f>
        <v>1900</v>
      </c>
      <c r="D479" s="116">
        <f>YEAR(MC_2[[#This Row],[Date]])</f>
        <v>1900</v>
      </c>
      <c r="E479" s="196"/>
      <c r="F479" s="119"/>
      <c r="G479" s="5" t="str">
        <f>TEXT(MC_2[[#This Row],[Date]],"mmm-yy")</f>
        <v>Jan-00</v>
      </c>
      <c r="H479" s="5">
        <f>DAY(EOMONTH(MC_2[[#This Row],[Month Year]],0))</f>
        <v>31</v>
      </c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97"/>
      <c r="AN479" s="197"/>
      <c r="AO479" s="197"/>
      <c r="AP479" s="197"/>
      <c r="AQ479" s="197"/>
      <c r="AR479" s="197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  <c r="BC479" s="119"/>
      <c r="BD479" s="119"/>
      <c r="BE479" s="5">
        <f>SUM(MC_2[[#This Row],[IS1Inv1M1]:[IS9Inv19M2]])</f>
        <v>0</v>
      </c>
      <c r="BF479" s="119"/>
      <c r="BG479" s="119"/>
      <c r="BH479" s="119"/>
      <c r="BI479" s="119"/>
      <c r="BJ479" s="119"/>
      <c r="BK479" s="119"/>
      <c r="BL479" s="119"/>
    </row>
    <row r="480" spans="1:64">
      <c r="A480" s="119"/>
      <c r="B480" s="194"/>
      <c r="C480" s="195">
        <f>YEAR(MC_2[[#This Row],[Date]])+IF(MONTH(MC_2[[#This Row],[Date]])&gt;=4,1,0)</f>
        <v>1900</v>
      </c>
      <c r="D480" s="116">
        <f>YEAR(MC_2[[#This Row],[Date]])</f>
        <v>1900</v>
      </c>
      <c r="E480" s="196"/>
      <c r="F480" s="119"/>
      <c r="G480" s="5" t="str">
        <f>TEXT(MC_2[[#This Row],[Date]],"mmm-yy")</f>
        <v>Jan-00</v>
      </c>
      <c r="H480" s="5">
        <f>DAY(EOMONTH(MC_2[[#This Row],[Month Year]],0))</f>
        <v>31</v>
      </c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97"/>
      <c r="AN480" s="197"/>
      <c r="AO480" s="197"/>
      <c r="AP480" s="197"/>
      <c r="AQ480" s="197"/>
      <c r="AR480" s="197"/>
      <c r="AS480" s="119"/>
      <c r="AT480" s="119"/>
      <c r="AU480" s="119"/>
      <c r="AV480" s="119"/>
      <c r="AW480" s="119"/>
      <c r="AX480" s="119"/>
      <c r="AY480" s="119"/>
      <c r="AZ480" s="119"/>
      <c r="BA480" s="119"/>
      <c r="BB480" s="119"/>
      <c r="BC480" s="119"/>
      <c r="BD480" s="119"/>
      <c r="BE480" s="5">
        <f>SUM(MC_2[[#This Row],[IS1Inv1M1]:[IS9Inv19M2]])</f>
        <v>0</v>
      </c>
      <c r="BF480" s="119"/>
      <c r="BG480" s="119"/>
      <c r="BH480" s="119"/>
      <c r="BI480" s="119"/>
      <c r="BJ480" s="119"/>
      <c r="BK480" s="119"/>
      <c r="BL480" s="119"/>
    </row>
    <row r="481" spans="1:64">
      <c r="A481" s="119"/>
      <c r="B481" s="194"/>
      <c r="C481" s="195">
        <f>YEAR(MC_2[[#This Row],[Date]])+IF(MONTH(MC_2[[#This Row],[Date]])&gt;=4,1,0)</f>
        <v>1900</v>
      </c>
      <c r="D481" s="116">
        <f>YEAR(MC_2[[#This Row],[Date]])</f>
        <v>1900</v>
      </c>
      <c r="E481" s="196"/>
      <c r="F481" s="119"/>
      <c r="G481" s="5" t="str">
        <f>TEXT(MC_2[[#This Row],[Date]],"mmm-yy")</f>
        <v>Jan-00</v>
      </c>
      <c r="H481" s="5">
        <f>DAY(EOMONTH(MC_2[[#This Row],[Month Year]],0))</f>
        <v>31</v>
      </c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97"/>
      <c r="AN481" s="197"/>
      <c r="AO481" s="197"/>
      <c r="AP481" s="197"/>
      <c r="AQ481" s="197"/>
      <c r="AR481" s="197"/>
      <c r="AS481" s="119"/>
      <c r="AT481" s="119"/>
      <c r="AU481" s="119"/>
      <c r="AV481" s="119"/>
      <c r="AW481" s="119"/>
      <c r="AX481" s="119"/>
      <c r="AY481" s="119"/>
      <c r="AZ481" s="119"/>
      <c r="BA481" s="119"/>
      <c r="BB481" s="119"/>
      <c r="BC481" s="119"/>
      <c r="BD481" s="119"/>
      <c r="BE481" s="5">
        <f>SUM(MC_2[[#This Row],[IS1Inv1M1]:[IS9Inv19M2]])</f>
        <v>0</v>
      </c>
      <c r="BF481" s="119"/>
      <c r="BG481" s="119"/>
      <c r="BH481" s="119"/>
      <c r="BI481" s="119"/>
      <c r="BJ481" s="119"/>
      <c r="BK481" s="119"/>
      <c r="BL481" s="119"/>
    </row>
    <row r="482" spans="1:64">
      <c r="A482" s="119"/>
      <c r="B482" s="194"/>
      <c r="C482" s="195">
        <f>YEAR(MC_2[[#This Row],[Date]])+IF(MONTH(MC_2[[#This Row],[Date]])&gt;=4,1,0)</f>
        <v>1900</v>
      </c>
      <c r="D482" s="116">
        <f>YEAR(MC_2[[#This Row],[Date]])</f>
        <v>1900</v>
      </c>
      <c r="E482" s="196"/>
      <c r="F482" s="119"/>
      <c r="G482" s="5" t="str">
        <f>TEXT(MC_2[[#This Row],[Date]],"mmm-yy")</f>
        <v>Jan-00</v>
      </c>
      <c r="H482" s="5">
        <f>DAY(EOMONTH(MC_2[[#This Row],[Month Year]],0))</f>
        <v>31</v>
      </c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97"/>
      <c r="AN482" s="197"/>
      <c r="AO482" s="197"/>
      <c r="AP482" s="197"/>
      <c r="AQ482" s="197"/>
      <c r="AR482" s="197"/>
      <c r="AS482" s="119"/>
      <c r="AT482" s="119"/>
      <c r="AU482" s="119"/>
      <c r="AV482" s="119"/>
      <c r="AW482" s="119"/>
      <c r="AX482" s="119"/>
      <c r="AY482" s="119"/>
      <c r="AZ482" s="119"/>
      <c r="BA482" s="119"/>
      <c r="BB482" s="119"/>
      <c r="BC482" s="119"/>
      <c r="BD482" s="119"/>
      <c r="BE482" s="5">
        <f>SUM(MC_2[[#This Row],[IS1Inv1M1]:[IS9Inv19M2]])</f>
        <v>0</v>
      </c>
      <c r="BF482" s="119"/>
      <c r="BG482" s="119"/>
      <c r="BH482" s="119"/>
      <c r="BI482" s="119"/>
      <c r="BJ482" s="119"/>
      <c r="BK482" s="119"/>
      <c r="BL482" s="119"/>
    </row>
    <row r="483" spans="1:64">
      <c r="A483" s="119"/>
      <c r="B483" s="194"/>
      <c r="C483" s="195">
        <f>YEAR(MC_2[[#This Row],[Date]])+IF(MONTH(MC_2[[#This Row],[Date]])&gt;=4,1,0)</f>
        <v>1900</v>
      </c>
      <c r="D483" s="116">
        <f>YEAR(MC_2[[#This Row],[Date]])</f>
        <v>1900</v>
      </c>
      <c r="E483" s="196"/>
      <c r="F483" s="119"/>
      <c r="G483" s="5" t="str">
        <f>TEXT(MC_2[[#This Row],[Date]],"mmm-yy")</f>
        <v>Jan-00</v>
      </c>
      <c r="H483" s="5">
        <f>DAY(EOMONTH(MC_2[[#This Row],[Month Year]],0))</f>
        <v>31</v>
      </c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97"/>
      <c r="AN483" s="197"/>
      <c r="AO483" s="197"/>
      <c r="AP483" s="197"/>
      <c r="AQ483" s="197"/>
      <c r="AR483" s="197"/>
      <c r="AS483" s="119"/>
      <c r="AT483" s="119"/>
      <c r="AU483" s="119"/>
      <c r="AV483" s="119"/>
      <c r="AW483" s="119"/>
      <c r="AX483" s="119"/>
      <c r="AY483" s="119"/>
      <c r="AZ483" s="119"/>
      <c r="BA483" s="119"/>
      <c r="BB483" s="119"/>
      <c r="BC483" s="119"/>
      <c r="BD483" s="119"/>
      <c r="BE483" s="5">
        <f>SUM(MC_2[[#This Row],[IS1Inv1M1]:[IS9Inv19M2]])</f>
        <v>0</v>
      </c>
      <c r="BF483" s="119"/>
      <c r="BG483" s="119"/>
      <c r="BH483" s="119"/>
      <c r="BI483" s="119"/>
      <c r="BJ483" s="119"/>
      <c r="BK483" s="119"/>
      <c r="BL483" s="119"/>
    </row>
    <row r="484" spans="1:64">
      <c r="A484" s="119"/>
      <c r="B484" s="194"/>
      <c r="C484" s="195">
        <f>YEAR(MC_2[[#This Row],[Date]])+IF(MONTH(MC_2[[#This Row],[Date]])&gt;=4,1,0)</f>
        <v>1900</v>
      </c>
      <c r="D484" s="116">
        <f>YEAR(MC_2[[#This Row],[Date]])</f>
        <v>1900</v>
      </c>
      <c r="E484" s="196"/>
      <c r="F484" s="119"/>
      <c r="G484" s="5" t="str">
        <f>TEXT(MC_2[[#This Row],[Date]],"mmm-yy")</f>
        <v>Jan-00</v>
      </c>
      <c r="H484" s="5">
        <f>DAY(EOMONTH(MC_2[[#This Row],[Month Year]],0))</f>
        <v>31</v>
      </c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97"/>
      <c r="AN484" s="197"/>
      <c r="AO484" s="197"/>
      <c r="AP484" s="197"/>
      <c r="AQ484" s="197"/>
      <c r="AR484" s="197"/>
      <c r="AS484" s="119"/>
      <c r="AT484" s="119"/>
      <c r="AU484" s="119"/>
      <c r="AV484" s="119"/>
      <c r="AW484" s="119"/>
      <c r="AX484" s="119"/>
      <c r="AY484" s="119"/>
      <c r="AZ484" s="119"/>
      <c r="BA484" s="119"/>
      <c r="BB484" s="119"/>
      <c r="BC484" s="119"/>
      <c r="BD484" s="119"/>
      <c r="BE484" s="5">
        <f>SUM(MC_2[[#This Row],[IS1Inv1M1]:[IS9Inv19M2]])</f>
        <v>0</v>
      </c>
      <c r="BF484" s="119"/>
      <c r="BG484" s="119"/>
      <c r="BH484" s="119"/>
      <c r="BI484" s="119"/>
      <c r="BJ484" s="119"/>
      <c r="BK484" s="119"/>
      <c r="BL484" s="119"/>
    </row>
    <row r="485" spans="1:64">
      <c r="A485" s="119"/>
      <c r="B485" s="194"/>
      <c r="C485" s="195">
        <f>YEAR(MC_2[[#This Row],[Date]])+IF(MONTH(MC_2[[#This Row],[Date]])&gt;=4,1,0)</f>
        <v>1900</v>
      </c>
      <c r="D485" s="116">
        <f>YEAR(MC_2[[#This Row],[Date]])</f>
        <v>1900</v>
      </c>
      <c r="E485" s="196"/>
      <c r="F485" s="119"/>
      <c r="G485" s="5" t="str">
        <f>TEXT(MC_2[[#This Row],[Date]],"mmm-yy")</f>
        <v>Jan-00</v>
      </c>
      <c r="H485" s="5">
        <f>DAY(EOMONTH(MC_2[[#This Row],[Month Year]],0))</f>
        <v>31</v>
      </c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97"/>
      <c r="AN485" s="197"/>
      <c r="AO485" s="197"/>
      <c r="AP485" s="197"/>
      <c r="AQ485" s="197"/>
      <c r="AR485" s="197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  <c r="BC485" s="119"/>
      <c r="BD485" s="119"/>
      <c r="BE485" s="5">
        <f>SUM(MC_2[[#This Row],[IS1Inv1M1]:[IS9Inv19M2]])</f>
        <v>0</v>
      </c>
      <c r="BF485" s="119"/>
      <c r="BG485" s="119"/>
      <c r="BH485" s="119"/>
      <c r="BI485" s="119"/>
      <c r="BJ485" s="119"/>
      <c r="BK485" s="119"/>
      <c r="BL485" s="119"/>
    </row>
    <row r="486" spans="1:64">
      <c r="A486" s="119"/>
      <c r="B486" s="194"/>
      <c r="C486" s="195">
        <f>YEAR(MC_2[[#This Row],[Date]])+IF(MONTH(MC_2[[#This Row],[Date]])&gt;=4,1,0)</f>
        <v>1900</v>
      </c>
      <c r="D486" s="116">
        <f>YEAR(MC_2[[#This Row],[Date]])</f>
        <v>1900</v>
      </c>
      <c r="E486" s="196"/>
      <c r="F486" s="119"/>
      <c r="G486" s="5" t="str">
        <f>TEXT(MC_2[[#This Row],[Date]],"mmm-yy")</f>
        <v>Jan-00</v>
      </c>
      <c r="H486" s="5">
        <f>DAY(EOMONTH(MC_2[[#This Row],[Month Year]],0))</f>
        <v>31</v>
      </c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97"/>
      <c r="AN486" s="197"/>
      <c r="AO486" s="197"/>
      <c r="AP486" s="197"/>
      <c r="AQ486" s="197"/>
      <c r="AR486" s="197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  <c r="BC486" s="119"/>
      <c r="BD486" s="119"/>
      <c r="BE486" s="5">
        <f>SUM(MC_2[[#This Row],[IS1Inv1M1]:[IS9Inv19M2]])</f>
        <v>0</v>
      </c>
      <c r="BF486" s="119"/>
      <c r="BG486" s="119"/>
      <c r="BH486" s="119"/>
      <c r="BI486" s="119"/>
      <c r="BJ486" s="119"/>
      <c r="BK486" s="119"/>
      <c r="BL486" s="119"/>
    </row>
    <row r="487" spans="1:64">
      <c r="A487" s="119"/>
      <c r="B487" s="194"/>
      <c r="C487" s="195">
        <f>YEAR(MC_2[[#This Row],[Date]])+IF(MONTH(MC_2[[#This Row],[Date]])&gt;=4,1,0)</f>
        <v>1900</v>
      </c>
      <c r="D487" s="116">
        <f>YEAR(MC_2[[#This Row],[Date]])</f>
        <v>1900</v>
      </c>
      <c r="E487" s="196"/>
      <c r="F487" s="119"/>
      <c r="G487" s="5" t="str">
        <f>TEXT(MC_2[[#This Row],[Date]],"mmm-yy")</f>
        <v>Jan-00</v>
      </c>
      <c r="H487" s="5">
        <f>DAY(EOMONTH(MC_2[[#This Row],[Month Year]],0))</f>
        <v>31</v>
      </c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97"/>
      <c r="AN487" s="197"/>
      <c r="AO487" s="197"/>
      <c r="AP487" s="197"/>
      <c r="AQ487" s="197"/>
      <c r="AR487" s="197"/>
      <c r="AS487" s="119"/>
      <c r="AT487" s="119"/>
      <c r="AU487" s="119"/>
      <c r="AV487" s="119"/>
      <c r="AW487" s="119"/>
      <c r="AX487" s="119"/>
      <c r="AY487" s="119"/>
      <c r="AZ487" s="119"/>
      <c r="BA487" s="119"/>
      <c r="BB487" s="119"/>
      <c r="BC487" s="119"/>
      <c r="BD487" s="119"/>
      <c r="BE487" s="5">
        <f>SUM(MC_2[[#This Row],[IS1Inv1M1]:[IS9Inv19M2]])</f>
        <v>0</v>
      </c>
      <c r="BF487" s="119"/>
      <c r="BG487" s="119"/>
      <c r="BH487" s="119"/>
      <c r="BI487" s="119"/>
      <c r="BJ487" s="119"/>
      <c r="BK487" s="119"/>
      <c r="BL487" s="119"/>
    </row>
    <row r="488" spans="1:64">
      <c r="A488" s="119"/>
      <c r="B488" s="194"/>
      <c r="C488" s="195">
        <f>YEAR(MC_2[[#This Row],[Date]])+IF(MONTH(MC_2[[#This Row],[Date]])&gt;=4,1,0)</f>
        <v>1900</v>
      </c>
      <c r="D488" s="116">
        <f>YEAR(MC_2[[#This Row],[Date]])</f>
        <v>1900</v>
      </c>
      <c r="E488" s="196"/>
      <c r="F488" s="119"/>
      <c r="G488" s="5" t="str">
        <f>TEXT(MC_2[[#This Row],[Date]],"mmm-yy")</f>
        <v>Jan-00</v>
      </c>
      <c r="H488" s="5">
        <f>DAY(EOMONTH(MC_2[[#This Row],[Month Year]],0))</f>
        <v>31</v>
      </c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97"/>
      <c r="AN488" s="197"/>
      <c r="AO488" s="197"/>
      <c r="AP488" s="197"/>
      <c r="AQ488" s="197"/>
      <c r="AR488" s="197"/>
      <c r="AS488" s="119"/>
      <c r="AT488" s="119"/>
      <c r="AU488" s="119"/>
      <c r="AV488" s="119"/>
      <c r="AW488" s="119"/>
      <c r="AX488" s="119"/>
      <c r="AY488" s="119"/>
      <c r="AZ488" s="119"/>
      <c r="BA488" s="119"/>
      <c r="BB488" s="119"/>
      <c r="BC488" s="119"/>
      <c r="BD488" s="119"/>
      <c r="BE488" s="5">
        <f>SUM(MC_2[[#This Row],[IS1Inv1M1]:[IS9Inv19M2]])</f>
        <v>0</v>
      </c>
      <c r="BF488" s="119"/>
      <c r="BG488" s="119"/>
      <c r="BH488" s="119"/>
      <c r="BI488" s="119"/>
      <c r="BJ488" s="119"/>
      <c r="BK488" s="119"/>
      <c r="BL488" s="119"/>
    </row>
    <row r="489" spans="1:64">
      <c r="A489" s="119"/>
      <c r="B489" s="194"/>
      <c r="C489" s="195">
        <f>YEAR(MC_2[[#This Row],[Date]])+IF(MONTH(MC_2[[#This Row],[Date]])&gt;=4,1,0)</f>
        <v>1900</v>
      </c>
      <c r="D489" s="116">
        <f>YEAR(MC_2[[#This Row],[Date]])</f>
        <v>1900</v>
      </c>
      <c r="E489" s="196"/>
      <c r="F489" s="119"/>
      <c r="G489" s="5" t="str">
        <f>TEXT(MC_2[[#This Row],[Date]],"mmm-yy")</f>
        <v>Jan-00</v>
      </c>
      <c r="H489" s="5">
        <f>DAY(EOMONTH(MC_2[[#This Row],[Month Year]],0))</f>
        <v>31</v>
      </c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97"/>
      <c r="AN489" s="197"/>
      <c r="AO489" s="197"/>
      <c r="AP489" s="197"/>
      <c r="AQ489" s="197"/>
      <c r="AR489" s="197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  <c r="BC489" s="119"/>
      <c r="BD489" s="119"/>
      <c r="BE489" s="5">
        <f>SUM(MC_2[[#This Row],[IS1Inv1M1]:[IS9Inv19M2]])</f>
        <v>0</v>
      </c>
      <c r="BF489" s="119"/>
      <c r="BG489" s="119"/>
      <c r="BH489" s="119"/>
      <c r="BI489" s="119"/>
      <c r="BJ489" s="119"/>
      <c r="BK489" s="119"/>
      <c r="BL489" s="119"/>
    </row>
    <row r="490" spans="1:64">
      <c r="A490" s="119"/>
      <c r="B490" s="194"/>
      <c r="C490" s="195">
        <f>YEAR(MC_2[[#This Row],[Date]])+IF(MONTH(MC_2[[#This Row],[Date]])&gt;=4,1,0)</f>
        <v>1900</v>
      </c>
      <c r="D490" s="116">
        <f>YEAR(MC_2[[#This Row],[Date]])</f>
        <v>1900</v>
      </c>
      <c r="E490" s="196"/>
      <c r="F490" s="119"/>
      <c r="G490" s="5" t="str">
        <f>TEXT(MC_2[[#This Row],[Date]],"mmm-yy")</f>
        <v>Jan-00</v>
      </c>
      <c r="H490" s="5">
        <f>DAY(EOMONTH(MC_2[[#This Row],[Month Year]],0))</f>
        <v>31</v>
      </c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97"/>
      <c r="AN490" s="197"/>
      <c r="AO490" s="197"/>
      <c r="AP490" s="197"/>
      <c r="AQ490" s="197"/>
      <c r="AR490" s="197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  <c r="BC490" s="119"/>
      <c r="BD490" s="119"/>
      <c r="BE490" s="5">
        <f>SUM(MC_2[[#This Row],[IS1Inv1M1]:[IS9Inv19M2]])</f>
        <v>0</v>
      </c>
      <c r="BF490" s="119"/>
      <c r="BG490" s="119"/>
      <c r="BH490" s="119"/>
      <c r="BI490" s="119"/>
      <c r="BJ490" s="119"/>
      <c r="BK490" s="119"/>
      <c r="BL490" s="119"/>
    </row>
    <row r="491" spans="1:64">
      <c r="A491" s="119"/>
      <c r="B491" s="194"/>
      <c r="C491" s="195">
        <f>YEAR(MC_2[[#This Row],[Date]])+IF(MONTH(MC_2[[#This Row],[Date]])&gt;=4,1,0)</f>
        <v>1900</v>
      </c>
      <c r="D491" s="116">
        <f>YEAR(MC_2[[#This Row],[Date]])</f>
        <v>1900</v>
      </c>
      <c r="E491" s="196"/>
      <c r="F491" s="119"/>
      <c r="G491" s="5" t="str">
        <f>TEXT(MC_2[[#This Row],[Date]],"mmm-yy")</f>
        <v>Jan-00</v>
      </c>
      <c r="H491" s="5">
        <f>DAY(EOMONTH(MC_2[[#This Row],[Month Year]],0))</f>
        <v>31</v>
      </c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97"/>
      <c r="AN491" s="197"/>
      <c r="AO491" s="197"/>
      <c r="AP491" s="197"/>
      <c r="AQ491" s="197"/>
      <c r="AR491" s="197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  <c r="BC491" s="119"/>
      <c r="BD491" s="119"/>
      <c r="BE491" s="5">
        <f>SUM(MC_2[[#This Row],[IS1Inv1M1]:[IS9Inv19M2]])</f>
        <v>0</v>
      </c>
      <c r="BF491" s="119"/>
      <c r="BG491" s="119"/>
      <c r="BH491" s="119"/>
      <c r="BI491" s="119"/>
      <c r="BJ491" s="119"/>
      <c r="BK491" s="119"/>
      <c r="BL491" s="119"/>
    </row>
    <row r="492" spans="1:64">
      <c r="A492" s="119"/>
      <c r="B492" s="194"/>
      <c r="C492" s="195">
        <f>YEAR(MC_2[[#This Row],[Date]])+IF(MONTH(MC_2[[#This Row],[Date]])&gt;=4,1,0)</f>
        <v>1900</v>
      </c>
      <c r="D492" s="116">
        <f>YEAR(MC_2[[#This Row],[Date]])</f>
        <v>1900</v>
      </c>
      <c r="E492" s="196"/>
      <c r="F492" s="119"/>
      <c r="G492" s="5" t="str">
        <f>TEXT(MC_2[[#This Row],[Date]],"mmm-yy")</f>
        <v>Jan-00</v>
      </c>
      <c r="H492" s="5">
        <f>DAY(EOMONTH(MC_2[[#This Row],[Month Year]],0))</f>
        <v>31</v>
      </c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97"/>
      <c r="AN492" s="197"/>
      <c r="AO492" s="197"/>
      <c r="AP492" s="197"/>
      <c r="AQ492" s="197"/>
      <c r="AR492" s="197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  <c r="BC492" s="119"/>
      <c r="BD492" s="119"/>
      <c r="BE492" s="5">
        <f>SUM(MC_2[[#This Row],[IS1Inv1M1]:[IS9Inv19M2]])</f>
        <v>0</v>
      </c>
      <c r="BF492" s="119"/>
      <c r="BG492" s="119"/>
      <c r="BH492" s="119"/>
      <c r="BI492" s="119"/>
      <c r="BJ492" s="119"/>
      <c r="BK492" s="119"/>
      <c r="BL492" s="119"/>
    </row>
    <row r="493" spans="1:64">
      <c r="A493" s="119"/>
      <c r="B493" s="194"/>
      <c r="C493" s="195">
        <f>YEAR(MC_2[[#This Row],[Date]])+IF(MONTH(MC_2[[#This Row],[Date]])&gt;=4,1,0)</f>
        <v>1900</v>
      </c>
      <c r="D493" s="116">
        <f>YEAR(MC_2[[#This Row],[Date]])</f>
        <v>1900</v>
      </c>
      <c r="E493" s="196"/>
      <c r="F493" s="119"/>
      <c r="G493" s="5" t="str">
        <f>TEXT(MC_2[[#This Row],[Date]],"mmm-yy")</f>
        <v>Jan-00</v>
      </c>
      <c r="H493" s="5">
        <f>DAY(EOMONTH(MC_2[[#This Row],[Month Year]],0))</f>
        <v>31</v>
      </c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97"/>
      <c r="AN493" s="197"/>
      <c r="AO493" s="197"/>
      <c r="AP493" s="197"/>
      <c r="AQ493" s="197"/>
      <c r="AR493" s="197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  <c r="BC493" s="119"/>
      <c r="BD493" s="119"/>
      <c r="BE493" s="5">
        <f>SUM(MC_2[[#This Row],[IS1Inv1M1]:[IS9Inv19M2]])</f>
        <v>0</v>
      </c>
      <c r="BF493" s="119"/>
      <c r="BG493" s="119"/>
      <c r="BH493" s="119"/>
      <c r="BI493" s="119"/>
      <c r="BJ493" s="119"/>
      <c r="BK493" s="119"/>
      <c r="BL493" s="119"/>
    </row>
    <row r="494" spans="1:64">
      <c r="A494" s="119"/>
      <c r="B494" s="194"/>
      <c r="C494" s="195">
        <f>YEAR(MC_2[[#This Row],[Date]])+IF(MONTH(MC_2[[#This Row],[Date]])&gt;=4,1,0)</f>
        <v>1900</v>
      </c>
      <c r="D494" s="116">
        <f>YEAR(MC_2[[#This Row],[Date]])</f>
        <v>1900</v>
      </c>
      <c r="E494" s="196"/>
      <c r="F494" s="119"/>
      <c r="G494" s="5" t="str">
        <f>TEXT(MC_2[[#This Row],[Date]],"mmm-yy")</f>
        <v>Jan-00</v>
      </c>
      <c r="H494" s="5">
        <f>DAY(EOMONTH(MC_2[[#This Row],[Month Year]],0))</f>
        <v>31</v>
      </c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97"/>
      <c r="AN494" s="197"/>
      <c r="AO494" s="197"/>
      <c r="AP494" s="197"/>
      <c r="AQ494" s="197"/>
      <c r="AR494" s="197"/>
      <c r="AS494" s="119"/>
      <c r="AT494" s="119"/>
      <c r="AU494" s="119"/>
      <c r="AV494" s="119"/>
      <c r="AW494" s="119"/>
      <c r="AX494" s="119"/>
      <c r="AY494" s="119"/>
      <c r="AZ494" s="119"/>
      <c r="BA494" s="119"/>
      <c r="BB494" s="119"/>
      <c r="BC494" s="119"/>
      <c r="BD494" s="119"/>
      <c r="BE494" s="5">
        <f>SUM(MC_2[[#This Row],[IS1Inv1M1]:[IS9Inv19M2]])</f>
        <v>0</v>
      </c>
      <c r="BF494" s="119"/>
      <c r="BG494" s="119"/>
      <c r="BH494" s="119"/>
      <c r="BI494" s="119"/>
      <c r="BJ494" s="119"/>
      <c r="BK494" s="119"/>
      <c r="BL494" s="119"/>
    </row>
    <row r="495" spans="1:64">
      <c r="A495" s="119"/>
      <c r="B495" s="194"/>
      <c r="C495" s="195">
        <f>YEAR(MC_2[[#This Row],[Date]])+IF(MONTH(MC_2[[#This Row],[Date]])&gt;=4,1,0)</f>
        <v>1900</v>
      </c>
      <c r="D495" s="116">
        <f>YEAR(MC_2[[#This Row],[Date]])</f>
        <v>1900</v>
      </c>
      <c r="E495" s="196"/>
      <c r="F495" s="119"/>
      <c r="G495" s="5" t="str">
        <f>TEXT(MC_2[[#This Row],[Date]],"mmm-yy")</f>
        <v>Jan-00</v>
      </c>
      <c r="H495" s="5">
        <f>DAY(EOMONTH(MC_2[[#This Row],[Month Year]],0))</f>
        <v>31</v>
      </c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97"/>
      <c r="AN495" s="197"/>
      <c r="AO495" s="197"/>
      <c r="AP495" s="197"/>
      <c r="AQ495" s="197"/>
      <c r="AR495" s="197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  <c r="BC495" s="119"/>
      <c r="BD495" s="119"/>
      <c r="BE495" s="5">
        <f>SUM(MC_2[[#This Row],[IS1Inv1M1]:[IS9Inv19M2]])</f>
        <v>0</v>
      </c>
      <c r="BF495" s="119"/>
      <c r="BG495" s="119"/>
      <c r="BH495" s="119"/>
      <c r="BI495" s="119"/>
      <c r="BJ495" s="119"/>
      <c r="BK495" s="119"/>
      <c r="BL495" s="119"/>
    </row>
    <row r="496" spans="1:64">
      <c r="A496" s="119"/>
      <c r="B496" s="194"/>
      <c r="C496" s="195">
        <f>YEAR(MC_2[[#This Row],[Date]])+IF(MONTH(MC_2[[#This Row],[Date]])&gt;=4,1,0)</f>
        <v>1900</v>
      </c>
      <c r="D496" s="116">
        <f>YEAR(MC_2[[#This Row],[Date]])</f>
        <v>1900</v>
      </c>
      <c r="E496" s="196"/>
      <c r="F496" s="119"/>
      <c r="G496" s="5" t="str">
        <f>TEXT(MC_2[[#This Row],[Date]],"mmm-yy")</f>
        <v>Jan-00</v>
      </c>
      <c r="H496" s="5">
        <f>DAY(EOMONTH(MC_2[[#This Row],[Month Year]],0))</f>
        <v>31</v>
      </c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97"/>
      <c r="AN496" s="197"/>
      <c r="AO496" s="197"/>
      <c r="AP496" s="197"/>
      <c r="AQ496" s="197"/>
      <c r="AR496" s="197"/>
      <c r="AS496" s="119"/>
      <c r="AT496" s="119"/>
      <c r="AU496" s="119"/>
      <c r="AV496" s="119"/>
      <c r="AW496" s="119"/>
      <c r="AX496" s="119"/>
      <c r="AY496" s="119"/>
      <c r="AZ496" s="119"/>
      <c r="BA496" s="119"/>
      <c r="BB496" s="119"/>
      <c r="BC496" s="119"/>
      <c r="BD496" s="119"/>
      <c r="BE496" s="5">
        <f>SUM(MC_2[[#This Row],[IS1Inv1M1]:[IS9Inv19M2]])</f>
        <v>0</v>
      </c>
      <c r="BF496" s="119"/>
      <c r="BG496" s="119"/>
      <c r="BH496" s="119"/>
      <c r="BI496" s="119"/>
      <c r="BJ496" s="119"/>
      <c r="BK496" s="119"/>
      <c r="BL496" s="119"/>
    </row>
    <row r="497" spans="1:64">
      <c r="A497" s="119"/>
      <c r="B497" s="194"/>
      <c r="C497" s="195">
        <f>YEAR(MC_2[[#This Row],[Date]])+IF(MONTH(MC_2[[#This Row],[Date]])&gt;=4,1,0)</f>
        <v>1900</v>
      </c>
      <c r="D497" s="116">
        <f>YEAR(MC_2[[#This Row],[Date]])</f>
        <v>1900</v>
      </c>
      <c r="E497" s="196"/>
      <c r="F497" s="119"/>
      <c r="G497" s="5" t="str">
        <f>TEXT(MC_2[[#This Row],[Date]],"mmm-yy")</f>
        <v>Jan-00</v>
      </c>
      <c r="H497" s="5">
        <f>DAY(EOMONTH(MC_2[[#This Row],[Month Year]],0))</f>
        <v>31</v>
      </c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97"/>
      <c r="AN497" s="197"/>
      <c r="AO497" s="197"/>
      <c r="AP497" s="197"/>
      <c r="AQ497" s="197"/>
      <c r="AR497" s="197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  <c r="BC497" s="119"/>
      <c r="BD497" s="119"/>
      <c r="BE497" s="5">
        <f>SUM(MC_2[[#This Row],[IS1Inv1M1]:[IS9Inv19M2]])</f>
        <v>0</v>
      </c>
      <c r="BF497" s="119"/>
      <c r="BG497" s="119"/>
      <c r="BH497" s="119"/>
      <c r="BI497" s="119"/>
      <c r="BJ497" s="119"/>
      <c r="BK497" s="119"/>
      <c r="BL497" s="119"/>
    </row>
    <row r="498" spans="1:64">
      <c r="A498" s="119"/>
      <c r="B498" s="194"/>
      <c r="C498" s="195">
        <f>YEAR(MC_2[[#This Row],[Date]])+IF(MONTH(MC_2[[#This Row],[Date]])&gt;=4,1,0)</f>
        <v>1900</v>
      </c>
      <c r="D498" s="116">
        <f>YEAR(MC_2[[#This Row],[Date]])</f>
        <v>1900</v>
      </c>
      <c r="E498" s="196"/>
      <c r="F498" s="119"/>
      <c r="G498" s="5" t="str">
        <f>TEXT(MC_2[[#This Row],[Date]],"mmm-yy")</f>
        <v>Jan-00</v>
      </c>
      <c r="H498" s="5">
        <f>DAY(EOMONTH(MC_2[[#This Row],[Month Year]],0))</f>
        <v>31</v>
      </c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97"/>
      <c r="AN498" s="197"/>
      <c r="AO498" s="197"/>
      <c r="AP498" s="197"/>
      <c r="AQ498" s="197"/>
      <c r="AR498" s="197"/>
      <c r="AS498" s="119"/>
      <c r="AT498" s="119"/>
      <c r="AU498" s="119"/>
      <c r="AV498" s="119"/>
      <c r="AW498" s="119"/>
      <c r="AX498" s="119"/>
      <c r="AY498" s="119"/>
      <c r="AZ498" s="119"/>
      <c r="BA498" s="119"/>
      <c r="BB498" s="119"/>
      <c r="BC498" s="119"/>
      <c r="BD498" s="119"/>
      <c r="BE498" s="5">
        <f>SUM(MC_2[[#This Row],[IS1Inv1M1]:[IS9Inv19M2]])</f>
        <v>0</v>
      </c>
      <c r="BF498" s="119"/>
      <c r="BG498" s="119"/>
      <c r="BH498" s="119"/>
      <c r="BI498" s="119"/>
      <c r="BJ498" s="119"/>
      <c r="BK498" s="119"/>
      <c r="BL498" s="119"/>
    </row>
    <row r="499" spans="1:64">
      <c r="A499" s="119"/>
      <c r="B499" s="194"/>
      <c r="C499" s="195">
        <f>YEAR(MC_2[[#This Row],[Date]])+IF(MONTH(MC_2[[#This Row],[Date]])&gt;=4,1,0)</f>
        <v>1900</v>
      </c>
      <c r="D499" s="116">
        <f>YEAR(MC_2[[#This Row],[Date]])</f>
        <v>1900</v>
      </c>
      <c r="E499" s="196"/>
      <c r="F499" s="119"/>
      <c r="G499" s="5" t="str">
        <f>TEXT(MC_2[[#This Row],[Date]],"mmm-yy")</f>
        <v>Jan-00</v>
      </c>
      <c r="H499" s="5">
        <f>DAY(EOMONTH(MC_2[[#This Row],[Month Year]],0))</f>
        <v>31</v>
      </c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97"/>
      <c r="AN499" s="197"/>
      <c r="AO499" s="197"/>
      <c r="AP499" s="197"/>
      <c r="AQ499" s="197"/>
      <c r="AR499" s="197"/>
      <c r="AS499" s="119"/>
      <c r="AT499" s="119"/>
      <c r="AU499" s="119"/>
      <c r="AV499" s="119"/>
      <c r="AW499" s="119"/>
      <c r="AX499" s="119"/>
      <c r="AY499" s="119"/>
      <c r="AZ499" s="119"/>
      <c r="BA499" s="119"/>
      <c r="BB499" s="119"/>
      <c r="BC499" s="119"/>
      <c r="BD499" s="119"/>
      <c r="BE499" s="5">
        <f>SUM(MC_2[[#This Row],[IS1Inv1M1]:[IS9Inv19M2]])</f>
        <v>0</v>
      </c>
      <c r="BF499" s="119"/>
      <c r="BG499" s="119"/>
      <c r="BH499" s="119"/>
      <c r="BI499" s="119"/>
      <c r="BJ499" s="119"/>
      <c r="BK499" s="119"/>
      <c r="BL499" s="119"/>
    </row>
    <row r="500" spans="1:64">
      <c r="A500" s="119"/>
      <c r="B500" s="194"/>
      <c r="C500" s="195">
        <f>YEAR(MC_2[[#This Row],[Date]])+IF(MONTH(MC_2[[#This Row],[Date]])&gt;=4,1,0)</f>
        <v>1900</v>
      </c>
      <c r="D500" s="116">
        <f>YEAR(MC_2[[#This Row],[Date]])</f>
        <v>1900</v>
      </c>
      <c r="E500" s="196"/>
      <c r="F500" s="119"/>
      <c r="G500" s="5" t="str">
        <f>TEXT(MC_2[[#This Row],[Date]],"mmm-yy")</f>
        <v>Jan-00</v>
      </c>
      <c r="H500" s="5">
        <f>DAY(EOMONTH(MC_2[[#This Row],[Month Year]],0))</f>
        <v>31</v>
      </c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97"/>
      <c r="AN500" s="197"/>
      <c r="AO500" s="197"/>
      <c r="AP500" s="197"/>
      <c r="AQ500" s="197"/>
      <c r="AR500" s="197"/>
      <c r="AS500" s="119"/>
      <c r="AT500" s="119"/>
      <c r="AU500" s="119"/>
      <c r="AV500" s="119"/>
      <c r="AW500" s="119"/>
      <c r="AX500" s="119"/>
      <c r="AY500" s="119"/>
      <c r="AZ500" s="119"/>
      <c r="BA500" s="119"/>
      <c r="BB500" s="119"/>
      <c r="BC500" s="119"/>
      <c r="BD500" s="119"/>
      <c r="BE500" s="5">
        <f>SUM(MC_2[[#This Row],[IS1Inv1M1]:[IS9Inv19M2]])</f>
        <v>0</v>
      </c>
      <c r="BF500" s="119"/>
      <c r="BG500" s="119"/>
      <c r="BH500" s="119"/>
      <c r="BI500" s="119"/>
      <c r="BJ500" s="119"/>
      <c r="BK500" s="119"/>
      <c r="BL500" s="119"/>
    </row>
    <row r="501" spans="1:64">
      <c r="A501" s="119"/>
      <c r="B501" s="194"/>
      <c r="C501" s="195">
        <f>YEAR(MC_2[[#This Row],[Date]])+IF(MONTH(MC_2[[#This Row],[Date]])&gt;=4,1,0)</f>
        <v>1900</v>
      </c>
      <c r="D501" s="116">
        <f>YEAR(MC_2[[#This Row],[Date]])</f>
        <v>1900</v>
      </c>
      <c r="E501" s="196"/>
      <c r="F501" s="119"/>
      <c r="G501" s="5" t="str">
        <f>TEXT(MC_2[[#This Row],[Date]],"mmm-yy")</f>
        <v>Jan-00</v>
      </c>
      <c r="H501" s="5">
        <f>DAY(EOMONTH(MC_2[[#This Row],[Month Year]],0))</f>
        <v>31</v>
      </c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97"/>
      <c r="AN501" s="197"/>
      <c r="AO501" s="197"/>
      <c r="AP501" s="197"/>
      <c r="AQ501" s="197"/>
      <c r="AR501" s="197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  <c r="BC501" s="119"/>
      <c r="BD501" s="119"/>
      <c r="BE501" s="5">
        <f>SUM(MC_2[[#This Row],[IS1Inv1M1]:[IS9Inv19M2]])</f>
        <v>0</v>
      </c>
      <c r="BF501" s="119"/>
      <c r="BG501" s="119"/>
      <c r="BH501" s="119"/>
      <c r="BI501" s="119"/>
      <c r="BJ501" s="119"/>
      <c r="BK501" s="119"/>
      <c r="BL501" s="119"/>
    </row>
    <row r="502" spans="1:64">
      <c r="A502" s="119"/>
      <c r="B502" s="194"/>
      <c r="C502" s="195">
        <f>YEAR(MC_2[[#This Row],[Date]])+IF(MONTH(MC_2[[#This Row],[Date]])&gt;=4,1,0)</f>
        <v>1900</v>
      </c>
      <c r="D502" s="116">
        <f>YEAR(MC_2[[#This Row],[Date]])</f>
        <v>1900</v>
      </c>
      <c r="E502" s="196"/>
      <c r="F502" s="119"/>
      <c r="G502" s="5" t="str">
        <f>TEXT(MC_2[[#This Row],[Date]],"mmm-yy")</f>
        <v>Jan-00</v>
      </c>
      <c r="H502" s="5">
        <f>DAY(EOMONTH(MC_2[[#This Row],[Month Year]],0))</f>
        <v>31</v>
      </c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97"/>
      <c r="AN502" s="197"/>
      <c r="AO502" s="197"/>
      <c r="AP502" s="197"/>
      <c r="AQ502" s="197"/>
      <c r="AR502" s="197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  <c r="BC502" s="119"/>
      <c r="BD502" s="119"/>
      <c r="BE502" s="5">
        <f>SUM(MC_2[[#This Row],[IS1Inv1M1]:[IS9Inv19M2]])</f>
        <v>0</v>
      </c>
      <c r="BF502" s="119"/>
      <c r="BG502" s="119"/>
      <c r="BH502" s="119"/>
      <c r="BI502" s="119"/>
      <c r="BJ502" s="119"/>
      <c r="BK502" s="119"/>
      <c r="BL502" s="119"/>
    </row>
  </sheetData>
  <phoneticPr fontId="79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270"/>
  <sheetViews>
    <sheetView topLeftCell="A2" zoomScale="86" zoomScaleNormal="86" workbookViewId="0">
      <pane xSplit="2" ySplit="1" topLeftCell="C213" activePane="bottomRight" state="frozen"/>
      <selection pane="bottomRight" activeCell="N207" sqref="N207"/>
      <selection pane="bottomLeft" activeCell="A3" sqref="A3"/>
      <selection pane="topRight" activeCell="C2" sqref="C2"/>
    </sheetView>
  </sheetViews>
  <sheetFormatPr defaultColWidth="8.875" defaultRowHeight="15"/>
  <cols>
    <col min="1" max="1" width="13.125" customWidth="1"/>
    <col min="2" max="2" width="11.125" customWidth="1"/>
    <col min="3" max="6" width="13.125" customWidth="1"/>
    <col min="7" max="7" width="10.875" style="5" customWidth="1"/>
    <col min="8" max="8" width="9.125" style="5"/>
    <col min="10" max="34" width="13.125" customWidth="1"/>
    <col min="35" max="36" width="11.875" bestFit="1" customWidth="1"/>
    <col min="37" max="40" width="13.125" customWidth="1"/>
    <col min="41" max="41" width="16.125" customWidth="1"/>
    <col min="42" max="42" width="48.1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1215</v>
      </c>
      <c r="F2" s="110" t="s">
        <v>323</v>
      </c>
      <c r="G2" s="110" t="s">
        <v>71</v>
      </c>
      <c r="H2" s="110" t="s">
        <v>47</v>
      </c>
      <c r="I2" s="110" t="s">
        <v>1216</v>
      </c>
      <c r="J2" s="110" t="s">
        <v>1217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1218</v>
      </c>
      <c r="T2" s="141" t="s">
        <v>1219</v>
      </c>
      <c r="U2" s="141" t="s">
        <v>1220</v>
      </c>
      <c r="V2" s="141" t="s">
        <v>1221</v>
      </c>
      <c r="W2" s="141" t="s">
        <v>1222</v>
      </c>
      <c r="X2" s="141" t="s">
        <v>1223</v>
      </c>
      <c r="Y2" s="141" t="s">
        <v>1224</v>
      </c>
      <c r="Z2" s="141" t="s">
        <v>1225</v>
      </c>
      <c r="AA2" s="49" t="s">
        <v>1226</v>
      </c>
      <c r="AB2" s="49" t="s">
        <v>1227</v>
      </c>
      <c r="AC2" s="49" t="s">
        <v>1228</v>
      </c>
      <c r="AD2" s="49" t="s">
        <v>1229</v>
      </c>
      <c r="AE2" s="49" t="s">
        <v>1230</v>
      </c>
      <c r="AF2" s="49" t="s">
        <v>1231</v>
      </c>
      <c r="AG2" s="49" t="s">
        <v>1232</v>
      </c>
      <c r="AH2" s="49" t="s">
        <v>1233</v>
      </c>
      <c r="AI2" s="49" t="s">
        <v>1234</v>
      </c>
      <c r="AJ2" s="49" t="s">
        <v>1235</v>
      </c>
      <c r="AK2" s="49" t="s">
        <v>1236</v>
      </c>
      <c r="AL2" s="49" t="s">
        <v>1237</v>
      </c>
      <c r="AM2" s="110" t="s">
        <v>1272</v>
      </c>
      <c r="AN2" s="110" t="s">
        <v>1273</v>
      </c>
      <c r="AO2" s="110" t="s">
        <v>1245</v>
      </c>
    </row>
    <row r="3" spans="1:41">
      <c r="A3" s="112">
        <v>1</v>
      </c>
      <c r="B3" s="113">
        <v>45474</v>
      </c>
      <c r="C3" s="114">
        <f>YEAR(GC[[#This Row],[Date]])+IF(MONTH(GC[[#This Row],[Date]])&gt;=4,1,0)</f>
        <v>2025</v>
      </c>
      <c r="D3" s="115">
        <f>YEAR(GC[[#This Row],[Date]])</f>
        <v>2024</v>
      </c>
      <c r="E3" s="112" t="s">
        <v>340</v>
      </c>
      <c r="F3" s="112" t="s">
        <v>340</v>
      </c>
      <c r="G3" s="116" t="str">
        <f>TEXT(GC[[#This Row],[Date]],"mmm-yy")</f>
        <v>Jul-24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45475</v>
      </c>
      <c r="C4" s="114">
        <f>YEAR(GC[[#This Row],[Date]])+IF(MONTH(GC[[#This Row],[Date]])&gt;=4,1,0)</f>
        <v>2025</v>
      </c>
      <c r="D4" s="115">
        <f>YEAR(GC[[#This Row],[Date]])</f>
        <v>2024</v>
      </c>
      <c r="E4" s="112" t="s">
        <v>340</v>
      </c>
      <c r="F4" s="112" t="s">
        <v>340</v>
      </c>
      <c r="G4" s="116" t="str">
        <f>TEXT(GC[[#This Row],[Date]],"mmm-yy")</f>
        <v>Jul-24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68" si="0">B4+1</f>
        <v>45476</v>
      </c>
      <c r="C5" s="114">
        <f>YEAR(GC[[#This Row],[Date]])+IF(MONTH(GC[[#This Row],[Date]])&gt;=4,1,0)</f>
        <v>2025</v>
      </c>
      <c r="D5" s="115">
        <f>YEAR(GC[[#This Row],[Date]])</f>
        <v>2024</v>
      </c>
      <c r="E5" s="112" t="s">
        <v>340</v>
      </c>
      <c r="F5" s="112" t="s">
        <v>340</v>
      </c>
      <c r="G5" s="116" t="str">
        <f>TEXT(GC[[#This Row],[Date]],"mmm-yy")</f>
        <v>Jul-24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45477</v>
      </c>
      <c r="C6" s="114">
        <f>YEAR(GC[[#This Row],[Date]])+IF(MONTH(GC[[#This Row],[Date]])&gt;=4,1,0)</f>
        <v>2025</v>
      </c>
      <c r="D6" s="115">
        <f>YEAR(GC[[#This Row],[Date]])</f>
        <v>2024</v>
      </c>
      <c r="E6" s="112" t="s">
        <v>340</v>
      </c>
      <c r="F6" s="112" t="s">
        <v>340</v>
      </c>
      <c r="G6" s="116" t="str">
        <f>TEXT(GC[[#This Row],[Date]],"mmm-yy")</f>
        <v>Jul-24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45478</v>
      </c>
      <c r="C7" s="114">
        <f>YEAR(GC[[#This Row],[Date]])+IF(MONTH(GC[[#This Row],[Date]])&gt;=4,1,0)</f>
        <v>2025</v>
      </c>
      <c r="D7" s="115">
        <f>YEAR(GC[[#This Row],[Date]])</f>
        <v>2024</v>
      </c>
      <c r="E7" s="112" t="s">
        <v>340</v>
      </c>
      <c r="F7" s="112" t="s">
        <v>340</v>
      </c>
      <c r="G7" s="116" t="str">
        <f>TEXT(GC[[#This Row],[Date]],"mmm-yy")</f>
        <v>Jul-24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45479</v>
      </c>
      <c r="C8" s="114">
        <f>YEAR(GC[[#This Row],[Date]])+IF(MONTH(GC[[#This Row],[Date]])&gt;=4,1,0)</f>
        <v>2025</v>
      </c>
      <c r="D8" s="115">
        <f>YEAR(GC[[#This Row],[Date]])</f>
        <v>2024</v>
      </c>
      <c r="E8" s="112" t="s">
        <v>340</v>
      </c>
      <c r="F8" s="112" t="s">
        <v>340</v>
      </c>
      <c r="G8" s="116" t="str">
        <f>TEXT(GC[[#This Row],[Date]],"mmm-yy")</f>
        <v>Jul-24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45480</v>
      </c>
      <c r="C9" s="114">
        <f>YEAR(GC[[#This Row],[Date]])+IF(MONTH(GC[[#This Row],[Date]])&gt;=4,1,0)</f>
        <v>2025</v>
      </c>
      <c r="D9" s="115">
        <f>YEAR(GC[[#This Row],[Date]])</f>
        <v>2024</v>
      </c>
      <c r="E9" s="112" t="s">
        <v>340</v>
      </c>
      <c r="F9" s="112" t="s">
        <v>340</v>
      </c>
      <c r="G9" s="116" t="str">
        <f>TEXT(GC[[#This Row],[Date]],"mmm-yy")</f>
        <v>Jul-24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45481</v>
      </c>
      <c r="C10" s="114">
        <f>YEAR(GC[[#This Row],[Date]])+IF(MONTH(GC[[#This Row],[Date]])&gt;=4,1,0)</f>
        <v>2025</v>
      </c>
      <c r="D10" s="115">
        <f>YEAR(GC[[#This Row],[Date]])</f>
        <v>2024</v>
      </c>
      <c r="E10" s="112" t="s">
        <v>340</v>
      </c>
      <c r="F10" s="112" t="s">
        <v>340</v>
      </c>
      <c r="G10" s="116" t="str">
        <f>TEXT(GC[[#This Row],[Date]],"mmm-yy")</f>
        <v>Jul-24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45482</v>
      </c>
      <c r="C11" s="114">
        <f>YEAR(GC[[#This Row],[Date]])+IF(MONTH(GC[[#This Row],[Date]])&gt;=4,1,0)</f>
        <v>2025</v>
      </c>
      <c r="D11" s="115">
        <f>YEAR(GC[[#This Row],[Date]])</f>
        <v>2024</v>
      </c>
      <c r="E11" s="112" t="s">
        <v>340</v>
      </c>
      <c r="F11" s="112" t="s">
        <v>340</v>
      </c>
      <c r="G11" s="116" t="str">
        <f>TEXT(GC[[#This Row],[Date]],"mmm-yy")</f>
        <v>Jul-24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45483</v>
      </c>
      <c r="C12" s="114">
        <f>YEAR(GC[[#This Row],[Date]])+IF(MONTH(GC[[#This Row],[Date]])&gt;=4,1,0)</f>
        <v>2025</v>
      </c>
      <c r="D12" s="115">
        <f>YEAR(GC[[#This Row],[Date]])</f>
        <v>2024</v>
      </c>
      <c r="E12" s="112" t="s">
        <v>340</v>
      </c>
      <c r="F12" s="112" t="s">
        <v>340</v>
      </c>
      <c r="G12" s="116" t="str">
        <f>TEXT(GC[[#This Row],[Date]],"mmm-yy")</f>
        <v>Jul-24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45484</v>
      </c>
      <c r="C13" s="114">
        <f>YEAR(GC[[#This Row],[Date]])+IF(MONTH(GC[[#This Row],[Date]])&gt;=4,1,0)</f>
        <v>2025</v>
      </c>
      <c r="D13" s="115">
        <f>YEAR(GC[[#This Row],[Date]])</f>
        <v>2024</v>
      </c>
      <c r="E13" s="112" t="s">
        <v>340</v>
      </c>
      <c r="F13" s="112" t="s">
        <v>340</v>
      </c>
      <c r="G13" s="116" t="str">
        <f>TEXT(GC[[#This Row],[Date]],"mmm-yy")</f>
        <v>Jul-24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45485</v>
      </c>
      <c r="C14" s="114">
        <f>YEAR(GC[[#This Row],[Date]])+IF(MONTH(GC[[#This Row],[Date]])&gt;=4,1,0)</f>
        <v>2025</v>
      </c>
      <c r="D14" s="115">
        <f>YEAR(GC[[#This Row],[Date]])</f>
        <v>2024</v>
      </c>
      <c r="E14" s="112" t="s">
        <v>340</v>
      </c>
      <c r="F14" s="112" t="s">
        <v>340</v>
      </c>
      <c r="G14" s="116" t="str">
        <f>TEXT(GC[[#This Row],[Date]],"mmm-yy")</f>
        <v>Jul-24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45486</v>
      </c>
      <c r="C15" s="114">
        <f>YEAR(GC[[#This Row],[Date]])+IF(MONTH(GC[[#This Row],[Date]])&gt;=4,1,0)</f>
        <v>2025</v>
      </c>
      <c r="D15" s="115">
        <f>YEAR(GC[[#This Row],[Date]])</f>
        <v>2024</v>
      </c>
      <c r="E15" s="112" t="s">
        <v>340</v>
      </c>
      <c r="F15" s="112" t="s">
        <v>340</v>
      </c>
      <c r="G15" s="116" t="str">
        <f>TEXT(GC[[#This Row],[Date]],"mmm-yy")</f>
        <v>Jul-24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45487</v>
      </c>
      <c r="C16" s="114">
        <f>YEAR(GC[[#This Row],[Date]])+IF(MONTH(GC[[#This Row],[Date]])&gt;=4,1,0)</f>
        <v>2025</v>
      </c>
      <c r="D16" s="115">
        <f>YEAR(GC[[#This Row],[Date]])</f>
        <v>2024</v>
      </c>
      <c r="E16" s="112" t="s">
        <v>340</v>
      </c>
      <c r="F16" s="112" t="s">
        <v>340</v>
      </c>
      <c r="G16" s="116" t="str">
        <f>TEXT(GC[[#This Row],[Date]],"mmm-yy")</f>
        <v>Jul-24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45488</v>
      </c>
      <c r="C17" s="114">
        <f>YEAR(GC[[#This Row],[Date]])+IF(MONTH(GC[[#This Row],[Date]])&gt;=4,1,0)</f>
        <v>2025</v>
      </c>
      <c r="D17" s="115">
        <f>YEAR(GC[[#This Row],[Date]])</f>
        <v>2024</v>
      </c>
      <c r="E17" s="112" t="s">
        <v>340</v>
      </c>
      <c r="F17" s="112" t="s">
        <v>340</v>
      </c>
      <c r="G17" s="116" t="str">
        <f>TEXT(GC[[#This Row],[Date]],"mmm-yy")</f>
        <v>Jul-24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45489</v>
      </c>
      <c r="C18" s="114">
        <f>YEAR(GC[[#This Row],[Date]])+IF(MONTH(GC[[#This Row],[Date]])&gt;=4,1,0)</f>
        <v>2025</v>
      </c>
      <c r="D18" s="115">
        <f>YEAR(GC[[#This Row],[Date]])</f>
        <v>2024</v>
      </c>
      <c r="E18" s="112" t="s">
        <v>340</v>
      </c>
      <c r="F18" s="112" t="s">
        <v>340</v>
      </c>
      <c r="G18" s="116" t="str">
        <f>TEXT(GC[[#This Row],[Date]],"mmm-yy")</f>
        <v>Jul-24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45490</v>
      </c>
      <c r="C19" s="114">
        <f>YEAR(GC[[#This Row],[Date]])+IF(MONTH(GC[[#This Row],[Date]])&gt;=4,1,0)</f>
        <v>2025</v>
      </c>
      <c r="D19" s="115">
        <f>YEAR(GC[[#This Row],[Date]])</f>
        <v>2024</v>
      </c>
      <c r="E19" s="112" t="s">
        <v>340</v>
      </c>
      <c r="F19" s="112" t="s">
        <v>340</v>
      </c>
      <c r="G19" s="116" t="str">
        <f>TEXT(GC[[#This Row],[Date]],"mmm-yy")</f>
        <v>Jul-24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45491</v>
      </c>
      <c r="C20" s="114">
        <f>YEAR(GC[[#This Row],[Date]])+IF(MONTH(GC[[#This Row],[Date]])&gt;=4,1,0)</f>
        <v>2025</v>
      </c>
      <c r="D20" s="115">
        <f>YEAR(GC[[#This Row],[Date]])</f>
        <v>2024</v>
      </c>
      <c r="E20" s="112" t="s">
        <v>340</v>
      </c>
      <c r="F20" s="112" t="s">
        <v>340</v>
      </c>
      <c r="G20" s="116" t="str">
        <f>TEXT(GC[[#This Row],[Date]],"mmm-yy")</f>
        <v>Jul-24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45492</v>
      </c>
      <c r="C21" s="114">
        <f>YEAR(GC[[#This Row],[Date]])+IF(MONTH(GC[[#This Row],[Date]])&gt;=4,1,0)</f>
        <v>2025</v>
      </c>
      <c r="D21" s="115">
        <f>YEAR(GC[[#This Row],[Date]])</f>
        <v>2024</v>
      </c>
      <c r="E21" s="112" t="s">
        <v>340</v>
      </c>
      <c r="F21" s="112" t="s">
        <v>340</v>
      </c>
      <c r="G21" s="116" t="str">
        <f>TEXT(GC[[#This Row],[Date]],"mmm-yy")</f>
        <v>Jul-24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45493</v>
      </c>
      <c r="C22" s="114">
        <f>YEAR(GC[[#This Row],[Date]])+IF(MONTH(GC[[#This Row],[Date]])&gt;=4,1,0)</f>
        <v>2025</v>
      </c>
      <c r="D22" s="115">
        <f>YEAR(GC[[#This Row],[Date]])</f>
        <v>2024</v>
      </c>
      <c r="E22" s="112" t="s">
        <v>340</v>
      </c>
      <c r="F22" s="112" t="s">
        <v>340</v>
      </c>
      <c r="G22" s="116" t="str">
        <f>TEXT(GC[[#This Row],[Date]],"mmm-yy")</f>
        <v>Jul-24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45494</v>
      </c>
      <c r="C23" s="114">
        <f>YEAR(GC[[#This Row],[Date]])+IF(MONTH(GC[[#This Row],[Date]])&gt;=4,1,0)</f>
        <v>2025</v>
      </c>
      <c r="D23" s="115">
        <f>YEAR(GC[[#This Row],[Date]])</f>
        <v>2024</v>
      </c>
      <c r="E23" s="112" t="s">
        <v>340</v>
      </c>
      <c r="F23" s="112" t="s">
        <v>340</v>
      </c>
      <c r="G23" s="116" t="str">
        <f>TEXT(GC[[#This Row],[Date]],"mmm-yy")</f>
        <v>Jul-24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45495</v>
      </c>
      <c r="C24" s="114">
        <f>YEAR(GC[[#This Row],[Date]])+IF(MONTH(GC[[#This Row],[Date]])&gt;=4,1,0)</f>
        <v>2025</v>
      </c>
      <c r="D24" s="115">
        <f>YEAR(GC[[#This Row],[Date]])</f>
        <v>2024</v>
      </c>
      <c r="E24" s="112" t="s">
        <v>340</v>
      </c>
      <c r="F24" s="112" t="s">
        <v>340</v>
      </c>
      <c r="G24" s="116" t="str">
        <f>TEXT(GC[[#This Row],[Date]],"mmm-yy")</f>
        <v>Jul-24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45496</v>
      </c>
      <c r="C25" s="114">
        <f>YEAR(GC[[#This Row],[Date]])+IF(MONTH(GC[[#This Row],[Date]])&gt;=4,1,0)</f>
        <v>2025</v>
      </c>
      <c r="D25" s="115">
        <f>YEAR(GC[[#This Row],[Date]])</f>
        <v>2024</v>
      </c>
      <c r="E25" s="112" t="s">
        <v>340</v>
      </c>
      <c r="F25" s="112" t="s">
        <v>340</v>
      </c>
      <c r="G25" s="116" t="str">
        <f>TEXT(GC[[#This Row],[Date]],"mmm-yy")</f>
        <v>Jul-24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45497</v>
      </c>
      <c r="C26" s="114">
        <f>YEAR(GC[[#This Row],[Date]])+IF(MONTH(GC[[#This Row],[Date]])&gt;=4,1,0)</f>
        <v>2025</v>
      </c>
      <c r="D26" s="115">
        <f>YEAR(GC[[#This Row],[Date]])</f>
        <v>2024</v>
      </c>
      <c r="E26" s="112" t="s">
        <v>340</v>
      </c>
      <c r="F26" s="112" t="s">
        <v>340</v>
      </c>
      <c r="G26" s="116" t="str">
        <f>TEXT(GC[[#This Row],[Date]],"mmm-yy")</f>
        <v>Jul-24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45498</v>
      </c>
      <c r="C27" s="114">
        <f>YEAR(GC[[#This Row],[Date]])+IF(MONTH(GC[[#This Row],[Date]])&gt;=4,1,0)</f>
        <v>2025</v>
      </c>
      <c r="D27" s="115">
        <f>YEAR(GC[[#This Row],[Date]])</f>
        <v>2024</v>
      </c>
      <c r="E27" s="112" t="s">
        <v>340</v>
      </c>
      <c r="F27" s="112" t="s">
        <v>340</v>
      </c>
      <c r="G27" s="116" t="str">
        <f>TEXT(GC[[#This Row],[Date]],"mmm-yy")</f>
        <v>Jul-24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45499</v>
      </c>
      <c r="C28" s="114">
        <f>YEAR(GC[[#This Row],[Date]])+IF(MONTH(GC[[#This Row],[Date]])&gt;=4,1,0)</f>
        <v>2025</v>
      </c>
      <c r="D28" s="115">
        <f>YEAR(GC[[#This Row],[Date]])</f>
        <v>2024</v>
      </c>
      <c r="E28" s="112" t="s">
        <v>340</v>
      </c>
      <c r="F28" s="112" t="s">
        <v>340</v>
      </c>
      <c r="G28" s="116" t="str">
        <f>TEXT(GC[[#This Row],[Date]],"mmm-yy")</f>
        <v>Jul-24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45500</v>
      </c>
      <c r="C29" s="114">
        <f>YEAR(GC[[#This Row],[Date]])+IF(MONTH(GC[[#This Row],[Date]])&gt;=4,1,0)</f>
        <v>2025</v>
      </c>
      <c r="D29" s="115">
        <f>YEAR(GC[[#This Row],[Date]])</f>
        <v>2024</v>
      </c>
      <c r="E29" s="112" t="s">
        <v>340</v>
      </c>
      <c r="F29" s="112" t="s">
        <v>340</v>
      </c>
      <c r="G29" s="116" t="str">
        <f>TEXT(GC[[#This Row],[Date]],"mmm-yy")</f>
        <v>Jul-24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45501</v>
      </c>
      <c r="C30" s="114">
        <f>YEAR(GC[[#This Row],[Date]])+IF(MONTH(GC[[#This Row],[Date]])&gt;=4,1,0)</f>
        <v>2025</v>
      </c>
      <c r="D30" s="115">
        <f>YEAR(GC[[#This Row],[Date]])</f>
        <v>2024</v>
      </c>
      <c r="E30" s="112" t="s">
        <v>340</v>
      </c>
      <c r="F30" s="112" t="s">
        <v>340</v>
      </c>
      <c r="G30" s="116" t="str">
        <f>TEXT(GC[[#This Row],[Date]],"mmm-yy")</f>
        <v>Jul-24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45502</v>
      </c>
      <c r="C31" s="114">
        <f>YEAR(GC[[#This Row],[Date]])+IF(MONTH(GC[[#This Row],[Date]])&gt;=4,1,0)</f>
        <v>2025</v>
      </c>
      <c r="D31" s="115">
        <f>YEAR(GC[[#This Row],[Date]])</f>
        <v>2024</v>
      </c>
      <c r="E31" s="112" t="s">
        <v>340</v>
      </c>
      <c r="F31" s="112" t="s">
        <v>340</v>
      </c>
      <c r="G31" s="116" t="str">
        <f>TEXT(GC[[#This Row],[Date]],"mmm-yy")</f>
        <v>Jul-24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45503</v>
      </c>
      <c r="C32" s="114">
        <f>YEAR(GC[[#This Row],[Date]])+IF(MONTH(GC[[#This Row],[Date]])&gt;=4,1,0)</f>
        <v>2025</v>
      </c>
      <c r="D32" s="115">
        <f>YEAR(GC[[#This Row],[Date]])</f>
        <v>2024</v>
      </c>
      <c r="E32" s="112" t="s">
        <v>340</v>
      </c>
      <c r="F32" s="112" t="s">
        <v>340</v>
      </c>
      <c r="G32" s="116" t="str">
        <f>TEXT(GC[[#This Row],[Date]],"mmm-yy")</f>
        <v>Jul-24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45504</v>
      </c>
      <c r="C33" s="114">
        <f>YEAR(GC[[#This Row],[Date]])+IF(MONTH(GC[[#This Row],[Date]])&gt;=4,1,0)</f>
        <v>2025</v>
      </c>
      <c r="D33" s="115">
        <f>YEAR(GC[[#This Row],[Date]])</f>
        <v>2024</v>
      </c>
      <c r="E33" s="112" t="s">
        <v>340</v>
      </c>
      <c r="F33" s="112" t="s">
        <v>340</v>
      </c>
      <c r="G33" s="116" t="str">
        <f>TEXT(GC[[#This Row],[Date]],"mmm-yy")</f>
        <v>Jul-24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  <row r="34" spans="1:41">
      <c r="A34" s="119">
        <v>32</v>
      </c>
      <c r="B34" s="113">
        <f t="shared" si="0"/>
        <v>45505</v>
      </c>
      <c r="C34" s="114">
        <f>YEAR(GC[[#This Row],[Date]])+IF(MONTH(GC[[#This Row],[Date]])&gt;=4,1,0)</f>
        <v>2025</v>
      </c>
      <c r="D34" s="115">
        <f>YEAR(GC[[#This Row],[Date]])</f>
        <v>2024</v>
      </c>
      <c r="E34" s="112" t="s">
        <v>340</v>
      </c>
      <c r="F34" s="112" t="s">
        <v>340</v>
      </c>
      <c r="G34" s="116" t="str">
        <f>TEXT(GC[[#This Row],[Date]],"mmm-yy")</f>
        <v>Aug-24</v>
      </c>
      <c r="H34" s="116">
        <f>DAY(EOMONTH(GC[[#This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SUM(GC[[#This Row],[IS1Inv1M1]:[IS4Inv10M2]])</f>
        <v>0</v>
      </c>
      <c r="AN34" s="119"/>
      <c r="AO34" s="119"/>
    </row>
    <row r="35" spans="1:41">
      <c r="A35" s="119">
        <v>33</v>
      </c>
      <c r="B35" s="113">
        <f t="shared" si="0"/>
        <v>45506</v>
      </c>
      <c r="C35" s="114">
        <f>YEAR(GC[[#This Row],[Date]])+IF(MONTH(GC[[#This Row],[Date]])&gt;=4,1,0)</f>
        <v>2025</v>
      </c>
      <c r="D35" s="115">
        <f>YEAR(GC[[#This Row],[Date]])</f>
        <v>2024</v>
      </c>
      <c r="E35" s="112" t="s">
        <v>340</v>
      </c>
      <c r="F35" s="112" t="s">
        <v>340</v>
      </c>
      <c r="G35" s="116" t="str">
        <f>TEXT(GC[[#This Row],[Date]],"mmm-yy")</f>
        <v>Aug-24</v>
      </c>
      <c r="H35" s="116">
        <f>DAY(EOMONTH(GC[[#This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SUM(GC[[#This Row],[IS1Inv1M1]:[IS4Inv10M2]])</f>
        <v>0</v>
      </c>
      <c r="AN35" s="119"/>
      <c r="AO35" s="119"/>
    </row>
    <row r="36" spans="1:41">
      <c r="A36" s="119">
        <v>34</v>
      </c>
      <c r="B36" s="113">
        <f t="shared" si="0"/>
        <v>45507</v>
      </c>
      <c r="C36" s="114">
        <f>YEAR(GC[[#This Row],[Date]])+IF(MONTH(GC[[#This Row],[Date]])&gt;=4,1,0)</f>
        <v>2025</v>
      </c>
      <c r="D36" s="115">
        <f>YEAR(GC[[#This Row],[Date]])</f>
        <v>2024</v>
      </c>
      <c r="E36" s="112" t="s">
        <v>340</v>
      </c>
      <c r="F36" s="112" t="s">
        <v>340</v>
      </c>
      <c r="G36" s="116" t="str">
        <f>TEXT(GC[[#This Row],[Date]],"mmm-yy")</f>
        <v>Aug-24</v>
      </c>
      <c r="H36" s="116">
        <f>DAY(EOMONTH(GC[[#This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SUM(GC[[#This Row],[IS1Inv1M1]:[IS4Inv10M2]])</f>
        <v>0</v>
      </c>
      <c r="AN36" s="119"/>
      <c r="AO36" s="119"/>
    </row>
    <row r="37" spans="1:41">
      <c r="A37" s="119">
        <v>35</v>
      </c>
      <c r="B37" s="113">
        <f t="shared" si="0"/>
        <v>45508</v>
      </c>
      <c r="C37" s="114">
        <f>YEAR(GC[[#This Row],[Date]])+IF(MONTH(GC[[#This Row],[Date]])&gt;=4,1,0)</f>
        <v>2025</v>
      </c>
      <c r="D37" s="115">
        <f>YEAR(GC[[#This Row],[Date]])</f>
        <v>2024</v>
      </c>
      <c r="E37" s="112" t="s">
        <v>340</v>
      </c>
      <c r="F37" s="112" t="s">
        <v>340</v>
      </c>
      <c r="G37" s="116" t="str">
        <f>TEXT(GC[[#This Row],[Date]],"mmm-yy")</f>
        <v>Aug-24</v>
      </c>
      <c r="H37" s="116">
        <f>DAY(EOMONTH(GC[[#This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SUM(GC[[#This Row],[IS1Inv1M1]:[IS4Inv10M2]])</f>
        <v>0</v>
      </c>
      <c r="AN37" s="119"/>
      <c r="AO37" s="119"/>
    </row>
    <row r="38" spans="1:41">
      <c r="A38" s="119">
        <v>36</v>
      </c>
      <c r="B38" s="113">
        <f t="shared" si="0"/>
        <v>45509</v>
      </c>
      <c r="C38" s="114">
        <f>YEAR(GC[[#This Row],[Date]])+IF(MONTH(GC[[#This Row],[Date]])&gt;=4,1,0)</f>
        <v>2025</v>
      </c>
      <c r="D38" s="115">
        <f>YEAR(GC[[#This Row],[Date]])</f>
        <v>2024</v>
      </c>
      <c r="E38" s="112" t="s">
        <v>340</v>
      </c>
      <c r="F38" s="112" t="s">
        <v>340</v>
      </c>
      <c r="G38" s="116" t="str">
        <f>TEXT(GC[[#This Row],[Date]],"mmm-yy")</f>
        <v>Aug-24</v>
      </c>
      <c r="H38" s="116">
        <f>DAY(EOMONTH(GC[[#This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SUM(GC[[#This Row],[IS1Inv1M1]:[IS4Inv10M2]])</f>
        <v>0</v>
      </c>
      <c r="AN38" s="119"/>
      <c r="AO38" s="119"/>
    </row>
    <row r="39" spans="1:41">
      <c r="A39" s="119">
        <v>37</v>
      </c>
      <c r="B39" s="113">
        <f t="shared" si="0"/>
        <v>45510</v>
      </c>
      <c r="C39" s="114">
        <f>YEAR(GC[[#This Row],[Date]])+IF(MONTH(GC[[#This Row],[Date]])&gt;=4,1,0)</f>
        <v>2025</v>
      </c>
      <c r="D39" s="115">
        <f>YEAR(GC[[#This Row],[Date]])</f>
        <v>2024</v>
      </c>
      <c r="E39" s="112" t="s">
        <v>340</v>
      </c>
      <c r="F39" s="112" t="s">
        <v>340</v>
      </c>
      <c r="G39" s="116" t="str">
        <f>TEXT(GC[[#This Row],[Date]],"mmm-yy")</f>
        <v>Aug-24</v>
      </c>
      <c r="H39" s="116">
        <f>DAY(EOMONTH(GC[[#This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SUM(GC[[#This Row],[IS1Inv1M1]:[IS4Inv10M2]])</f>
        <v>0</v>
      </c>
      <c r="AN39" s="119"/>
      <c r="AO39" s="119"/>
    </row>
    <row r="40" spans="1:41">
      <c r="A40" s="119">
        <v>38</v>
      </c>
      <c r="B40" s="113">
        <f t="shared" si="0"/>
        <v>45511</v>
      </c>
      <c r="C40" s="114">
        <f>YEAR(GC[[#This Row],[Date]])+IF(MONTH(GC[[#This Row],[Date]])&gt;=4,1,0)</f>
        <v>2025</v>
      </c>
      <c r="D40" s="115">
        <f>YEAR(GC[[#This Row],[Date]])</f>
        <v>2024</v>
      </c>
      <c r="E40" s="112" t="s">
        <v>340</v>
      </c>
      <c r="F40" s="112" t="s">
        <v>340</v>
      </c>
      <c r="G40" s="116" t="str">
        <f>TEXT(GC[[#This Row],[Date]],"mmm-yy")</f>
        <v>Aug-24</v>
      </c>
      <c r="H40" s="116">
        <f>DAY(EOMONTH(GC[[#This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SUM(GC[[#This Row],[IS1Inv1M1]:[IS4Inv10M2]])</f>
        <v>0</v>
      </c>
      <c r="AN40" s="119"/>
      <c r="AO40" s="119"/>
    </row>
    <row r="41" spans="1:41">
      <c r="A41" s="119">
        <v>39</v>
      </c>
      <c r="B41" s="113">
        <f t="shared" si="0"/>
        <v>45512</v>
      </c>
      <c r="C41" s="114">
        <f>YEAR(GC[[#This Row],[Date]])+IF(MONTH(GC[[#This Row],[Date]])&gt;=4,1,0)</f>
        <v>2025</v>
      </c>
      <c r="D41" s="115">
        <f>YEAR(GC[[#This Row],[Date]])</f>
        <v>2024</v>
      </c>
      <c r="E41" s="112" t="s">
        <v>340</v>
      </c>
      <c r="F41" s="112" t="s">
        <v>340</v>
      </c>
      <c r="G41" s="116" t="str">
        <f>TEXT(GC[[#This Row],[Date]],"mmm-yy")</f>
        <v>Aug-24</v>
      </c>
      <c r="H41" s="116">
        <f>DAY(EOMONTH(GC[[#This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SUM(GC[[#This Row],[IS1Inv1M1]:[IS4Inv10M2]])</f>
        <v>0</v>
      </c>
      <c r="AN41" s="119"/>
      <c r="AO41" s="119"/>
    </row>
    <row r="42" spans="1:41">
      <c r="A42" s="119">
        <v>40</v>
      </c>
      <c r="B42" s="113">
        <f t="shared" si="0"/>
        <v>45513</v>
      </c>
      <c r="C42" s="114">
        <f>YEAR(GC[[#This Row],[Date]])+IF(MONTH(GC[[#This Row],[Date]])&gt;=4,1,0)</f>
        <v>2025</v>
      </c>
      <c r="D42" s="115">
        <f>YEAR(GC[[#This Row],[Date]])</f>
        <v>2024</v>
      </c>
      <c r="E42" s="112" t="s">
        <v>340</v>
      </c>
      <c r="F42" s="112" t="s">
        <v>340</v>
      </c>
      <c r="G42" s="116" t="str">
        <f>TEXT(GC[[#This Row],[Date]],"mmm-yy")</f>
        <v>Aug-24</v>
      </c>
      <c r="H42" s="116">
        <f>DAY(EOMONTH(GC[[#This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SUM(GC[[#This Row],[IS1Inv1M1]:[IS4Inv10M2]])</f>
        <v>0</v>
      </c>
      <c r="AN42" s="119"/>
      <c r="AO42" s="119"/>
    </row>
    <row r="43" spans="1:41">
      <c r="A43" s="119">
        <v>41</v>
      </c>
      <c r="B43" s="113">
        <f t="shared" si="0"/>
        <v>45514</v>
      </c>
      <c r="C43" s="114">
        <f>YEAR(GC[[#This Row],[Date]])+IF(MONTH(GC[[#This Row],[Date]])&gt;=4,1,0)</f>
        <v>2025</v>
      </c>
      <c r="D43" s="115">
        <f>YEAR(GC[[#This Row],[Date]])</f>
        <v>2024</v>
      </c>
      <c r="E43" s="112" t="s">
        <v>340</v>
      </c>
      <c r="F43" s="112" t="s">
        <v>340</v>
      </c>
      <c r="G43" s="116" t="str">
        <f>TEXT(GC[[#This Row],[Date]],"mmm-yy")</f>
        <v>Aug-24</v>
      </c>
      <c r="H43" s="116">
        <f>DAY(EOMONTH(GC[[#This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SUM(GC[[#This Row],[IS1Inv1M1]:[IS4Inv10M2]])</f>
        <v>0</v>
      </c>
      <c r="AN43" s="119"/>
      <c r="AO43" s="119"/>
    </row>
    <row r="44" spans="1:41">
      <c r="A44" s="119">
        <v>42</v>
      </c>
      <c r="B44" s="113">
        <f t="shared" si="0"/>
        <v>45515</v>
      </c>
      <c r="C44" s="114">
        <f>YEAR(GC[[#This Row],[Date]])+IF(MONTH(GC[[#This Row],[Date]])&gt;=4,1,0)</f>
        <v>2025</v>
      </c>
      <c r="D44" s="115">
        <f>YEAR(GC[[#This Row],[Date]])</f>
        <v>2024</v>
      </c>
      <c r="E44" s="112" t="s">
        <v>340</v>
      </c>
      <c r="F44" s="112" t="s">
        <v>340</v>
      </c>
      <c r="G44" s="116" t="str">
        <f>TEXT(GC[[#This Row],[Date]],"mmm-yy")</f>
        <v>Aug-24</v>
      </c>
      <c r="H44" s="116">
        <f>DAY(EOMONTH(GC[[#This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SUM(GC[[#This Row],[IS1Inv1M1]:[IS4Inv10M2]])</f>
        <v>0</v>
      </c>
      <c r="AN44" s="119"/>
      <c r="AO44" s="119"/>
    </row>
    <row r="45" spans="1:41">
      <c r="A45" s="119">
        <v>43</v>
      </c>
      <c r="B45" s="113">
        <f t="shared" si="0"/>
        <v>45516</v>
      </c>
      <c r="C45" s="114">
        <f>YEAR(GC[[#This Row],[Date]])+IF(MONTH(GC[[#This Row],[Date]])&gt;=4,1,0)</f>
        <v>2025</v>
      </c>
      <c r="D45" s="115">
        <f>YEAR(GC[[#This Row],[Date]])</f>
        <v>2024</v>
      </c>
      <c r="E45" s="112" t="s">
        <v>340</v>
      </c>
      <c r="F45" s="112" t="s">
        <v>340</v>
      </c>
      <c r="G45" s="116" t="str">
        <f>TEXT(GC[[#This Row],[Date]],"mmm-yy")</f>
        <v>Aug-24</v>
      </c>
      <c r="H45" s="116">
        <f>DAY(EOMONTH(GC[[#This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SUM(GC[[#This Row],[IS1Inv1M1]:[IS4Inv10M2]])</f>
        <v>0</v>
      </c>
      <c r="AN45" s="119"/>
      <c r="AO45" s="119"/>
    </row>
    <row r="46" spans="1:41">
      <c r="A46" s="119">
        <v>44</v>
      </c>
      <c r="B46" s="113">
        <f t="shared" si="0"/>
        <v>45517</v>
      </c>
      <c r="C46" s="114">
        <f>YEAR(GC[[#This Row],[Date]])+IF(MONTH(GC[[#This Row],[Date]])&gt;=4,1,0)</f>
        <v>2025</v>
      </c>
      <c r="D46" s="115">
        <f>YEAR(GC[[#This Row],[Date]])</f>
        <v>2024</v>
      </c>
      <c r="E46" s="112" t="s">
        <v>340</v>
      </c>
      <c r="F46" s="112" t="s">
        <v>340</v>
      </c>
      <c r="G46" s="116" t="str">
        <f>TEXT(GC[[#This Row],[Date]],"mmm-yy")</f>
        <v>Aug-24</v>
      </c>
      <c r="H46" s="116">
        <f>DAY(EOMONTH(GC[[#This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SUM(GC[[#This Row],[IS1Inv1M1]:[IS4Inv10M2]])</f>
        <v>0</v>
      </c>
      <c r="AN46" s="119"/>
      <c r="AO46" s="119"/>
    </row>
    <row r="47" spans="1:41">
      <c r="A47" s="119">
        <v>45</v>
      </c>
      <c r="B47" s="113">
        <f t="shared" si="0"/>
        <v>45518</v>
      </c>
      <c r="C47" s="114">
        <f>YEAR(GC[[#This Row],[Date]])+IF(MONTH(GC[[#This Row],[Date]])&gt;=4,1,0)</f>
        <v>2025</v>
      </c>
      <c r="D47" s="115">
        <f>YEAR(GC[[#This Row],[Date]])</f>
        <v>2024</v>
      </c>
      <c r="E47" s="112" t="s">
        <v>340</v>
      </c>
      <c r="F47" s="112" t="s">
        <v>340</v>
      </c>
      <c r="G47" s="116" t="str">
        <f>TEXT(GC[[#This Row],[Date]],"mmm-yy")</f>
        <v>Aug-24</v>
      </c>
      <c r="H47" s="116">
        <f>DAY(EOMONTH(GC[[#This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SUM(GC[[#This Row],[IS1Inv1M1]:[IS4Inv10M2]])</f>
        <v>0</v>
      </c>
      <c r="AN47" s="119"/>
      <c r="AO47" s="119"/>
    </row>
    <row r="48" spans="1:41">
      <c r="A48" s="119">
        <v>46</v>
      </c>
      <c r="B48" s="113">
        <f t="shared" si="0"/>
        <v>45519</v>
      </c>
      <c r="C48" s="114">
        <f>YEAR(GC[[#This Row],[Date]])+IF(MONTH(GC[[#This Row],[Date]])&gt;=4,1,0)</f>
        <v>2025</v>
      </c>
      <c r="D48" s="115">
        <f>YEAR(GC[[#This Row],[Date]])</f>
        <v>2024</v>
      </c>
      <c r="E48" s="112" t="s">
        <v>340</v>
      </c>
      <c r="F48" s="112" t="s">
        <v>340</v>
      </c>
      <c r="G48" s="116" t="str">
        <f>TEXT(GC[[#This Row],[Date]],"mmm-yy")</f>
        <v>Aug-24</v>
      </c>
      <c r="H48" s="116">
        <f>DAY(EOMONTH(GC[[#This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SUM(GC[[#This Row],[IS1Inv1M1]:[IS4Inv10M2]])</f>
        <v>0</v>
      </c>
      <c r="AN48" s="119"/>
      <c r="AO48" s="119"/>
    </row>
    <row r="49" spans="1:41">
      <c r="A49" s="119">
        <v>47</v>
      </c>
      <c r="B49" s="113">
        <f t="shared" si="0"/>
        <v>45520</v>
      </c>
      <c r="C49" s="114">
        <f>YEAR(GC[[#This Row],[Date]])+IF(MONTH(GC[[#This Row],[Date]])&gt;=4,1,0)</f>
        <v>2025</v>
      </c>
      <c r="D49" s="115">
        <f>YEAR(GC[[#This Row],[Date]])</f>
        <v>2024</v>
      </c>
      <c r="E49" s="112" t="s">
        <v>340</v>
      </c>
      <c r="F49" s="112" t="s">
        <v>340</v>
      </c>
      <c r="G49" s="116" t="str">
        <f>TEXT(GC[[#This Row],[Date]],"mmm-yy")</f>
        <v>Aug-24</v>
      </c>
      <c r="H49" s="116">
        <f>DAY(EOMONTH(GC[[#This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SUM(GC[[#This Row],[IS1Inv1M1]:[IS4Inv10M2]])</f>
        <v>0</v>
      </c>
      <c r="AN49" s="119"/>
      <c r="AO49" s="119"/>
    </row>
    <row r="50" spans="1:41">
      <c r="A50" s="119">
        <v>48</v>
      </c>
      <c r="B50" s="113">
        <f t="shared" si="0"/>
        <v>45521</v>
      </c>
      <c r="C50" s="114">
        <f>YEAR(GC[[#This Row],[Date]])+IF(MONTH(GC[[#This Row],[Date]])&gt;=4,1,0)</f>
        <v>2025</v>
      </c>
      <c r="D50" s="115">
        <f>YEAR(GC[[#This Row],[Date]])</f>
        <v>2024</v>
      </c>
      <c r="E50" s="112" t="s">
        <v>340</v>
      </c>
      <c r="F50" s="112" t="s">
        <v>340</v>
      </c>
      <c r="G50" s="116" t="str">
        <f>TEXT(GC[[#This Row],[Date]],"mmm-yy")</f>
        <v>Aug-24</v>
      </c>
      <c r="H50" s="116">
        <f>DAY(EOMONTH(GC[[#This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SUM(GC[[#This Row],[IS1Inv1M1]:[IS4Inv10M2]])</f>
        <v>0</v>
      </c>
      <c r="AN50" s="119"/>
      <c r="AO50" s="119"/>
    </row>
    <row r="51" spans="1:41">
      <c r="A51" s="119">
        <v>49</v>
      </c>
      <c r="B51" s="113">
        <f t="shared" si="0"/>
        <v>45522</v>
      </c>
      <c r="C51" s="114">
        <f>YEAR(GC[[#This Row],[Date]])+IF(MONTH(GC[[#This Row],[Date]])&gt;=4,1,0)</f>
        <v>2025</v>
      </c>
      <c r="D51" s="115">
        <f>YEAR(GC[[#This Row],[Date]])</f>
        <v>2024</v>
      </c>
      <c r="E51" s="112" t="s">
        <v>340</v>
      </c>
      <c r="F51" s="112" t="s">
        <v>340</v>
      </c>
      <c r="G51" s="116" t="str">
        <f>TEXT(GC[[#This Row],[Date]],"mmm-yy")</f>
        <v>Aug-24</v>
      </c>
      <c r="H51" s="116">
        <f>DAY(EOMONTH(GC[[#This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SUM(GC[[#This Row],[IS1Inv1M1]:[IS4Inv10M2]])</f>
        <v>0</v>
      </c>
      <c r="AN51" s="119"/>
      <c r="AO51" s="119"/>
    </row>
    <row r="52" spans="1:41">
      <c r="A52" s="119">
        <v>50</v>
      </c>
      <c r="B52" s="113">
        <f t="shared" si="0"/>
        <v>45523</v>
      </c>
      <c r="C52" s="114">
        <f>YEAR(GC[[#This Row],[Date]])+IF(MONTH(GC[[#This Row],[Date]])&gt;=4,1,0)</f>
        <v>2025</v>
      </c>
      <c r="D52" s="115">
        <f>YEAR(GC[[#This Row],[Date]])</f>
        <v>2024</v>
      </c>
      <c r="E52" s="112" t="s">
        <v>340</v>
      </c>
      <c r="F52" s="112" t="s">
        <v>340</v>
      </c>
      <c r="G52" s="116" t="str">
        <f>TEXT(GC[[#This Row],[Date]],"mmm-yy")</f>
        <v>Aug-24</v>
      </c>
      <c r="H52" s="116">
        <f>DAY(EOMONTH(GC[[#This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SUM(GC[[#This Row],[IS1Inv1M1]:[IS4Inv10M2]])</f>
        <v>0</v>
      </c>
      <c r="AN52" s="119"/>
      <c r="AO52" s="119"/>
    </row>
    <row r="53" spans="1:41">
      <c r="A53" s="119">
        <v>51</v>
      </c>
      <c r="B53" s="113">
        <f t="shared" si="0"/>
        <v>45524</v>
      </c>
      <c r="C53" s="114">
        <f>YEAR(GC[[#This Row],[Date]])+IF(MONTH(GC[[#This Row],[Date]])&gt;=4,1,0)</f>
        <v>2025</v>
      </c>
      <c r="D53" s="115">
        <f>YEAR(GC[[#This Row],[Date]])</f>
        <v>2024</v>
      </c>
      <c r="E53" s="112" t="s">
        <v>340</v>
      </c>
      <c r="F53" s="112" t="s">
        <v>340</v>
      </c>
      <c r="G53" s="116" t="str">
        <f>TEXT(GC[[#This Row],[Date]],"mmm-yy")</f>
        <v>Aug-24</v>
      </c>
      <c r="H53" s="116">
        <f>DAY(EOMONTH(GC[[#This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SUM(GC[[#This Row],[IS1Inv1M1]:[IS4Inv10M2]])</f>
        <v>0</v>
      </c>
      <c r="AN53" s="119"/>
      <c r="AO53" s="119"/>
    </row>
    <row r="54" spans="1:41">
      <c r="A54" s="119">
        <v>52</v>
      </c>
      <c r="B54" s="113">
        <f t="shared" si="0"/>
        <v>45525</v>
      </c>
      <c r="C54" s="114">
        <f>YEAR(GC[[#This Row],[Date]])+IF(MONTH(GC[[#This Row],[Date]])&gt;=4,1,0)</f>
        <v>2025</v>
      </c>
      <c r="D54" s="115">
        <f>YEAR(GC[[#This Row],[Date]])</f>
        <v>2024</v>
      </c>
      <c r="E54" s="112" t="s">
        <v>340</v>
      </c>
      <c r="F54" s="112" t="s">
        <v>340</v>
      </c>
      <c r="G54" s="116" t="str">
        <f>TEXT(GC[[#This Row],[Date]],"mmm-yy")</f>
        <v>Aug-24</v>
      </c>
      <c r="H54" s="116">
        <f>DAY(EOMONTH(GC[[#This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SUM(GC[[#This Row],[IS1Inv1M1]:[IS4Inv10M2]])</f>
        <v>0</v>
      </c>
      <c r="AN54" s="119"/>
      <c r="AO54" s="119"/>
    </row>
    <row r="55" spans="1:41">
      <c r="A55" s="119">
        <v>53</v>
      </c>
      <c r="B55" s="113">
        <f t="shared" si="0"/>
        <v>45526</v>
      </c>
      <c r="C55" s="114">
        <f>YEAR(GC[[#This Row],[Date]])+IF(MONTH(GC[[#This Row],[Date]])&gt;=4,1,0)</f>
        <v>2025</v>
      </c>
      <c r="D55" s="115">
        <f>YEAR(GC[[#This Row],[Date]])</f>
        <v>2024</v>
      </c>
      <c r="E55" s="112" t="s">
        <v>340</v>
      </c>
      <c r="F55" s="112" t="s">
        <v>340</v>
      </c>
      <c r="G55" s="116" t="str">
        <f>TEXT(GC[[#This Row],[Date]],"mmm-yy")</f>
        <v>Aug-24</v>
      </c>
      <c r="H55" s="116">
        <f>DAY(EOMONTH(GC[[#This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SUM(GC[[#This Row],[IS1Inv1M1]:[IS4Inv10M2]])</f>
        <v>0</v>
      </c>
      <c r="AN55" s="119"/>
      <c r="AO55" s="119"/>
    </row>
    <row r="56" spans="1:41">
      <c r="A56" s="119">
        <v>54</v>
      </c>
      <c r="B56" s="113">
        <f t="shared" si="0"/>
        <v>45527</v>
      </c>
      <c r="C56" s="114">
        <f>YEAR(GC[[#This Row],[Date]])+IF(MONTH(GC[[#This Row],[Date]])&gt;=4,1,0)</f>
        <v>2025</v>
      </c>
      <c r="D56" s="115">
        <f>YEAR(GC[[#This Row],[Date]])</f>
        <v>2024</v>
      </c>
      <c r="E56" s="112" t="s">
        <v>340</v>
      </c>
      <c r="F56" s="112" t="s">
        <v>340</v>
      </c>
      <c r="G56" s="116" t="str">
        <f>TEXT(GC[[#This Row],[Date]],"mmm-yy")</f>
        <v>Aug-24</v>
      </c>
      <c r="H56" s="116">
        <f>DAY(EOMONTH(GC[[#This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SUM(GC[[#This Row],[IS1Inv1M1]:[IS4Inv10M2]])</f>
        <v>0</v>
      </c>
      <c r="AN56" s="119"/>
      <c r="AO56" s="119"/>
    </row>
    <row r="57" spans="1:41">
      <c r="A57" s="119">
        <v>55</v>
      </c>
      <c r="B57" s="113">
        <f t="shared" si="0"/>
        <v>45528</v>
      </c>
      <c r="C57" s="114">
        <f>YEAR(GC[[#This Row],[Date]])+IF(MONTH(GC[[#This Row],[Date]])&gt;=4,1,0)</f>
        <v>2025</v>
      </c>
      <c r="D57" s="115">
        <f>YEAR(GC[[#This Row],[Date]])</f>
        <v>2024</v>
      </c>
      <c r="E57" s="112" t="s">
        <v>340</v>
      </c>
      <c r="F57" s="112" t="s">
        <v>340</v>
      </c>
      <c r="G57" s="116" t="str">
        <f>TEXT(GC[[#This Row],[Date]],"mmm-yy")</f>
        <v>Aug-24</v>
      </c>
      <c r="H57" s="116">
        <f>DAY(EOMONTH(GC[[#This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SUM(GC[[#This Row],[IS1Inv1M1]:[IS4Inv10M2]])</f>
        <v>0</v>
      </c>
      <c r="AN57" s="119"/>
      <c r="AO57" s="119"/>
    </row>
    <row r="58" spans="1:41">
      <c r="A58" s="119">
        <v>56</v>
      </c>
      <c r="B58" s="113">
        <f t="shared" si="0"/>
        <v>45529</v>
      </c>
      <c r="C58" s="114">
        <f>YEAR(GC[[#This Row],[Date]])+IF(MONTH(GC[[#This Row],[Date]])&gt;=4,1,0)</f>
        <v>2025</v>
      </c>
      <c r="D58" s="115">
        <f>YEAR(GC[[#This Row],[Date]])</f>
        <v>2024</v>
      </c>
      <c r="E58" s="112" t="s">
        <v>340</v>
      </c>
      <c r="F58" s="112" t="s">
        <v>340</v>
      </c>
      <c r="G58" s="116" t="str">
        <f>TEXT(GC[[#This Row],[Date]],"mmm-yy")</f>
        <v>Aug-24</v>
      </c>
      <c r="H58" s="116">
        <f>DAY(EOMONTH(GC[[#This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SUM(GC[[#This Row],[IS1Inv1M1]:[IS4Inv10M2]])</f>
        <v>0</v>
      </c>
      <c r="AN58" s="119"/>
      <c r="AO58" s="119"/>
    </row>
    <row r="59" spans="1:41">
      <c r="A59" s="119">
        <v>57</v>
      </c>
      <c r="B59" s="113">
        <f t="shared" si="0"/>
        <v>45530</v>
      </c>
      <c r="C59" s="114">
        <f>YEAR(GC[[#This Row],[Date]])+IF(MONTH(GC[[#This Row],[Date]])&gt;=4,1,0)</f>
        <v>2025</v>
      </c>
      <c r="D59" s="115">
        <f>YEAR(GC[[#This Row],[Date]])</f>
        <v>2024</v>
      </c>
      <c r="E59" s="112" t="s">
        <v>340</v>
      </c>
      <c r="F59" s="112" t="s">
        <v>340</v>
      </c>
      <c r="G59" s="116" t="str">
        <f>TEXT(GC[[#This Row],[Date]],"mmm-yy")</f>
        <v>Aug-24</v>
      </c>
      <c r="H59" s="116">
        <f>DAY(EOMONTH(GC[[#This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SUM(GC[[#This Row],[IS1Inv1M1]:[IS4Inv10M2]])</f>
        <v>0</v>
      </c>
      <c r="AN59" s="119"/>
      <c r="AO59" s="119"/>
    </row>
    <row r="60" spans="1:41">
      <c r="A60" s="119">
        <v>58</v>
      </c>
      <c r="B60" s="113">
        <f t="shared" si="0"/>
        <v>45531</v>
      </c>
      <c r="C60" s="114">
        <f>YEAR(GC[[#This Row],[Date]])+IF(MONTH(GC[[#This Row],[Date]])&gt;=4,1,0)</f>
        <v>2025</v>
      </c>
      <c r="D60" s="115">
        <f>YEAR(GC[[#This Row],[Date]])</f>
        <v>2024</v>
      </c>
      <c r="E60" s="112" t="s">
        <v>340</v>
      </c>
      <c r="F60" s="112" t="s">
        <v>340</v>
      </c>
      <c r="G60" s="116" t="str">
        <f>TEXT(GC[[#This Row],[Date]],"mmm-yy")</f>
        <v>Aug-24</v>
      </c>
      <c r="H60" s="116">
        <f>DAY(EOMONTH(GC[[#This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SUM(GC[[#This Row],[IS1Inv1M1]:[IS4Inv10M2]])</f>
        <v>0</v>
      </c>
      <c r="AN60" s="119"/>
      <c r="AO60" s="119"/>
    </row>
    <row r="61" spans="1:41">
      <c r="A61" s="119">
        <v>59</v>
      </c>
      <c r="B61" s="113">
        <f t="shared" si="0"/>
        <v>45532</v>
      </c>
      <c r="C61" s="114">
        <f>YEAR(GC[[#This Row],[Date]])+IF(MONTH(GC[[#This Row],[Date]])&gt;=4,1,0)</f>
        <v>2025</v>
      </c>
      <c r="D61" s="115">
        <f>YEAR(GC[[#This Row],[Date]])</f>
        <v>2024</v>
      </c>
      <c r="E61" s="112" t="s">
        <v>340</v>
      </c>
      <c r="F61" s="112" t="s">
        <v>340</v>
      </c>
      <c r="G61" s="116" t="str">
        <f>TEXT(GC[[#This Row],[Date]],"mmm-yy")</f>
        <v>Aug-24</v>
      </c>
      <c r="H61" s="116">
        <f>DAY(EOMONTH(GC[[#This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SUM(GC[[#This Row],[IS1Inv1M1]:[IS4Inv10M2]])</f>
        <v>0</v>
      </c>
      <c r="AN61" s="119"/>
      <c r="AO61" s="119"/>
    </row>
    <row r="62" spans="1:41">
      <c r="A62" s="119">
        <v>60</v>
      </c>
      <c r="B62" s="113">
        <f t="shared" si="0"/>
        <v>45533</v>
      </c>
      <c r="C62" s="114">
        <f>YEAR(GC[[#This Row],[Date]])+IF(MONTH(GC[[#This Row],[Date]])&gt;=4,1,0)</f>
        <v>2025</v>
      </c>
      <c r="D62" s="115">
        <f>YEAR(GC[[#This Row],[Date]])</f>
        <v>2024</v>
      </c>
      <c r="E62" s="112" t="s">
        <v>340</v>
      </c>
      <c r="F62" s="112" t="s">
        <v>340</v>
      </c>
      <c r="G62" s="116" t="str">
        <f>TEXT(GC[[#This Row],[Date]],"mmm-yy")</f>
        <v>Aug-24</v>
      </c>
      <c r="H62" s="116">
        <f>DAY(EOMONTH(GC[[#This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SUM(GC[[#This Row],[IS1Inv1M1]:[IS4Inv10M2]])</f>
        <v>0</v>
      </c>
      <c r="AN62" s="119"/>
      <c r="AO62" s="119"/>
    </row>
    <row r="63" spans="1:41">
      <c r="A63" s="119">
        <v>61</v>
      </c>
      <c r="B63" s="113">
        <f t="shared" si="0"/>
        <v>45534</v>
      </c>
      <c r="C63" s="114">
        <f>YEAR(GC[[#This Row],[Date]])+IF(MONTH(GC[[#This Row],[Date]])&gt;=4,1,0)</f>
        <v>2025</v>
      </c>
      <c r="D63" s="115">
        <f>YEAR(GC[[#This Row],[Date]])</f>
        <v>2024</v>
      </c>
      <c r="E63" s="112" t="s">
        <v>340</v>
      </c>
      <c r="F63" s="112" t="s">
        <v>340</v>
      </c>
      <c r="G63" s="116" t="str">
        <f>TEXT(GC[[#This Row],[Date]],"mmm-yy")</f>
        <v>Aug-24</v>
      </c>
      <c r="H63" s="116">
        <f>DAY(EOMONTH(GC[[#This Row],[Month Year]],0))</f>
        <v>31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SUM(GC[[#This Row],[IS1Inv1M1]:[IS4Inv10M2]])</f>
        <v>0</v>
      </c>
      <c r="AN63" s="119"/>
      <c r="AO63" s="119"/>
    </row>
    <row r="64" spans="1:41">
      <c r="A64" s="119">
        <v>62</v>
      </c>
      <c r="B64" s="113">
        <f t="shared" si="0"/>
        <v>45535</v>
      </c>
      <c r="C64" s="114">
        <f>YEAR(GC[[#This Row],[Date]])+IF(MONTH(GC[[#This Row],[Date]])&gt;=4,1,0)</f>
        <v>2025</v>
      </c>
      <c r="D64" s="115">
        <f>YEAR(GC[[#This Row],[Date]])</f>
        <v>2024</v>
      </c>
      <c r="E64" s="112" t="s">
        <v>340</v>
      </c>
      <c r="F64" s="112" t="s">
        <v>340</v>
      </c>
      <c r="G64" s="116" t="str">
        <f>TEXT(GC[[#This Row],[Date]],"mmm-yy")</f>
        <v>Aug-24</v>
      </c>
      <c r="H64" s="116">
        <f>DAY(EOMONTH(GC[[#This Row],[Month Year]],0))</f>
        <v>31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SUM(GC[[#This Row],[IS1Inv1M1]:[IS4Inv10M2]])</f>
        <v>0</v>
      </c>
      <c r="AN64" s="119"/>
      <c r="AO64" s="119"/>
    </row>
    <row r="65" spans="1:41">
      <c r="A65" s="119">
        <v>63</v>
      </c>
      <c r="B65" s="113">
        <f t="shared" si="0"/>
        <v>45536</v>
      </c>
      <c r="C65" s="114">
        <f>YEAR(GC[[#This Row],[Date]])+IF(MONTH(GC[[#This Row],[Date]])&gt;=4,1,0)</f>
        <v>2025</v>
      </c>
      <c r="D65" s="115">
        <f>YEAR(GC[[#This Row],[Date]])</f>
        <v>2024</v>
      </c>
      <c r="E65" s="112" t="s">
        <v>340</v>
      </c>
      <c r="F65" s="112" t="s">
        <v>340</v>
      </c>
      <c r="G65" s="116" t="str">
        <f>TEXT(GC[[#This Row],[Date]],"mmm-yy")</f>
        <v>Sep-24</v>
      </c>
      <c r="H65" s="116">
        <f>DAY(EOMONTH(GC[[#This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SUM(GC[[#This Row],[IS1Inv1M1]:[IS4Inv10M2]])</f>
        <v>0</v>
      </c>
      <c r="AN65" s="119"/>
      <c r="AO65" s="119"/>
    </row>
    <row r="66" spans="1:41">
      <c r="A66" s="119">
        <v>64</v>
      </c>
      <c r="B66" s="113">
        <f t="shared" si="0"/>
        <v>45537</v>
      </c>
      <c r="C66" s="114">
        <f>YEAR(GC[[#This Row],[Date]])+IF(MONTH(GC[[#This Row],[Date]])&gt;=4,1,0)</f>
        <v>2025</v>
      </c>
      <c r="D66" s="115">
        <f>YEAR(GC[[#This Row],[Date]])</f>
        <v>2024</v>
      </c>
      <c r="E66" s="112" t="s">
        <v>340</v>
      </c>
      <c r="F66" s="112" t="s">
        <v>340</v>
      </c>
      <c r="G66" s="116" t="str">
        <f>TEXT(GC[[#This Row],[Date]],"mmm-yy")</f>
        <v>Sep-24</v>
      </c>
      <c r="H66" s="116">
        <f>DAY(EOMONTH(GC[[#This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SUM(GC[[#This Row],[IS1Inv1M1]:[IS4Inv10M2]])</f>
        <v>0</v>
      </c>
      <c r="AN66" s="119"/>
      <c r="AO66" s="119"/>
    </row>
    <row r="67" spans="1:41">
      <c r="A67" s="119">
        <v>65</v>
      </c>
      <c r="B67" s="113">
        <f t="shared" si="0"/>
        <v>45538</v>
      </c>
      <c r="C67" s="114">
        <f>YEAR(GC[[#This Row],[Date]])+IF(MONTH(GC[[#This Row],[Date]])&gt;=4,1,0)</f>
        <v>2025</v>
      </c>
      <c r="D67" s="115">
        <f>YEAR(GC[[#This Row],[Date]])</f>
        <v>2024</v>
      </c>
      <c r="E67" s="112" t="s">
        <v>340</v>
      </c>
      <c r="F67" s="112" t="s">
        <v>340</v>
      </c>
      <c r="G67" s="116" t="str">
        <f>TEXT(GC[[#This Row],[Date]],"mmm-yy")</f>
        <v>Sep-24</v>
      </c>
      <c r="H67" s="116">
        <f>DAY(EOMONTH(GC[[#This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SUM(GC[[#This Row],[IS1Inv1M1]:[IS4Inv10M2]])</f>
        <v>0</v>
      </c>
      <c r="AN67" s="119"/>
      <c r="AO67" s="119"/>
    </row>
    <row r="68" spans="1:41">
      <c r="A68" s="119">
        <v>66</v>
      </c>
      <c r="B68" s="113">
        <f t="shared" si="0"/>
        <v>45539</v>
      </c>
      <c r="C68" s="114">
        <f>YEAR(GC[[#This Row],[Date]])+IF(MONTH(GC[[#This Row],[Date]])&gt;=4,1,0)</f>
        <v>2025</v>
      </c>
      <c r="D68" s="115">
        <f>YEAR(GC[[#This Row],[Date]])</f>
        <v>2024</v>
      </c>
      <c r="E68" s="112" t="s">
        <v>340</v>
      </c>
      <c r="F68" s="112" t="s">
        <v>340</v>
      </c>
      <c r="G68" s="116" t="str">
        <f>TEXT(GC[[#This Row],[Date]],"mmm-yy")</f>
        <v>Sep-24</v>
      </c>
      <c r="H68" s="116">
        <f>DAY(EOMONTH(GC[[#This Row],[Month Year]],0))</f>
        <v>30</v>
      </c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SUM(GC[[#This Row],[IS1Inv1M1]:[IS4Inv10M2]])</f>
        <v>0</v>
      </c>
      <c r="AN68" s="119"/>
      <c r="AO68" s="119"/>
    </row>
    <row r="69" spans="1:41">
      <c r="A69" s="119">
        <v>67</v>
      </c>
      <c r="B69" s="113">
        <f t="shared" ref="B69:B132" si="1">B68+1</f>
        <v>45540</v>
      </c>
      <c r="C69" s="114">
        <f>YEAR(GC[[#This Row],[Date]])+IF(MONTH(GC[[#This Row],[Date]])&gt;=4,1,0)</f>
        <v>2025</v>
      </c>
      <c r="D69" s="115">
        <f>YEAR(GC[[#This Row],[Date]])</f>
        <v>2024</v>
      </c>
      <c r="E69" s="112" t="s">
        <v>340</v>
      </c>
      <c r="F69" s="112" t="s">
        <v>340</v>
      </c>
      <c r="G69" s="116" t="str">
        <f>TEXT(GC[[#This Row],[Date]],"mmm-yy")</f>
        <v>Sep-24</v>
      </c>
      <c r="H69" s="116">
        <f>DAY(EOMONTH(GC[[#This Row],[Month Year]],0))</f>
        <v>30</v>
      </c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SUM(GC[[#This Row],[IS1Inv1M1]:[IS4Inv10M2]])</f>
        <v>0</v>
      </c>
      <c r="AN69" s="119"/>
      <c r="AO69" s="119"/>
    </row>
    <row r="70" spans="1:41">
      <c r="A70" s="119">
        <v>68</v>
      </c>
      <c r="B70" s="113">
        <f t="shared" si="1"/>
        <v>45541</v>
      </c>
      <c r="C70" s="114">
        <f>YEAR(GC[[#This Row],[Date]])+IF(MONTH(GC[[#This Row],[Date]])&gt;=4,1,0)</f>
        <v>2025</v>
      </c>
      <c r="D70" s="115">
        <f>YEAR(GC[[#This Row],[Date]])</f>
        <v>2024</v>
      </c>
      <c r="E70" s="112" t="s">
        <v>340</v>
      </c>
      <c r="F70" s="112" t="s">
        <v>340</v>
      </c>
      <c r="G70" s="116" t="str">
        <f>TEXT(GC[[#This Row],[Date]],"mmm-yy")</f>
        <v>Sep-24</v>
      </c>
      <c r="H70" s="116">
        <f>DAY(EOMONTH(GC[[#This Row],[Month Year]],0))</f>
        <v>30</v>
      </c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SUM(GC[[#This Row],[IS1Inv1M1]:[IS4Inv10M2]])</f>
        <v>0</v>
      </c>
      <c r="AN70" s="119"/>
      <c r="AO70" s="119"/>
    </row>
    <row r="71" spans="1:41">
      <c r="A71" s="119">
        <v>69</v>
      </c>
      <c r="B71" s="113">
        <f t="shared" si="1"/>
        <v>45542</v>
      </c>
      <c r="C71" s="114">
        <f>YEAR(GC[[#This Row],[Date]])+IF(MONTH(GC[[#This Row],[Date]])&gt;=4,1,0)</f>
        <v>2025</v>
      </c>
      <c r="D71" s="115">
        <f>YEAR(GC[[#This Row],[Date]])</f>
        <v>2024</v>
      </c>
      <c r="E71" s="112" t="s">
        <v>340</v>
      </c>
      <c r="F71" s="112" t="s">
        <v>340</v>
      </c>
      <c r="G71" s="116" t="str">
        <f>TEXT(GC[[#This Row],[Date]],"mmm-yy")</f>
        <v>Sep-24</v>
      </c>
      <c r="H71" s="116">
        <f>DAY(EOMONTH(GC[[#This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SUM(GC[[#This Row],[IS1Inv1M1]:[IS4Inv10M2]])</f>
        <v>0</v>
      </c>
      <c r="AN71" s="119"/>
      <c r="AO71" s="119"/>
    </row>
    <row r="72" spans="1:41">
      <c r="A72" s="119">
        <v>70</v>
      </c>
      <c r="B72" s="113">
        <f t="shared" si="1"/>
        <v>45543</v>
      </c>
      <c r="C72" s="114">
        <f>YEAR(GC[[#This Row],[Date]])+IF(MONTH(GC[[#This Row],[Date]])&gt;=4,1,0)</f>
        <v>2025</v>
      </c>
      <c r="D72" s="115">
        <f>YEAR(GC[[#This Row],[Date]])</f>
        <v>2024</v>
      </c>
      <c r="E72" s="112" t="s">
        <v>340</v>
      </c>
      <c r="F72" s="112" t="s">
        <v>340</v>
      </c>
      <c r="G72" s="116" t="str">
        <f>TEXT(GC[[#This Row],[Date]],"mmm-yy")</f>
        <v>Sep-24</v>
      </c>
      <c r="H72" s="116">
        <f>DAY(EOMONTH(GC[[#This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SUM(GC[[#This Row],[IS1Inv1M1]:[IS4Inv10M2]])</f>
        <v>0</v>
      </c>
      <c r="AN72" s="119"/>
      <c r="AO72" s="119"/>
    </row>
    <row r="73" spans="1:41">
      <c r="A73" s="119">
        <v>71</v>
      </c>
      <c r="B73" s="113">
        <f t="shared" si="1"/>
        <v>45544</v>
      </c>
      <c r="C73" s="114">
        <f>YEAR(GC[[#This Row],[Date]])+IF(MONTH(GC[[#This Row],[Date]])&gt;=4,1,0)</f>
        <v>2025</v>
      </c>
      <c r="D73" s="115">
        <f>YEAR(GC[[#This Row],[Date]])</f>
        <v>2024</v>
      </c>
      <c r="E73" s="112" t="s">
        <v>340</v>
      </c>
      <c r="F73" s="112" t="s">
        <v>340</v>
      </c>
      <c r="G73" s="116" t="str">
        <f>TEXT(GC[[#This Row],[Date]],"mmm-yy")</f>
        <v>Sep-24</v>
      </c>
      <c r="H73" s="116">
        <f>DAY(EOMONTH(GC[[#This Row],[Month Year]],0))</f>
        <v>30</v>
      </c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SUM(GC[[#This Row],[IS1Inv1M1]:[IS4Inv10M2]])</f>
        <v>0</v>
      </c>
      <c r="AN73" s="119"/>
      <c r="AO73" s="119"/>
    </row>
    <row r="74" spans="1:41">
      <c r="A74" s="119">
        <v>72</v>
      </c>
      <c r="B74" s="113">
        <f t="shared" si="1"/>
        <v>45545</v>
      </c>
      <c r="C74" s="114">
        <f>YEAR(GC[[#This Row],[Date]])+IF(MONTH(GC[[#This Row],[Date]])&gt;=4,1,0)</f>
        <v>2025</v>
      </c>
      <c r="D74" s="115">
        <f>YEAR(GC[[#This Row],[Date]])</f>
        <v>2024</v>
      </c>
      <c r="E74" s="112" t="s">
        <v>340</v>
      </c>
      <c r="F74" s="112" t="s">
        <v>340</v>
      </c>
      <c r="G74" s="116" t="str">
        <f>TEXT(GC[[#This Row],[Date]],"mmm-yy")</f>
        <v>Sep-24</v>
      </c>
      <c r="H74" s="116">
        <f>DAY(EOMONTH(GC[[#This Row],[Month Year]],0))</f>
        <v>30</v>
      </c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SUM(GC[[#This Row],[IS1Inv1M1]:[IS4Inv10M2]])</f>
        <v>0</v>
      </c>
      <c r="AN74" s="119"/>
      <c r="AO74" s="119"/>
    </row>
    <row r="75" spans="1:41">
      <c r="A75" s="119">
        <v>73</v>
      </c>
      <c r="B75" s="113">
        <f t="shared" si="1"/>
        <v>45546</v>
      </c>
      <c r="C75" s="114">
        <f>YEAR(GC[[#This Row],[Date]])+IF(MONTH(GC[[#This Row],[Date]])&gt;=4,1,0)</f>
        <v>2025</v>
      </c>
      <c r="D75" s="115">
        <f>YEAR(GC[[#This Row],[Date]])</f>
        <v>2024</v>
      </c>
      <c r="E75" s="112" t="s">
        <v>340</v>
      </c>
      <c r="F75" s="112" t="s">
        <v>340</v>
      </c>
      <c r="G75" s="116" t="str">
        <f>TEXT(GC[[#This Row],[Date]],"mmm-yy")</f>
        <v>Sep-24</v>
      </c>
      <c r="H75" s="116">
        <f>DAY(EOMONTH(GC[[#This Row],[Month Year]],0))</f>
        <v>30</v>
      </c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SUM(GC[[#This Row],[IS1Inv1M1]:[IS4Inv10M2]])</f>
        <v>0</v>
      </c>
      <c r="AN75" s="119"/>
      <c r="AO75" s="119"/>
    </row>
    <row r="76" spans="1:41">
      <c r="A76" s="119">
        <v>74</v>
      </c>
      <c r="B76" s="113">
        <f t="shared" si="1"/>
        <v>45547</v>
      </c>
      <c r="C76" s="114">
        <f>YEAR(GC[[#This Row],[Date]])+IF(MONTH(GC[[#This Row],[Date]])&gt;=4,1,0)</f>
        <v>2025</v>
      </c>
      <c r="D76" s="115">
        <f>YEAR(GC[[#This Row],[Date]])</f>
        <v>2024</v>
      </c>
      <c r="E76" s="112" t="s">
        <v>340</v>
      </c>
      <c r="F76" s="112" t="s">
        <v>340</v>
      </c>
      <c r="G76" s="116" t="str">
        <f>TEXT(GC[[#This Row],[Date]],"mmm-yy")</f>
        <v>Sep-24</v>
      </c>
      <c r="H76" s="116">
        <f>DAY(EOMONTH(GC[[#This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SUM(GC[[#This Row],[IS1Inv1M1]:[IS4Inv10M2]])</f>
        <v>0</v>
      </c>
      <c r="AN76" s="119"/>
      <c r="AO76" s="119"/>
    </row>
    <row r="77" spans="1:41">
      <c r="A77" s="119">
        <v>75</v>
      </c>
      <c r="B77" s="113">
        <f t="shared" si="1"/>
        <v>45548</v>
      </c>
      <c r="C77" s="114">
        <f>YEAR(GC[[#This Row],[Date]])+IF(MONTH(GC[[#This Row],[Date]])&gt;=4,1,0)</f>
        <v>2025</v>
      </c>
      <c r="D77" s="115">
        <f>YEAR(GC[[#This Row],[Date]])</f>
        <v>2024</v>
      </c>
      <c r="E77" s="112" t="s">
        <v>340</v>
      </c>
      <c r="F77" s="112" t="s">
        <v>340</v>
      </c>
      <c r="G77" s="116" t="str">
        <f>TEXT(GC[[#This Row],[Date]],"mmm-yy")</f>
        <v>Sep-24</v>
      </c>
      <c r="H77" s="116">
        <f>DAY(EOMONTH(GC[[#This Row],[Month Year]],0))</f>
        <v>30</v>
      </c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SUM(GC[[#This Row],[IS1Inv1M1]:[IS4Inv10M2]])</f>
        <v>0</v>
      </c>
      <c r="AN77" s="119"/>
      <c r="AO77" s="119"/>
    </row>
    <row r="78" spans="1:41">
      <c r="A78" s="119">
        <v>76</v>
      </c>
      <c r="B78" s="113">
        <f t="shared" si="1"/>
        <v>45549</v>
      </c>
      <c r="C78" s="114">
        <f>YEAR(GC[[#This Row],[Date]])+IF(MONTH(GC[[#This Row],[Date]])&gt;=4,1,0)</f>
        <v>2025</v>
      </c>
      <c r="D78" s="115">
        <f>YEAR(GC[[#This Row],[Date]])</f>
        <v>2024</v>
      </c>
      <c r="E78" s="112" t="s">
        <v>340</v>
      </c>
      <c r="F78" s="112" t="s">
        <v>340</v>
      </c>
      <c r="G78" s="116" t="str">
        <f>TEXT(GC[[#This Row],[Date]],"mmm-yy")</f>
        <v>Sep-24</v>
      </c>
      <c r="H78" s="116">
        <f>DAY(EOMONTH(GC[[#This Row],[Month Year]],0))</f>
        <v>30</v>
      </c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SUM(GC[[#This Row],[IS1Inv1M1]:[IS4Inv10M2]])</f>
        <v>0</v>
      </c>
      <c r="AN78" s="119"/>
      <c r="AO78" s="119"/>
    </row>
    <row r="79" spans="1:41">
      <c r="A79" s="119">
        <v>77</v>
      </c>
      <c r="B79" s="113">
        <f t="shared" si="1"/>
        <v>45550</v>
      </c>
      <c r="C79" s="114">
        <f>YEAR(GC[[#This Row],[Date]])+IF(MONTH(GC[[#This Row],[Date]])&gt;=4,1,0)</f>
        <v>2025</v>
      </c>
      <c r="D79" s="115">
        <f>YEAR(GC[[#This Row],[Date]])</f>
        <v>2024</v>
      </c>
      <c r="E79" s="112" t="s">
        <v>340</v>
      </c>
      <c r="F79" s="112" t="s">
        <v>340</v>
      </c>
      <c r="G79" s="116" t="str">
        <f>TEXT(GC[[#This Row],[Date]],"mmm-yy")</f>
        <v>Sep-24</v>
      </c>
      <c r="H79" s="116">
        <f>DAY(EOMONTH(GC[[#This Row],[Month Year]],0))</f>
        <v>30</v>
      </c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SUM(GC[[#This Row],[IS1Inv1M1]:[IS4Inv10M2]])</f>
        <v>0</v>
      </c>
      <c r="AN79" s="119"/>
      <c r="AO79" s="119"/>
    </row>
    <row r="80" spans="1:41">
      <c r="A80" s="119">
        <v>78</v>
      </c>
      <c r="B80" s="113">
        <f t="shared" si="1"/>
        <v>45551</v>
      </c>
      <c r="C80" s="114">
        <f>YEAR(GC[[#This Row],[Date]])+IF(MONTH(GC[[#This Row],[Date]])&gt;=4,1,0)</f>
        <v>2025</v>
      </c>
      <c r="D80" s="115">
        <f>YEAR(GC[[#This Row],[Date]])</f>
        <v>2024</v>
      </c>
      <c r="E80" s="112" t="s">
        <v>340</v>
      </c>
      <c r="F80" s="112" t="s">
        <v>340</v>
      </c>
      <c r="G80" s="116" t="str">
        <f>TEXT(GC[[#This Row],[Date]],"mmm-yy")</f>
        <v>Sep-24</v>
      </c>
      <c r="H80" s="116">
        <f>DAY(EOMONTH(GC[[#This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SUM(GC[[#This Row],[IS1Inv1M1]:[IS4Inv10M2]])</f>
        <v>0</v>
      </c>
      <c r="AN80" s="119"/>
      <c r="AO80" s="119"/>
    </row>
    <row r="81" spans="1:41">
      <c r="A81" s="119">
        <v>79</v>
      </c>
      <c r="B81" s="113">
        <f t="shared" si="1"/>
        <v>45552</v>
      </c>
      <c r="C81" s="114">
        <f>YEAR(GC[[#This Row],[Date]])+IF(MONTH(GC[[#This Row],[Date]])&gt;=4,1,0)</f>
        <v>2025</v>
      </c>
      <c r="D81" s="115">
        <f>YEAR(GC[[#This Row],[Date]])</f>
        <v>2024</v>
      </c>
      <c r="E81" s="112" t="s">
        <v>340</v>
      </c>
      <c r="F81" s="112" t="s">
        <v>340</v>
      </c>
      <c r="G81" s="116" t="str">
        <f>TEXT(GC[[#This Row],[Date]],"mmm-yy")</f>
        <v>Sep-24</v>
      </c>
      <c r="H81" s="116">
        <f>DAY(EOMONTH(GC[[#This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SUM(GC[[#This Row],[IS1Inv1M1]:[IS4Inv10M2]])</f>
        <v>0</v>
      </c>
      <c r="AN81" s="119"/>
      <c r="AO81" s="119"/>
    </row>
    <row r="82" spans="1:41">
      <c r="A82" s="119">
        <v>80</v>
      </c>
      <c r="B82" s="113">
        <f t="shared" si="1"/>
        <v>45553</v>
      </c>
      <c r="C82" s="114">
        <f>YEAR(GC[[#This Row],[Date]])+IF(MONTH(GC[[#This Row],[Date]])&gt;=4,1,0)</f>
        <v>2025</v>
      </c>
      <c r="D82" s="115">
        <f>YEAR(GC[[#This Row],[Date]])</f>
        <v>2024</v>
      </c>
      <c r="E82" s="112" t="s">
        <v>340</v>
      </c>
      <c r="F82" s="112" t="s">
        <v>340</v>
      </c>
      <c r="G82" s="116" t="str">
        <f>TEXT(GC[[#This Row],[Date]],"mmm-yy")</f>
        <v>Sep-24</v>
      </c>
      <c r="H82" s="116">
        <f>DAY(EOMONTH(GC[[#This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SUM(GC[[#This Row],[IS1Inv1M1]:[IS4Inv10M2]])</f>
        <v>0</v>
      </c>
      <c r="AN82" s="119"/>
      <c r="AO82" s="119"/>
    </row>
    <row r="83" spans="1:41">
      <c r="A83" s="119">
        <v>81</v>
      </c>
      <c r="B83" s="113">
        <f t="shared" si="1"/>
        <v>45554</v>
      </c>
      <c r="C83" s="114">
        <f>YEAR(GC[[#This Row],[Date]])+IF(MONTH(GC[[#This Row],[Date]])&gt;=4,1,0)</f>
        <v>2025</v>
      </c>
      <c r="D83" s="115">
        <f>YEAR(GC[[#This Row],[Date]])</f>
        <v>2024</v>
      </c>
      <c r="E83" s="112" t="s">
        <v>340</v>
      </c>
      <c r="F83" s="112" t="s">
        <v>340</v>
      </c>
      <c r="G83" s="116" t="str">
        <f>TEXT(GC[[#This Row],[Date]],"mmm-yy")</f>
        <v>Sep-24</v>
      </c>
      <c r="H83" s="116">
        <f>DAY(EOMONTH(GC[[#This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SUM(GC[[#This Row],[IS1Inv1M1]:[IS4Inv10M2]])</f>
        <v>0</v>
      </c>
      <c r="AN83" s="119"/>
      <c r="AO83" s="119"/>
    </row>
    <row r="84" spans="1:41">
      <c r="A84" s="119">
        <v>82</v>
      </c>
      <c r="B84" s="113">
        <f t="shared" si="1"/>
        <v>45555</v>
      </c>
      <c r="C84" s="114">
        <f>YEAR(GC[[#This Row],[Date]])+IF(MONTH(GC[[#This Row],[Date]])&gt;=4,1,0)</f>
        <v>2025</v>
      </c>
      <c r="D84" s="115">
        <f>YEAR(GC[[#This Row],[Date]])</f>
        <v>2024</v>
      </c>
      <c r="E84" s="112" t="s">
        <v>340</v>
      </c>
      <c r="F84" s="112" t="s">
        <v>340</v>
      </c>
      <c r="G84" s="116" t="str">
        <f>TEXT(GC[[#This Row],[Date]],"mmm-yy")</f>
        <v>Sep-24</v>
      </c>
      <c r="H84" s="116">
        <f>DAY(EOMONTH(GC[[#This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SUM(GC[[#This Row],[IS1Inv1M1]:[IS4Inv10M2]])</f>
        <v>0</v>
      </c>
      <c r="AN84" s="119"/>
      <c r="AO84" s="119"/>
    </row>
    <row r="85" spans="1:41">
      <c r="A85" s="119">
        <v>83</v>
      </c>
      <c r="B85" s="113">
        <f t="shared" si="1"/>
        <v>45556</v>
      </c>
      <c r="C85" s="114">
        <f>YEAR(GC[[#This Row],[Date]])+IF(MONTH(GC[[#This Row],[Date]])&gt;=4,1,0)</f>
        <v>2025</v>
      </c>
      <c r="D85" s="115">
        <f>YEAR(GC[[#This Row],[Date]])</f>
        <v>2024</v>
      </c>
      <c r="E85" s="112" t="s">
        <v>340</v>
      </c>
      <c r="F85" s="112" t="s">
        <v>340</v>
      </c>
      <c r="G85" s="116" t="str">
        <f>TEXT(GC[[#This Row],[Date]],"mmm-yy")</f>
        <v>Sep-24</v>
      </c>
      <c r="H85" s="116">
        <f>DAY(EOMONTH(GC[[#This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SUM(GC[[#This Row],[IS1Inv1M1]:[IS4Inv10M2]])</f>
        <v>0</v>
      </c>
      <c r="AN85" s="119"/>
      <c r="AO85" s="119"/>
    </row>
    <row r="86" spans="1:41">
      <c r="A86" s="119">
        <v>84</v>
      </c>
      <c r="B86" s="113">
        <f t="shared" si="1"/>
        <v>45557</v>
      </c>
      <c r="C86" s="114">
        <f>YEAR(GC[[#This Row],[Date]])+IF(MONTH(GC[[#This Row],[Date]])&gt;=4,1,0)</f>
        <v>2025</v>
      </c>
      <c r="D86" s="115">
        <f>YEAR(GC[[#This Row],[Date]])</f>
        <v>2024</v>
      </c>
      <c r="E86" s="112" t="s">
        <v>340</v>
      </c>
      <c r="F86" s="112" t="s">
        <v>340</v>
      </c>
      <c r="G86" s="116" t="str">
        <f>TEXT(GC[[#This Row],[Date]],"mmm-yy")</f>
        <v>Sep-24</v>
      </c>
      <c r="H86" s="116">
        <f>DAY(EOMONTH(GC[[#This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SUM(GC[[#This Row],[IS1Inv1M1]:[IS4Inv10M2]])</f>
        <v>0</v>
      </c>
      <c r="AN86" s="119"/>
      <c r="AO86" s="119"/>
    </row>
    <row r="87" spans="1:41">
      <c r="A87" s="119">
        <v>85</v>
      </c>
      <c r="B87" s="113">
        <f t="shared" si="1"/>
        <v>45558</v>
      </c>
      <c r="C87" s="114">
        <f>YEAR(GC[[#This Row],[Date]])+IF(MONTH(GC[[#This Row],[Date]])&gt;=4,1,0)</f>
        <v>2025</v>
      </c>
      <c r="D87" s="115">
        <f>YEAR(GC[[#This Row],[Date]])</f>
        <v>2024</v>
      </c>
      <c r="E87" s="112" t="s">
        <v>340</v>
      </c>
      <c r="F87" s="112" t="s">
        <v>340</v>
      </c>
      <c r="G87" s="116" t="str">
        <f>TEXT(GC[[#This Row],[Date]],"mmm-yy")</f>
        <v>Sep-24</v>
      </c>
      <c r="H87" s="116">
        <f>DAY(EOMONTH(GC[[#This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SUM(GC[[#This Row],[IS1Inv1M1]:[IS4Inv10M2]])</f>
        <v>0</v>
      </c>
      <c r="AN87" s="119"/>
      <c r="AO87" s="119"/>
    </row>
    <row r="88" spans="1:41">
      <c r="A88" s="119">
        <v>86</v>
      </c>
      <c r="B88" s="113">
        <f t="shared" si="1"/>
        <v>45559</v>
      </c>
      <c r="C88" s="114">
        <f>YEAR(GC[[#This Row],[Date]])+IF(MONTH(GC[[#This Row],[Date]])&gt;=4,1,0)</f>
        <v>2025</v>
      </c>
      <c r="D88" s="115">
        <f>YEAR(GC[[#This Row],[Date]])</f>
        <v>2024</v>
      </c>
      <c r="E88" s="112" t="s">
        <v>340</v>
      </c>
      <c r="F88" s="112" t="s">
        <v>340</v>
      </c>
      <c r="G88" s="116" t="str">
        <f>TEXT(GC[[#This Row],[Date]],"mmm-yy")</f>
        <v>Sep-24</v>
      </c>
      <c r="H88" s="116">
        <f>DAY(EOMONTH(GC[[#This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SUM(GC[[#This Row],[IS1Inv1M1]:[IS4Inv10M2]])</f>
        <v>0</v>
      </c>
      <c r="AN88" s="119"/>
      <c r="AO88" s="119"/>
    </row>
    <row r="89" spans="1:41">
      <c r="A89" s="119">
        <v>87</v>
      </c>
      <c r="B89" s="113">
        <f t="shared" si="1"/>
        <v>45560</v>
      </c>
      <c r="C89" s="114">
        <f>YEAR(GC[[#This Row],[Date]])+IF(MONTH(GC[[#This Row],[Date]])&gt;=4,1,0)</f>
        <v>2025</v>
      </c>
      <c r="D89" s="115">
        <f>YEAR(GC[[#This Row],[Date]])</f>
        <v>2024</v>
      </c>
      <c r="E89" s="112" t="s">
        <v>340</v>
      </c>
      <c r="F89" s="112" t="s">
        <v>340</v>
      </c>
      <c r="G89" s="116" t="str">
        <f>TEXT(GC[[#This Row],[Date]],"mmm-yy")</f>
        <v>Sep-24</v>
      </c>
      <c r="H89" s="116">
        <f>DAY(EOMONTH(GC[[#This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SUM(GC[[#This Row],[IS1Inv1M1]:[IS4Inv10M2]])</f>
        <v>0</v>
      </c>
      <c r="AN89" s="119"/>
      <c r="AO89" s="119"/>
    </row>
    <row r="90" spans="1:41">
      <c r="A90" s="119">
        <v>88</v>
      </c>
      <c r="B90" s="113">
        <f t="shared" si="1"/>
        <v>45561</v>
      </c>
      <c r="C90" s="114">
        <f>YEAR(GC[[#This Row],[Date]])+IF(MONTH(GC[[#This Row],[Date]])&gt;=4,1,0)</f>
        <v>2025</v>
      </c>
      <c r="D90" s="115">
        <f>YEAR(GC[[#This Row],[Date]])</f>
        <v>2024</v>
      </c>
      <c r="E90" s="112" t="s">
        <v>340</v>
      </c>
      <c r="F90" s="112" t="s">
        <v>340</v>
      </c>
      <c r="G90" s="116" t="str">
        <f>TEXT(GC[[#This Row],[Date]],"mmm-yy")</f>
        <v>Sep-24</v>
      </c>
      <c r="H90" s="116">
        <f>DAY(EOMONTH(GC[[#This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SUM(GC[[#This Row],[IS1Inv1M1]:[IS4Inv10M2]])</f>
        <v>0</v>
      </c>
      <c r="AN90" s="119"/>
      <c r="AO90" s="119"/>
    </row>
    <row r="91" spans="1:41">
      <c r="A91" s="119">
        <v>89</v>
      </c>
      <c r="B91" s="113">
        <f t="shared" si="1"/>
        <v>45562</v>
      </c>
      <c r="C91" s="114">
        <f>YEAR(GC[[#This Row],[Date]])+IF(MONTH(GC[[#This Row],[Date]])&gt;=4,1,0)</f>
        <v>2025</v>
      </c>
      <c r="D91" s="115">
        <f>YEAR(GC[[#This Row],[Date]])</f>
        <v>2024</v>
      </c>
      <c r="E91" s="112" t="s">
        <v>340</v>
      </c>
      <c r="F91" s="112" t="s">
        <v>340</v>
      </c>
      <c r="G91" s="116" t="str">
        <f>TEXT(GC[[#This Row],[Date]],"mmm-yy")</f>
        <v>Sep-24</v>
      </c>
      <c r="H91" s="116">
        <f>DAY(EOMONTH(GC[[#This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SUM(GC[[#This Row],[IS1Inv1M1]:[IS4Inv10M2]])</f>
        <v>0</v>
      </c>
      <c r="AN91" s="119"/>
      <c r="AO91" s="119"/>
    </row>
    <row r="92" spans="1:41">
      <c r="A92" s="119">
        <v>90</v>
      </c>
      <c r="B92" s="113">
        <f t="shared" si="1"/>
        <v>45563</v>
      </c>
      <c r="C92" s="114">
        <f>YEAR(GC[[#This Row],[Date]])+IF(MONTH(GC[[#This Row],[Date]])&gt;=4,1,0)</f>
        <v>2025</v>
      </c>
      <c r="D92" s="115">
        <f>YEAR(GC[[#This Row],[Date]])</f>
        <v>2024</v>
      </c>
      <c r="E92" s="112" t="s">
        <v>340</v>
      </c>
      <c r="F92" s="112" t="s">
        <v>340</v>
      </c>
      <c r="G92" s="116" t="str">
        <f>TEXT(GC[[#This Row],[Date]],"mmm-yy")</f>
        <v>Sep-24</v>
      </c>
      <c r="H92" s="116">
        <f>DAY(EOMONTH(GC[[#This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SUM(GC[[#This Row],[IS1Inv1M1]:[IS4Inv10M2]])</f>
        <v>0</v>
      </c>
      <c r="AN92" s="119"/>
      <c r="AO92" s="119"/>
    </row>
    <row r="93" spans="1:41">
      <c r="A93" s="119">
        <v>91</v>
      </c>
      <c r="B93" s="113">
        <f t="shared" si="1"/>
        <v>45564</v>
      </c>
      <c r="C93" s="114">
        <f>YEAR(GC[[#This Row],[Date]])+IF(MONTH(GC[[#This Row],[Date]])&gt;=4,1,0)</f>
        <v>2025</v>
      </c>
      <c r="D93" s="115">
        <f>YEAR(GC[[#This Row],[Date]])</f>
        <v>2024</v>
      </c>
      <c r="E93" s="112" t="s">
        <v>340</v>
      </c>
      <c r="F93" s="112" t="s">
        <v>340</v>
      </c>
      <c r="G93" s="116" t="str">
        <f>TEXT(GC[[#This Row],[Date]],"mmm-yy")</f>
        <v>Sep-24</v>
      </c>
      <c r="H93" s="116">
        <f>DAY(EOMONTH(GC[[#This Row],[Month Year]],0))</f>
        <v>30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SUM(GC[[#This Row],[IS1Inv1M1]:[IS4Inv10M2]])</f>
        <v>0</v>
      </c>
      <c r="AN93" s="119"/>
      <c r="AO93" s="119"/>
    </row>
    <row r="94" spans="1:41">
      <c r="A94" s="119">
        <v>92</v>
      </c>
      <c r="B94" s="113">
        <f t="shared" si="1"/>
        <v>45565</v>
      </c>
      <c r="C94" s="114">
        <f>YEAR(GC[[#This Row],[Date]])+IF(MONTH(GC[[#This Row],[Date]])&gt;=4,1,0)</f>
        <v>2025</v>
      </c>
      <c r="D94" s="115">
        <f>YEAR(GC[[#This Row],[Date]])</f>
        <v>2024</v>
      </c>
      <c r="E94" s="112" t="s">
        <v>340</v>
      </c>
      <c r="F94" s="112" t="s">
        <v>340</v>
      </c>
      <c r="G94" s="116" t="str">
        <f>TEXT(GC[[#This Row],[Date]],"mmm-yy")</f>
        <v>Sep-24</v>
      </c>
      <c r="H94" s="116">
        <f>DAY(EOMONTH(GC[[#This Row],[Month Year]],0))</f>
        <v>30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SUM(GC[[#This Row],[IS1Inv1M1]:[IS4Inv10M2]])</f>
        <v>0</v>
      </c>
      <c r="AN94" s="119"/>
      <c r="AO94" s="119"/>
    </row>
    <row r="95" spans="1:41">
      <c r="A95" s="119">
        <v>93</v>
      </c>
      <c r="B95" s="113">
        <f t="shared" si="1"/>
        <v>45566</v>
      </c>
      <c r="C95" s="114">
        <f>YEAR(GC[[#This Row],[Date]])+IF(MONTH(GC[[#This Row],[Date]])&gt;=4,1,0)</f>
        <v>2025</v>
      </c>
      <c r="D95" s="115">
        <f>YEAR(GC[[#This Row],[Date]])</f>
        <v>2024</v>
      </c>
      <c r="E95" s="112" t="s">
        <v>340</v>
      </c>
      <c r="F95" s="112" t="s">
        <v>340</v>
      </c>
      <c r="G95" s="116" t="str">
        <f>TEXT(GC[[#This Row],[Date]],"mmm-yy")</f>
        <v>Oct-24</v>
      </c>
      <c r="H95" s="116">
        <f>DAY(EOMONTH(GC[[#This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SUM(GC[[#This Row],[IS1Inv1M1]:[IS4Inv10M2]])</f>
        <v>0</v>
      </c>
      <c r="AN95" s="119"/>
      <c r="AO95" s="119"/>
    </row>
    <row r="96" spans="1:41">
      <c r="A96" s="119">
        <v>94</v>
      </c>
      <c r="B96" s="113">
        <f t="shared" si="1"/>
        <v>45567</v>
      </c>
      <c r="C96" s="114">
        <f>YEAR(GC[[#This Row],[Date]])+IF(MONTH(GC[[#This Row],[Date]])&gt;=4,1,0)</f>
        <v>2025</v>
      </c>
      <c r="D96" s="115">
        <f>YEAR(GC[[#This Row],[Date]])</f>
        <v>2024</v>
      </c>
      <c r="E96" s="112" t="s">
        <v>340</v>
      </c>
      <c r="F96" s="112" t="s">
        <v>340</v>
      </c>
      <c r="G96" s="116" t="str">
        <f>TEXT(GC[[#This Row],[Date]],"mmm-yy")</f>
        <v>Oct-24</v>
      </c>
      <c r="H96" s="116">
        <f>DAY(EOMONTH(GC[[#This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SUM(GC[[#This Row],[IS1Inv1M1]:[IS4Inv10M2]])</f>
        <v>0</v>
      </c>
      <c r="AN96" s="119"/>
      <c r="AO96" s="119"/>
    </row>
    <row r="97" spans="1:41">
      <c r="A97" s="119">
        <v>95</v>
      </c>
      <c r="B97" s="113">
        <f t="shared" si="1"/>
        <v>45568</v>
      </c>
      <c r="C97" s="114">
        <f>YEAR(GC[[#This Row],[Date]])+IF(MONTH(GC[[#This Row],[Date]])&gt;=4,1,0)</f>
        <v>2025</v>
      </c>
      <c r="D97" s="115">
        <f>YEAR(GC[[#This Row],[Date]])</f>
        <v>2024</v>
      </c>
      <c r="E97" s="112" t="s">
        <v>340</v>
      </c>
      <c r="F97" s="112" t="s">
        <v>340</v>
      </c>
      <c r="G97" s="116" t="str">
        <f>TEXT(GC[[#This Row],[Date]],"mmm-yy")</f>
        <v>Oct-24</v>
      </c>
      <c r="H97" s="116">
        <f>DAY(EOMONTH(GC[[#This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SUM(GC[[#This Row],[IS1Inv1M1]:[IS4Inv10M2]])</f>
        <v>0</v>
      </c>
      <c r="AN97" s="119"/>
      <c r="AO97" s="119"/>
    </row>
    <row r="98" spans="1:41">
      <c r="A98" s="119">
        <v>96</v>
      </c>
      <c r="B98" s="113">
        <f t="shared" si="1"/>
        <v>45569</v>
      </c>
      <c r="C98" s="114">
        <f>YEAR(GC[[#This Row],[Date]])+IF(MONTH(GC[[#This Row],[Date]])&gt;=4,1,0)</f>
        <v>2025</v>
      </c>
      <c r="D98" s="115">
        <f>YEAR(GC[[#This Row],[Date]])</f>
        <v>2024</v>
      </c>
      <c r="E98" s="112" t="s">
        <v>340</v>
      </c>
      <c r="F98" s="112" t="s">
        <v>340</v>
      </c>
      <c r="G98" s="116" t="str">
        <f>TEXT(GC[[#This Row],[Date]],"mmm-yy")</f>
        <v>Oct-24</v>
      </c>
      <c r="H98" s="116">
        <f>DAY(EOMONTH(GC[[#This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SUM(GC[[#This Row],[IS1Inv1M1]:[IS4Inv10M2]])</f>
        <v>0</v>
      </c>
      <c r="AN98" s="119"/>
      <c r="AO98" s="119"/>
    </row>
    <row r="99" spans="1:41">
      <c r="A99" s="119">
        <v>97</v>
      </c>
      <c r="B99" s="113">
        <f t="shared" si="1"/>
        <v>45570</v>
      </c>
      <c r="C99" s="114">
        <f>YEAR(GC[[#This Row],[Date]])+IF(MONTH(GC[[#This Row],[Date]])&gt;=4,1,0)</f>
        <v>2025</v>
      </c>
      <c r="D99" s="115">
        <f>YEAR(GC[[#This Row],[Date]])</f>
        <v>2024</v>
      </c>
      <c r="E99" s="112" t="s">
        <v>340</v>
      </c>
      <c r="F99" s="112" t="s">
        <v>340</v>
      </c>
      <c r="G99" s="116" t="str">
        <f>TEXT(GC[[#This Row],[Date]],"mmm-yy")</f>
        <v>Oct-24</v>
      </c>
      <c r="H99" s="116">
        <f>DAY(EOMONTH(GC[[#This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SUM(GC[[#This Row],[IS1Inv1M1]:[IS4Inv10M2]])</f>
        <v>0</v>
      </c>
      <c r="AN99" s="119"/>
      <c r="AO99" s="119"/>
    </row>
    <row r="100" spans="1:41">
      <c r="A100" s="119">
        <v>98</v>
      </c>
      <c r="B100" s="113">
        <f t="shared" si="1"/>
        <v>45571</v>
      </c>
      <c r="C100" s="114">
        <f>YEAR(GC[[#This Row],[Date]])+IF(MONTH(GC[[#This Row],[Date]])&gt;=4,1,0)</f>
        <v>2025</v>
      </c>
      <c r="D100" s="115">
        <f>YEAR(GC[[#This Row],[Date]])</f>
        <v>2024</v>
      </c>
      <c r="E100" s="112" t="s">
        <v>340</v>
      </c>
      <c r="F100" s="112" t="s">
        <v>340</v>
      </c>
      <c r="G100" s="116" t="str">
        <f>TEXT(GC[[#This Row],[Date]],"mmm-yy")</f>
        <v>Oct-24</v>
      </c>
      <c r="H100" s="116">
        <f>DAY(EOMONTH(GC[[#This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SUM(GC[[#This Row],[IS1Inv1M1]:[IS4Inv10M2]])</f>
        <v>0</v>
      </c>
      <c r="AN100" s="119"/>
      <c r="AO100" s="119"/>
    </row>
    <row r="101" spans="1:41">
      <c r="A101" s="119">
        <v>99</v>
      </c>
      <c r="B101" s="113">
        <f t="shared" si="1"/>
        <v>45572</v>
      </c>
      <c r="C101" s="114">
        <f>YEAR(GC[[#This Row],[Date]])+IF(MONTH(GC[[#This Row],[Date]])&gt;=4,1,0)</f>
        <v>2025</v>
      </c>
      <c r="D101" s="115">
        <f>YEAR(GC[[#This Row],[Date]])</f>
        <v>2024</v>
      </c>
      <c r="E101" s="112" t="s">
        <v>340</v>
      </c>
      <c r="F101" s="112" t="s">
        <v>340</v>
      </c>
      <c r="G101" s="116" t="str">
        <f>TEXT(GC[[#This Row],[Date]],"mmm-yy")</f>
        <v>Oct-24</v>
      </c>
      <c r="H101" s="116">
        <f>DAY(EOMONTH(GC[[#This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SUM(GC[[#This Row],[IS1Inv1M1]:[IS4Inv10M2]])</f>
        <v>0</v>
      </c>
      <c r="AN101" s="119"/>
      <c r="AO101" s="119"/>
    </row>
    <row r="102" spans="1:41">
      <c r="A102" s="119">
        <v>100</v>
      </c>
      <c r="B102" s="113">
        <f t="shared" si="1"/>
        <v>45573</v>
      </c>
      <c r="C102" s="114">
        <f>YEAR(GC[[#This Row],[Date]])+IF(MONTH(GC[[#This Row],[Date]])&gt;=4,1,0)</f>
        <v>2025</v>
      </c>
      <c r="D102" s="115">
        <f>YEAR(GC[[#This Row],[Date]])</f>
        <v>2024</v>
      </c>
      <c r="E102" s="112" t="s">
        <v>340</v>
      </c>
      <c r="F102" s="112" t="s">
        <v>340</v>
      </c>
      <c r="G102" s="116" t="str">
        <f>TEXT(GC[[#This Row],[Date]],"mmm-yy")</f>
        <v>Oct-24</v>
      </c>
      <c r="H102" s="116">
        <f>DAY(EOMONTH(GC[[#This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SUM(GC[[#This Row],[IS1Inv1M1]:[IS4Inv10M2]])</f>
        <v>0</v>
      </c>
      <c r="AN102" s="119"/>
      <c r="AO102" s="119"/>
    </row>
    <row r="103" spans="1:41">
      <c r="A103" s="119">
        <v>101</v>
      </c>
      <c r="B103" s="113">
        <f t="shared" si="1"/>
        <v>45574</v>
      </c>
      <c r="C103" s="114">
        <f>YEAR(GC[[#This Row],[Date]])+IF(MONTH(GC[[#This Row],[Date]])&gt;=4,1,0)</f>
        <v>2025</v>
      </c>
      <c r="D103" s="115">
        <f>YEAR(GC[[#This Row],[Date]])</f>
        <v>2024</v>
      </c>
      <c r="E103" s="112" t="s">
        <v>340</v>
      </c>
      <c r="F103" s="112" t="s">
        <v>340</v>
      </c>
      <c r="G103" s="116" t="str">
        <f>TEXT(GC[[#This Row],[Date]],"mmm-yy")</f>
        <v>Oct-24</v>
      </c>
      <c r="H103" s="116">
        <f>DAY(EOMONTH(GC[[#This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SUM(GC[[#This Row],[IS1Inv1M1]:[IS4Inv10M2]])</f>
        <v>0</v>
      </c>
      <c r="AN103" s="119"/>
      <c r="AO103" s="119"/>
    </row>
    <row r="104" spans="1:41">
      <c r="A104" s="119">
        <v>102</v>
      </c>
      <c r="B104" s="113">
        <f t="shared" si="1"/>
        <v>45575</v>
      </c>
      <c r="C104" s="114">
        <f>YEAR(GC[[#This Row],[Date]])+IF(MONTH(GC[[#This Row],[Date]])&gt;=4,1,0)</f>
        <v>2025</v>
      </c>
      <c r="D104" s="115">
        <f>YEAR(GC[[#This Row],[Date]])</f>
        <v>2024</v>
      </c>
      <c r="E104" s="112" t="s">
        <v>340</v>
      </c>
      <c r="F104" s="112" t="s">
        <v>340</v>
      </c>
      <c r="G104" s="116" t="str">
        <f>TEXT(GC[[#This Row],[Date]],"mmm-yy")</f>
        <v>Oct-24</v>
      </c>
      <c r="H104" s="116">
        <f>DAY(EOMONTH(GC[[#This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SUM(GC[[#This Row],[IS1Inv1M1]:[IS4Inv10M2]])</f>
        <v>0</v>
      </c>
      <c r="AN104" s="119"/>
      <c r="AO104" s="119"/>
    </row>
    <row r="105" spans="1:41">
      <c r="A105" s="119">
        <v>103</v>
      </c>
      <c r="B105" s="113">
        <f t="shared" si="1"/>
        <v>45576</v>
      </c>
      <c r="C105" s="114">
        <f>YEAR(GC[[#This Row],[Date]])+IF(MONTH(GC[[#This Row],[Date]])&gt;=4,1,0)</f>
        <v>2025</v>
      </c>
      <c r="D105" s="115">
        <f>YEAR(GC[[#This Row],[Date]])</f>
        <v>2024</v>
      </c>
      <c r="E105" s="112" t="s">
        <v>340</v>
      </c>
      <c r="F105" s="112" t="s">
        <v>340</v>
      </c>
      <c r="G105" s="116" t="str">
        <f>TEXT(GC[[#This Row],[Date]],"mmm-yy")</f>
        <v>Oct-24</v>
      </c>
      <c r="H105" s="116">
        <f>DAY(EOMONTH(GC[[#This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SUM(GC[[#This Row],[IS1Inv1M1]:[IS4Inv10M2]])</f>
        <v>0</v>
      </c>
      <c r="AN105" s="119"/>
      <c r="AO105" s="119"/>
    </row>
    <row r="106" spans="1:41">
      <c r="A106" s="119">
        <v>104</v>
      </c>
      <c r="B106" s="113">
        <f t="shared" si="1"/>
        <v>45577</v>
      </c>
      <c r="C106" s="114">
        <f>YEAR(GC[[#This Row],[Date]])+IF(MONTH(GC[[#This Row],[Date]])&gt;=4,1,0)</f>
        <v>2025</v>
      </c>
      <c r="D106" s="115">
        <f>YEAR(GC[[#This Row],[Date]])</f>
        <v>2024</v>
      </c>
      <c r="E106" s="112" t="s">
        <v>340</v>
      </c>
      <c r="F106" s="112" t="s">
        <v>340</v>
      </c>
      <c r="G106" s="116" t="str">
        <f>TEXT(GC[[#This Row],[Date]],"mmm-yy")</f>
        <v>Oct-24</v>
      </c>
      <c r="H106" s="116">
        <f>DAY(EOMONTH(GC[[#This Row],[Month Year]],0))</f>
        <v>31</v>
      </c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SUM(GC[[#This Row],[IS1Inv1M1]:[IS4Inv10M2]])</f>
        <v>0</v>
      </c>
      <c r="AN106" s="119"/>
      <c r="AO106" s="119"/>
    </row>
    <row r="107" spans="1:41">
      <c r="A107" s="119">
        <v>105</v>
      </c>
      <c r="B107" s="113">
        <f t="shared" si="1"/>
        <v>45578</v>
      </c>
      <c r="C107" s="114">
        <f>YEAR(GC[[#This Row],[Date]])+IF(MONTH(GC[[#This Row],[Date]])&gt;=4,1,0)</f>
        <v>2025</v>
      </c>
      <c r="D107" s="115">
        <f>YEAR(GC[[#This Row],[Date]])</f>
        <v>2024</v>
      </c>
      <c r="E107" s="112" t="s">
        <v>340</v>
      </c>
      <c r="F107" s="112" t="s">
        <v>340</v>
      </c>
      <c r="G107" s="116" t="str">
        <f>TEXT(GC[[#This Row],[Date]],"mmm-yy")</f>
        <v>Oct-24</v>
      </c>
      <c r="H107" s="116">
        <f>DAY(EOMONTH(GC[[#This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SUM(GC[[#This Row],[IS1Inv1M1]:[IS4Inv10M2]])</f>
        <v>0</v>
      </c>
      <c r="AN107" s="119"/>
      <c r="AO107" s="119"/>
    </row>
    <row r="108" spans="1:41">
      <c r="A108" s="119">
        <v>106</v>
      </c>
      <c r="B108" s="113">
        <f t="shared" si="1"/>
        <v>45579</v>
      </c>
      <c r="C108" s="114">
        <f>YEAR(GC[[#This Row],[Date]])+IF(MONTH(GC[[#This Row],[Date]])&gt;=4,1,0)</f>
        <v>2025</v>
      </c>
      <c r="D108" s="115">
        <f>YEAR(GC[[#This Row],[Date]])</f>
        <v>2024</v>
      </c>
      <c r="E108" s="112" t="s">
        <v>340</v>
      </c>
      <c r="F108" s="112" t="s">
        <v>340</v>
      </c>
      <c r="G108" s="116" t="str">
        <f>TEXT(GC[[#This Row],[Date]],"mmm-yy")</f>
        <v>Oct-24</v>
      </c>
      <c r="H108" s="116">
        <f>DAY(EOMONTH(GC[[#This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SUM(GC[[#This Row],[IS1Inv1M1]:[IS4Inv10M2]])</f>
        <v>0</v>
      </c>
      <c r="AN108" s="119"/>
      <c r="AO108" s="119"/>
    </row>
    <row r="109" spans="1:41">
      <c r="A109" s="119">
        <v>107</v>
      </c>
      <c r="B109" s="113">
        <f t="shared" si="1"/>
        <v>45580</v>
      </c>
      <c r="C109" s="114">
        <f>YEAR(GC[[#This Row],[Date]])+IF(MONTH(GC[[#This Row],[Date]])&gt;=4,1,0)</f>
        <v>2025</v>
      </c>
      <c r="D109" s="115">
        <f>YEAR(GC[[#This Row],[Date]])</f>
        <v>2024</v>
      </c>
      <c r="E109" s="112" t="s">
        <v>340</v>
      </c>
      <c r="F109" s="112" t="s">
        <v>340</v>
      </c>
      <c r="G109" s="116" t="str">
        <f>TEXT(GC[[#This Row],[Date]],"mmm-yy")</f>
        <v>Oct-24</v>
      </c>
      <c r="H109" s="116">
        <f>DAY(EOMONTH(GC[[#This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SUM(GC[[#This Row],[IS1Inv1M1]:[IS4Inv10M2]])</f>
        <v>0</v>
      </c>
      <c r="AN109" s="119"/>
      <c r="AO109" s="119"/>
    </row>
    <row r="110" spans="1:41">
      <c r="A110" s="119">
        <v>108</v>
      </c>
      <c r="B110" s="113">
        <f t="shared" si="1"/>
        <v>45581</v>
      </c>
      <c r="C110" s="114">
        <f>YEAR(GC[[#This Row],[Date]])+IF(MONTH(GC[[#This Row],[Date]])&gt;=4,1,0)</f>
        <v>2025</v>
      </c>
      <c r="D110" s="115">
        <f>YEAR(GC[[#This Row],[Date]])</f>
        <v>2024</v>
      </c>
      <c r="E110" s="112" t="s">
        <v>340</v>
      </c>
      <c r="F110" s="112" t="s">
        <v>340</v>
      </c>
      <c r="G110" s="116" t="str">
        <f>TEXT(GC[[#This Row],[Date]],"mmm-yy")</f>
        <v>Oct-24</v>
      </c>
      <c r="H110" s="116">
        <f>DAY(EOMONTH(GC[[#This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SUM(GC[[#This Row],[IS1Inv1M1]:[IS4Inv10M2]])</f>
        <v>0</v>
      </c>
      <c r="AN110" s="119"/>
      <c r="AO110" s="119"/>
    </row>
    <row r="111" spans="1:41">
      <c r="A111" s="119">
        <v>109</v>
      </c>
      <c r="B111" s="113">
        <f t="shared" si="1"/>
        <v>45582</v>
      </c>
      <c r="C111" s="114">
        <f>YEAR(GC[[#This Row],[Date]])+IF(MONTH(GC[[#This Row],[Date]])&gt;=4,1,0)</f>
        <v>2025</v>
      </c>
      <c r="D111" s="115">
        <f>YEAR(GC[[#This Row],[Date]])</f>
        <v>2024</v>
      </c>
      <c r="E111" s="112" t="s">
        <v>340</v>
      </c>
      <c r="F111" s="112" t="s">
        <v>340</v>
      </c>
      <c r="G111" s="116" t="str">
        <f>TEXT(GC[[#This Row],[Date]],"mmm-yy")</f>
        <v>Oct-24</v>
      </c>
      <c r="H111" s="116">
        <f>DAY(EOMONTH(GC[[#This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SUM(GC[[#This Row],[IS1Inv1M1]:[IS4Inv10M2]])</f>
        <v>0</v>
      </c>
      <c r="AN111" s="119"/>
      <c r="AO111" s="119"/>
    </row>
    <row r="112" spans="1:41">
      <c r="A112" s="119">
        <v>110</v>
      </c>
      <c r="B112" s="113">
        <f t="shared" si="1"/>
        <v>45583</v>
      </c>
      <c r="C112" s="114">
        <f>YEAR(GC[[#This Row],[Date]])+IF(MONTH(GC[[#This Row],[Date]])&gt;=4,1,0)</f>
        <v>2025</v>
      </c>
      <c r="D112" s="115">
        <f>YEAR(GC[[#This Row],[Date]])</f>
        <v>2024</v>
      </c>
      <c r="E112" s="112" t="s">
        <v>340</v>
      </c>
      <c r="F112" s="112" t="s">
        <v>340</v>
      </c>
      <c r="G112" s="116" t="str">
        <f>TEXT(GC[[#This Row],[Date]],"mmm-yy")</f>
        <v>Oct-24</v>
      </c>
      <c r="H112" s="116">
        <f>DAY(EOMONTH(GC[[#This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SUM(GC[[#This Row],[IS1Inv1M1]:[IS4Inv10M2]])</f>
        <v>0</v>
      </c>
      <c r="AN112" s="119"/>
      <c r="AO112" s="119"/>
    </row>
    <row r="113" spans="1:41">
      <c r="A113" s="119">
        <v>111</v>
      </c>
      <c r="B113" s="113">
        <f t="shared" si="1"/>
        <v>45584</v>
      </c>
      <c r="C113" s="114">
        <f>YEAR(GC[[#This Row],[Date]])+IF(MONTH(GC[[#This Row],[Date]])&gt;=4,1,0)</f>
        <v>2025</v>
      </c>
      <c r="D113" s="115">
        <f>YEAR(GC[[#This Row],[Date]])</f>
        <v>2024</v>
      </c>
      <c r="E113" s="112" t="s">
        <v>340</v>
      </c>
      <c r="F113" s="112" t="s">
        <v>340</v>
      </c>
      <c r="G113" s="116" t="str">
        <f>TEXT(GC[[#This Row],[Date]],"mmm-yy")</f>
        <v>Oct-24</v>
      </c>
      <c r="H113" s="116">
        <f>DAY(EOMONTH(GC[[#This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SUM(GC[[#This Row],[IS1Inv1M1]:[IS4Inv10M2]])</f>
        <v>0</v>
      </c>
      <c r="AN113" s="119"/>
      <c r="AO113" s="119"/>
    </row>
    <row r="114" spans="1:41">
      <c r="A114" s="119">
        <v>112</v>
      </c>
      <c r="B114" s="113">
        <f t="shared" si="1"/>
        <v>45585</v>
      </c>
      <c r="C114" s="114">
        <f>YEAR(GC[[#This Row],[Date]])+IF(MONTH(GC[[#This Row],[Date]])&gt;=4,1,0)</f>
        <v>2025</v>
      </c>
      <c r="D114" s="115">
        <f>YEAR(GC[[#This Row],[Date]])</f>
        <v>2024</v>
      </c>
      <c r="E114" s="112" t="s">
        <v>340</v>
      </c>
      <c r="F114" s="112" t="s">
        <v>340</v>
      </c>
      <c r="G114" s="116" t="str">
        <f>TEXT(GC[[#This Row],[Date]],"mmm-yy")</f>
        <v>Oct-24</v>
      </c>
      <c r="H114" s="116">
        <f>DAY(EOMONTH(GC[[#This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SUM(GC[[#This Row],[IS1Inv1M1]:[IS4Inv10M2]])</f>
        <v>0</v>
      </c>
      <c r="AN114" s="119"/>
      <c r="AO114" s="119"/>
    </row>
    <row r="115" spans="1:41">
      <c r="A115" s="119">
        <v>113</v>
      </c>
      <c r="B115" s="113">
        <f t="shared" si="1"/>
        <v>45586</v>
      </c>
      <c r="C115" s="114">
        <f>YEAR(GC[[#This Row],[Date]])+IF(MONTH(GC[[#This Row],[Date]])&gt;=4,1,0)</f>
        <v>2025</v>
      </c>
      <c r="D115" s="115">
        <f>YEAR(GC[[#This Row],[Date]])</f>
        <v>2024</v>
      </c>
      <c r="E115" s="112" t="s">
        <v>340</v>
      </c>
      <c r="F115" s="112" t="s">
        <v>340</v>
      </c>
      <c r="G115" s="116" t="str">
        <f>TEXT(GC[[#This Row],[Date]],"mmm-yy")</f>
        <v>Oct-24</v>
      </c>
      <c r="H115" s="116">
        <f>DAY(EOMONTH(GC[[#This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SUM(GC[[#This Row],[IS1Inv1M1]:[IS4Inv10M2]])</f>
        <v>0</v>
      </c>
      <c r="AN115" s="119"/>
      <c r="AO115" s="119"/>
    </row>
    <row r="116" spans="1:41">
      <c r="A116" s="119">
        <v>114</v>
      </c>
      <c r="B116" s="113">
        <f t="shared" si="1"/>
        <v>45587</v>
      </c>
      <c r="C116" s="114">
        <f>YEAR(GC[[#This Row],[Date]])+IF(MONTH(GC[[#This Row],[Date]])&gt;=4,1,0)</f>
        <v>2025</v>
      </c>
      <c r="D116" s="115">
        <f>YEAR(GC[[#This Row],[Date]])</f>
        <v>2024</v>
      </c>
      <c r="E116" s="112" t="s">
        <v>340</v>
      </c>
      <c r="F116" s="112" t="s">
        <v>340</v>
      </c>
      <c r="G116" s="116" t="str">
        <f>TEXT(GC[[#This Row],[Date]],"mmm-yy")</f>
        <v>Oct-24</v>
      </c>
      <c r="H116" s="116">
        <f>DAY(EOMONTH(GC[[#This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SUM(GC[[#This Row],[IS1Inv1M1]:[IS4Inv10M2]])</f>
        <v>0</v>
      </c>
      <c r="AN116" s="119"/>
      <c r="AO116" s="119"/>
    </row>
    <row r="117" spans="1:41">
      <c r="A117" s="119">
        <v>115</v>
      </c>
      <c r="B117" s="113">
        <f t="shared" si="1"/>
        <v>45588</v>
      </c>
      <c r="C117" s="114">
        <f>YEAR(GC[[#This Row],[Date]])+IF(MONTH(GC[[#This Row],[Date]])&gt;=4,1,0)</f>
        <v>2025</v>
      </c>
      <c r="D117" s="115">
        <f>YEAR(GC[[#This Row],[Date]])</f>
        <v>2024</v>
      </c>
      <c r="E117" s="112" t="s">
        <v>340</v>
      </c>
      <c r="F117" s="112" t="s">
        <v>340</v>
      </c>
      <c r="G117" s="116" t="str">
        <f>TEXT(GC[[#This Row],[Date]],"mmm-yy")</f>
        <v>Oct-24</v>
      </c>
      <c r="H117" s="116">
        <f>DAY(EOMONTH(GC[[#This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SUM(GC[[#This Row],[IS1Inv1M1]:[IS4Inv10M2]])</f>
        <v>0</v>
      </c>
      <c r="AN117" s="119"/>
      <c r="AO117" s="119"/>
    </row>
    <row r="118" spans="1:41">
      <c r="A118" s="119">
        <v>116</v>
      </c>
      <c r="B118" s="113">
        <f t="shared" si="1"/>
        <v>45589</v>
      </c>
      <c r="C118" s="114">
        <f>YEAR(GC[[#This Row],[Date]])+IF(MONTH(GC[[#This Row],[Date]])&gt;=4,1,0)</f>
        <v>2025</v>
      </c>
      <c r="D118" s="115">
        <f>YEAR(GC[[#This Row],[Date]])</f>
        <v>2024</v>
      </c>
      <c r="E118" s="112" t="s">
        <v>340</v>
      </c>
      <c r="F118" s="112" t="s">
        <v>340</v>
      </c>
      <c r="G118" s="116" t="str">
        <f>TEXT(GC[[#This Row],[Date]],"mmm-yy")</f>
        <v>Oct-24</v>
      </c>
      <c r="H118" s="116">
        <f>DAY(EOMONTH(GC[[#This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SUM(GC[[#This Row],[IS1Inv1M1]:[IS4Inv10M2]])</f>
        <v>0</v>
      </c>
      <c r="AN118" s="119"/>
      <c r="AO118" s="119"/>
    </row>
    <row r="119" spans="1:41">
      <c r="A119" s="119">
        <v>117</v>
      </c>
      <c r="B119" s="113">
        <f t="shared" si="1"/>
        <v>45590</v>
      </c>
      <c r="C119" s="114">
        <f>YEAR(GC[[#This Row],[Date]])+IF(MONTH(GC[[#This Row],[Date]])&gt;=4,1,0)</f>
        <v>2025</v>
      </c>
      <c r="D119" s="115">
        <f>YEAR(GC[[#This Row],[Date]])</f>
        <v>2024</v>
      </c>
      <c r="E119" s="112" t="s">
        <v>340</v>
      </c>
      <c r="F119" s="112" t="s">
        <v>340</v>
      </c>
      <c r="G119" s="116" t="str">
        <f>TEXT(GC[[#This Row],[Date]],"mmm-yy")</f>
        <v>Oct-24</v>
      </c>
      <c r="H119" s="116">
        <f>DAY(EOMONTH(GC[[#This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SUM(GC[[#This Row],[IS1Inv1M1]:[IS4Inv10M2]])</f>
        <v>0</v>
      </c>
      <c r="AN119" s="119"/>
      <c r="AO119" s="119"/>
    </row>
    <row r="120" spans="1:41">
      <c r="A120" s="119">
        <v>118</v>
      </c>
      <c r="B120" s="113">
        <f t="shared" si="1"/>
        <v>45591</v>
      </c>
      <c r="C120" s="114">
        <f>YEAR(GC[[#This Row],[Date]])+IF(MONTH(GC[[#This Row],[Date]])&gt;=4,1,0)</f>
        <v>2025</v>
      </c>
      <c r="D120" s="115">
        <f>YEAR(GC[[#This Row],[Date]])</f>
        <v>2024</v>
      </c>
      <c r="E120" s="112" t="s">
        <v>340</v>
      </c>
      <c r="F120" s="112" t="s">
        <v>340</v>
      </c>
      <c r="G120" s="116" t="str">
        <f>TEXT(GC[[#This Row],[Date]],"mmm-yy")</f>
        <v>Oct-24</v>
      </c>
      <c r="H120" s="116">
        <f>DAY(EOMONTH(GC[[#This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SUM(GC[[#This Row],[IS1Inv1M1]:[IS4Inv10M2]])</f>
        <v>0</v>
      </c>
      <c r="AN120" s="119"/>
      <c r="AO120" s="119"/>
    </row>
    <row r="121" spans="1:41">
      <c r="A121" s="119">
        <v>119</v>
      </c>
      <c r="B121" s="113">
        <f t="shared" si="1"/>
        <v>45592</v>
      </c>
      <c r="C121" s="114">
        <f>YEAR(GC[[#This Row],[Date]])+IF(MONTH(GC[[#This Row],[Date]])&gt;=4,1,0)</f>
        <v>2025</v>
      </c>
      <c r="D121" s="115">
        <f>YEAR(GC[[#This Row],[Date]])</f>
        <v>2024</v>
      </c>
      <c r="E121" s="112" t="s">
        <v>340</v>
      </c>
      <c r="F121" s="112" t="s">
        <v>340</v>
      </c>
      <c r="G121" s="116" t="str">
        <f>TEXT(GC[[#This Row],[Date]],"mmm-yy")</f>
        <v>Oct-24</v>
      </c>
      <c r="H121" s="116">
        <f>DAY(EOMONTH(GC[[#This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SUM(GC[[#This Row],[IS1Inv1M1]:[IS4Inv10M2]])</f>
        <v>0</v>
      </c>
      <c r="AN121" s="119"/>
      <c r="AO121" s="119"/>
    </row>
    <row r="122" spans="1:41">
      <c r="A122" s="119">
        <v>120</v>
      </c>
      <c r="B122" s="113">
        <f t="shared" si="1"/>
        <v>45593</v>
      </c>
      <c r="C122" s="114">
        <f>YEAR(GC[[#This Row],[Date]])+IF(MONTH(GC[[#This Row],[Date]])&gt;=4,1,0)</f>
        <v>2025</v>
      </c>
      <c r="D122" s="115">
        <f>YEAR(GC[[#This Row],[Date]])</f>
        <v>2024</v>
      </c>
      <c r="E122" s="112" t="s">
        <v>340</v>
      </c>
      <c r="F122" s="112" t="s">
        <v>340</v>
      </c>
      <c r="G122" s="116" t="str">
        <f>TEXT(GC[[#This Row],[Date]],"mmm-yy")</f>
        <v>Oct-24</v>
      </c>
      <c r="H122" s="116">
        <f>DAY(EOMONTH(GC[[#This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SUM(GC[[#This Row],[IS1Inv1M1]:[IS4Inv10M2]])</f>
        <v>0</v>
      </c>
      <c r="AN122" s="119"/>
      <c r="AO122" s="119"/>
    </row>
    <row r="123" spans="1:41">
      <c r="A123" s="119">
        <v>120</v>
      </c>
      <c r="B123" s="113">
        <f t="shared" si="1"/>
        <v>45594</v>
      </c>
      <c r="C123" s="114">
        <f>YEAR(GC[[#This Row],[Date]])+IF(MONTH(GC[[#This Row],[Date]])&gt;=4,1,0)</f>
        <v>2025</v>
      </c>
      <c r="D123" s="115">
        <f>YEAR(GC[[#This Row],[Date]])</f>
        <v>2024</v>
      </c>
      <c r="E123" s="112" t="s">
        <v>340</v>
      </c>
      <c r="F123" s="112" t="s">
        <v>340</v>
      </c>
      <c r="G123" s="116" t="str">
        <f>TEXT(GC[[#This Row],[Date]],"mmm-yy")</f>
        <v>Oct-24</v>
      </c>
      <c r="H123" s="116">
        <f>DAY(EOMONTH(GC[[#This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SUM(GC[[#This Row],[IS1Inv1M1]:[IS4Inv10M2]])</f>
        <v>0</v>
      </c>
      <c r="AN123" s="119"/>
      <c r="AO123" s="119"/>
    </row>
    <row r="124" spans="1:41">
      <c r="A124" s="119">
        <v>122</v>
      </c>
      <c r="B124" s="113">
        <f t="shared" si="1"/>
        <v>45595</v>
      </c>
      <c r="C124" s="114">
        <f>YEAR(GC[[#This Row],[Date]])+IF(MONTH(GC[[#This Row],[Date]])&gt;=4,1,0)</f>
        <v>2025</v>
      </c>
      <c r="D124" s="115">
        <f>YEAR(GC[[#This Row],[Date]])</f>
        <v>2024</v>
      </c>
      <c r="E124" s="112" t="s">
        <v>340</v>
      </c>
      <c r="F124" s="112" t="s">
        <v>340</v>
      </c>
      <c r="G124" s="116" t="str">
        <f>TEXT(GC[[#This Row],[Date]],"mmm-yy")</f>
        <v>Oct-24</v>
      </c>
      <c r="H124" s="116">
        <f>DAY(EOMONTH(GC[[#This Row],[Month Year]],0))</f>
        <v>31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SUM(GC[[#This Row],[IS1Inv1M1]:[IS4Inv10M2]])</f>
        <v>0</v>
      </c>
      <c r="AN124" s="119"/>
      <c r="AO124" s="119"/>
    </row>
    <row r="125" spans="1:41">
      <c r="A125" s="119">
        <v>123</v>
      </c>
      <c r="B125" s="113">
        <f t="shared" si="1"/>
        <v>45596</v>
      </c>
      <c r="C125" s="114">
        <f>YEAR(GC[[#This Row],[Date]])+IF(MONTH(GC[[#This Row],[Date]])&gt;=4,1,0)</f>
        <v>2025</v>
      </c>
      <c r="D125" s="115">
        <f>YEAR(GC[[#This Row],[Date]])</f>
        <v>2024</v>
      </c>
      <c r="E125" s="112" t="s">
        <v>340</v>
      </c>
      <c r="F125" s="112" t="s">
        <v>340</v>
      </c>
      <c r="G125" s="116" t="str">
        <f>TEXT(GC[[#This Row],[Date]],"mmm-yy")</f>
        <v>Oct-24</v>
      </c>
      <c r="H125" s="116">
        <f>DAY(EOMONTH(GC[[#This Row],[Month Year]],0))</f>
        <v>31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SUM(GC[[#This Row],[IS1Inv1M1]:[IS4Inv10M2]])</f>
        <v>0</v>
      </c>
      <c r="AN125" s="119"/>
      <c r="AO125" s="119"/>
    </row>
    <row r="126" spans="1:41">
      <c r="A126" s="119">
        <v>124</v>
      </c>
      <c r="B126" s="113">
        <f t="shared" si="1"/>
        <v>45597</v>
      </c>
      <c r="C126" s="114">
        <f>YEAR(GC[[#This Row],[Date]])+IF(MONTH(GC[[#This Row],[Date]])&gt;=4,1,0)</f>
        <v>2025</v>
      </c>
      <c r="D126" s="115">
        <f>YEAR(GC[[#This Row],[Date]])</f>
        <v>2024</v>
      </c>
      <c r="E126" s="112" t="s">
        <v>340</v>
      </c>
      <c r="F126" s="112" t="s">
        <v>340</v>
      </c>
      <c r="G126" s="116" t="str">
        <f>TEXT(GC[[#This Row],[Date]],"mmm-yy")</f>
        <v>Nov-24</v>
      </c>
      <c r="H126" s="116">
        <f>DAY(EOMONTH(GC[[#This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SUM(GC[[#This Row],[IS1Inv1M1]:[IS4Inv10M2]])</f>
        <v>0</v>
      </c>
      <c r="AN126" s="119"/>
      <c r="AO126" s="119"/>
    </row>
    <row r="127" spans="1:41">
      <c r="A127" s="119">
        <v>125</v>
      </c>
      <c r="B127" s="113">
        <f t="shared" si="1"/>
        <v>45598</v>
      </c>
      <c r="C127" s="114">
        <f>YEAR(GC[[#This Row],[Date]])+IF(MONTH(GC[[#This Row],[Date]])&gt;=4,1,0)</f>
        <v>2025</v>
      </c>
      <c r="D127" s="115">
        <f>YEAR(GC[[#This Row],[Date]])</f>
        <v>2024</v>
      </c>
      <c r="E127" s="112" t="s">
        <v>340</v>
      </c>
      <c r="F127" s="112" t="s">
        <v>340</v>
      </c>
      <c r="G127" s="116" t="str">
        <f>TEXT(GC[[#This Row],[Date]],"mmm-yy")</f>
        <v>Nov-24</v>
      </c>
      <c r="H127" s="116">
        <f>DAY(EOMONTH(GC[[#This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SUM(GC[[#This Row],[IS1Inv1M1]:[IS4Inv10M2]])</f>
        <v>0</v>
      </c>
      <c r="AN127" s="119"/>
      <c r="AO127" s="119"/>
    </row>
    <row r="128" spans="1:41">
      <c r="A128" s="119">
        <v>126</v>
      </c>
      <c r="B128" s="113">
        <f t="shared" si="1"/>
        <v>45599</v>
      </c>
      <c r="C128" s="114">
        <f>YEAR(GC[[#This Row],[Date]])+IF(MONTH(GC[[#This Row],[Date]])&gt;=4,1,0)</f>
        <v>2025</v>
      </c>
      <c r="D128" s="115">
        <f>YEAR(GC[[#This Row],[Date]])</f>
        <v>2024</v>
      </c>
      <c r="E128" s="112" t="s">
        <v>340</v>
      </c>
      <c r="F128" s="112" t="s">
        <v>340</v>
      </c>
      <c r="G128" s="116" t="str">
        <f>TEXT(GC[[#This Row],[Date]],"mmm-yy")</f>
        <v>Nov-24</v>
      </c>
      <c r="H128" s="116">
        <f>DAY(EOMONTH(GC[[#This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SUM(GC[[#This Row],[IS1Inv1M1]:[IS4Inv10M2]])</f>
        <v>0</v>
      </c>
      <c r="AN128" s="119"/>
      <c r="AO128" s="119"/>
    </row>
    <row r="129" spans="1:41">
      <c r="A129" s="119">
        <v>127</v>
      </c>
      <c r="B129" s="113">
        <f t="shared" si="1"/>
        <v>45600</v>
      </c>
      <c r="C129" s="114">
        <f>YEAR(GC[[#This Row],[Date]])+IF(MONTH(GC[[#This Row],[Date]])&gt;=4,1,0)</f>
        <v>2025</v>
      </c>
      <c r="D129" s="115">
        <f>YEAR(GC[[#This Row],[Date]])</f>
        <v>2024</v>
      </c>
      <c r="E129" s="112" t="s">
        <v>340</v>
      </c>
      <c r="F129" s="112" t="s">
        <v>340</v>
      </c>
      <c r="G129" s="116" t="str">
        <f>TEXT(GC[[#This Row],[Date]],"mmm-yy")</f>
        <v>Nov-24</v>
      </c>
      <c r="H129" s="116">
        <f>DAY(EOMONTH(GC[[#This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SUM(GC[[#This Row],[IS1Inv1M1]:[IS4Inv10M2]])</f>
        <v>0</v>
      </c>
      <c r="AN129" s="119"/>
      <c r="AO129" s="119"/>
    </row>
    <row r="130" spans="1:41">
      <c r="A130" s="119">
        <v>127</v>
      </c>
      <c r="B130" s="113">
        <f t="shared" si="1"/>
        <v>45601</v>
      </c>
      <c r="C130" s="114">
        <f>YEAR(GC[[#This Row],[Date]])+IF(MONTH(GC[[#This Row],[Date]])&gt;=4,1,0)</f>
        <v>2025</v>
      </c>
      <c r="D130" s="115">
        <f>YEAR(GC[[#This Row],[Date]])</f>
        <v>2024</v>
      </c>
      <c r="E130" s="112" t="s">
        <v>340</v>
      </c>
      <c r="F130" s="112" t="s">
        <v>340</v>
      </c>
      <c r="G130" s="116" t="str">
        <f>TEXT(GC[[#This Row],[Date]],"mmm-yy")</f>
        <v>Nov-24</v>
      </c>
      <c r="H130" s="116">
        <f>DAY(EOMONTH(GC[[#This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SUM(GC[[#This Row],[IS1Inv1M1]:[IS4Inv10M2]])</f>
        <v>0</v>
      </c>
      <c r="AN130" s="119" t="s">
        <v>1274</v>
      </c>
      <c r="AO130" s="119"/>
    </row>
    <row r="131" spans="1:41">
      <c r="A131" s="119">
        <v>127</v>
      </c>
      <c r="B131" s="113">
        <f t="shared" si="1"/>
        <v>45602</v>
      </c>
      <c r="C131" s="114">
        <f>YEAR(GC[[#This Row],[Date]])+IF(MONTH(GC[[#This Row],[Date]])&gt;=4,1,0)</f>
        <v>2025</v>
      </c>
      <c r="D131" s="115">
        <f>YEAR(GC[[#This Row],[Date]])</f>
        <v>2024</v>
      </c>
      <c r="E131" s="112" t="s">
        <v>340</v>
      </c>
      <c r="F131" s="112" t="s">
        <v>340</v>
      </c>
      <c r="G131" s="116" t="str">
        <f>TEXT(GC[[#This Row],[Date]],"mmm-yy")</f>
        <v>Nov-24</v>
      </c>
      <c r="H131" s="116">
        <f>DAY(EOMONTH(GC[[#This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SUM(GC[[#This Row],[IS1Inv1M1]:[IS4Inv10M2]])</f>
        <v>0</v>
      </c>
      <c r="AN131" s="119" t="s">
        <v>1274</v>
      </c>
      <c r="AO131" s="119"/>
    </row>
    <row r="132" spans="1:41">
      <c r="A132" s="119">
        <v>127</v>
      </c>
      <c r="B132" s="113">
        <f t="shared" si="1"/>
        <v>45603</v>
      </c>
      <c r="C132" s="114">
        <f>YEAR(GC[[#This Row],[Date]])+IF(MONTH(GC[[#This Row],[Date]])&gt;=4,1,0)</f>
        <v>2025</v>
      </c>
      <c r="D132" s="115">
        <f>YEAR(GC[[#This Row],[Date]])</f>
        <v>2024</v>
      </c>
      <c r="E132" s="112" t="s">
        <v>340</v>
      </c>
      <c r="F132" s="112" t="s">
        <v>340</v>
      </c>
      <c r="G132" s="116" t="str">
        <f>TEXT(GC[[#This Row],[Date]],"mmm-yy")</f>
        <v>Nov-24</v>
      </c>
      <c r="H132" s="116">
        <f>DAY(EOMONTH(GC[[#This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SUM(GC[[#This Row],[IS1Inv1M1]:[IS4Inv10M2]])</f>
        <v>0</v>
      </c>
      <c r="AN132" s="119" t="s">
        <v>1274</v>
      </c>
      <c r="AO132" s="119"/>
    </row>
    <row r="133" spans="1:41">
      <c r="A133" s="119">
        <v>127</v>
      </c>
      <c r="B133" s="113">
        <f t="shared" ref="B133:B196" si="2">B132+1</f>
        <v>45604</v>
      </c>
      <c r="C133" s="114">
        <f>YEAR(GC[[#This Row],[Date]])+IF(MONTH(GC[[#This Row],[Date]])&gt;=4,1,0)</f>
        <v>2025</v>
      </c>
      <c r="D133" s="115">
        <f>YEAR(GC[[#This Row],[Date]])</f>
        <v>2024</v>
      </c>
      <c r="E133" s="112" t="s">
        <v>340</v>
      </c>
      <c r="F133" s="112" t="s">
        <v>340</v>
      </c>
      <c r="G133" s="116" t="str">
        <f>TEXT(GC[[#This Row],[Date]],"mmm-yy")</f>
        <v>Nov-24</v>
      </c>
      <c r="H133" s="116">
        <f>DAY(EOMONTH(GC[[#This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SUM(GC[[#This Row],[IS1Inv1M1]:[IS4Inv10M2]])</f>
        <v>0</v>
      </c>
      <c r="AN133" s="119" t="s">
        <v>1274</v>
      </c>
      <c r="AO133" s="119"/>
    </row>
    <row r="134" spans="1:41">
      <c r="A134" s="119">
        <v>127</v>
      </c>
      <c r="B134" s="113">
        <f t="shared" si="2"/>
        <v>45605</v>
      </c>
      <c r="C134" s="114">
        <f>YEAR(GC[[#This Row],[Date]])+IF(MONTH(GC[[#This Row],[Date]])&gt;=4,1,0)</f>
        <v>2025</v>
      </c>
      <c r="D134" s="115">
        <f>YEAR(GC[[#This Row],[Date]])</f>
        <v>2024</v>
      </c>
      <c r="E134" s="112" t="s">
        <v>340</v>
      </c>
      <c r="F134" s="112" t="s">
        <v>340</v>
      </c>
      <c r="G134" s="116" t="str">
        <f>TEXT(GC[[#This Row],[Date]],"mmm-yy")</f>
        <v>Nov-24</v>
      </c>
      <c r="H134" s="116">
        <f>DAY(EOMONTH(GC[[#This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SUM(GC[[#This Row],[IS1Inv1M1]:[IS4Inv10M2]])</f>
        <v>0</v>
      </c>
      <c r="AN134" s="119" t="s">
        <v>1274</v>
      </c>
      <c r="AO134" s="119"/>
    </row>
    <row r="135" spans="1:41">
      <c r="A135" s="119">
        <v>127</v>
      </c>
      <c r="B135" s="113">
        <f t="shared" si="2"/>
        <v>45606</v>
      </c>
      <c r="C135" s="114">
        <f>YEAR(GC[[#This Row],[Date]])+IF(MONTH(GC[[#This Row],[Date]])&gt;=4,1,0)</f>
        <v>2025</v>
      </c>
      <c r="D135" s="115">
        <f>YEAR(GC[[#This Row],[Date]])</f>
        <v>2024</v>
      </c>
      <c r="E135" s="112" t="s">
        <v>340</v>
      </c>
      <c r="F135" s="112" t="s">
        <v>340</v>
      </c>
      <c r="G135" s="116" t="str">
        <f>TEXT(GC[[#This Row],[Date]],"mmm-yy")</f>
        <v>Nov-24</v>
      </c>
      <c r="H135" s="116">
        <f>DAY(EOMONTH(GC[[#This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SUM(GC[[#This Row],[IS1Inv1M1]:[IS4Inv10M2]])</f>
        <v>0</v>
      </c>
      <c r="AN135" s="119" t="s">
        <v>1274</v>
      </c>
      <c r="AO135" s="119"/>
    </row>
    <row r="136" spans="1:41">
      <c r="A136" s="119">
        <v>127</v>
      </c>
      <c r="B136" s="113">
        <f t="shared" si="2"/>
        <v>45607</v>
      </c>
      <c r="C136" s="114">
        <f>YEAR(GC[[#This Row],[Date]])+IF(MONTH(GC[[#This Row],[Date]])&gt;=4,1,0)</f>
        <v>2025</v>
      </c>
      <c r="D136" s="115">
        <f>YEAR(GC[[#This Row],[Date]])</f>
        <v>2024</v>
      </c>
      <c r="E136" s="112" t="s">
        <v>340</v>
      </c>
      <c r="F136" s="112" t="s">
        <v>340</v>
      </c>
      <c r="G136" s="116" t="str">
        <f>TEXT(GC[[#This Row],[Date]],"mmm-yy")</f>
        <v>Nov-24</v>
      </c>
      <c r="H136" s="116">
        <f>DAY(EOMONTH(GC[[#This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SUM(GC[[#This Row],[IS1Inv1M1]:[IS4Inv10M2]])</f>
        <v>0</v>
      </c>
      <c r="AN136" s="119" t="s">
        <v>1274</v>
      </c>
      <c r="AO136" s="119"/>
    </row>
    <row r="137" spans="1:41">
      <c r="A137" s="119">
        <v>127</v>
      </c>
      <c r="B137" s="113">
        <f t="shared" si="2"/>
        <v>45608</v>
      </c>
      <c r="C137" s="114">
        <f>YEAR(GC[[#This Row],[Date]])+IF(MONTH(GC[[#This Row],[Date]])&gt;=4,1,0)</f>
        <v>2025</v>
      </c>
      <c r="D137" s="115">
        <f>YEAR(GC[[#This Row],[Date]])</f>
        <v>2024</v>
      </c>
      <c r="E137" s="112" t="s">
        <v>340</v>
      </c>
      <c r="F137" s="112" t="s">
        <v>340</v>
      </c>
      <c r="G137" s="116" t="str">
        <f>TEXT(GC[[#This Row],[Date]],"mmm-yy")</f>
        <v>Nov-24</v>
      </c>
      <c r="H137" s="116">
        <f>DAY(EOMONTH(GC[[#This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SUM(GC[[#This Row],[IS1Inv1M1]:[IS4Inv10M2]])</f>
        <v>0</v>
      </c>
      <c r="AN137" s="119" t="s">
        <v>1274</v>
      </c>
      <c r="AO137" s="119"/>
    </row>
    <row r="138" spans="1:41">
      <c r="A138" s="119">
        <v>127</v>
      </c>
      <c r="B138" s="113">
        <f t="shared" si="2"/>
        <v>45609</v>
      </c>
      <c r="C138" s="114">
        <f>YEAR(GC[[#This Row],[Date]])+IF(MONTH(GC[[#This Row],[Date]])&gt;=4,1,0)</f>
        <v>2025</v>
      </c>
      <c r="D138" s="115">
        <f>YEAR(GC[[#This Row],[Date]])</f>
        <v>2024</v>
      </c>
      <c r="E138" s="112" t="s">
        <v>340</v>
      </c>
      <c r="F138" s="112" t="s">
        <v>340</v>
      </c>
      <c r="G138" s="116" t="str">
        <f>TEXT(GC[[#This Row],[Date]],"mmm-yy")</f>
        <v>Nov-24</v>
      </c>
      <c r="H138" s="116">
        <f>DAY(EOMONTH(GC[[#This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SUM(GC[[#This Row],[IS1Inv1M1]:[IS4Inv10M2]])</f>
        <v>0</v>
      </c>
      <c r="AN138" s="119" t="s">
        <v>1274</v>
      </c>
      <c r="AO138" s="119"/>
    </row>
    <row r="139" spans="1:41">
      <c r="A139" s="119">
        <v>127</v>
      </c>
      <c r="B139" s="113">
        <f t="shared" si="2"/>
        <v>45610</v>
      </c>
      <c r="C139" s="114">
        <f>YEAR(GC[[#This Row],[Date]])+IF(MONTH(GC[[#This Row],[Date]])&gt;=4,1,0)</f>
        <v>2025</v>
      </c>
      <c r="D139" s="115">
        <f>YEAR(GC[[#This Row],[Date]])</f>
        <v>2024</v>
      </c>
      <c r="E139" s="112" t="s">
        <v>340</v>
      </c>
      <c r="F139" s="112" t="s">
        <v>340</v>
      </c>
      <c r="G139" s="116" t="str">
        <f>TEXT(GC[[#This Row],[Date]],"mmm-yy")</f>
        <v>Nov-24</v>
      </c>
      <c r="H139" s="116">
        <f>DAY(EOMONTH(GC[[#This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SUM(GC[[#This Row],[IS1Inv1M1]:[IS4Inv10M2]])</f>
        <v>0</v>
      </c>
      <c r="AN139" s="119" t="s">
        <v>1274</v>
      </c>
      <c r="AO139" s="119"/>
    </row>
    <row r="140" spans="1:41">
      <c r="A140" s="119">
        <v>127</v>
      </c>
      <c r="B140" s="113">
        <f t="shared" si="2"/>
        <v>45611</v>
      </c>
      <c r="C140" s="114">
        <f>YEAR(GC[[#This Row],[Date]])+IF(MONTH(GC[[#This Row],[Date]])&gt;=4,1,0)</f>
        <v>2025</v>
      </c>
      <c r="D140" s="115">
        <f>YEAR(GC[[#This Row],[Date]])</f>
        <v>2024</v>
      </c>
      <c r="E140" s="112" t="s">
        <v>340</v>
      </c>
      <c r="F140" s="112" t="s">
        <v>340</v>
      </c>
      <c r="G140" s="116" t="str">
        <f>TEXT(GC[[#This Row],[Date]],"mmm-yy")</f>
        <v>Nov-24</v>
      </c>
      <c r="H140" s="116">
        <f>DAY(EOMONTH(GC[[#This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SUM(GC[[#This Row],[IS1Inv1M1]:[IS4Inv10M2]])</f>
        <v>0</v>
      </c>
      <c r="AN140" s="119" t="s">
        <v>1274</v>
      </c>
      <c r="AO140" s="119"/>
    </row>
    <row r="141" spans="1:41">
      <c r="A141" s="119">
        <v>139</v>
      </c>
      <c r="B141" s="113">
        <f t="shared" si="2"/>
        <v>45612</v>
      </c>
      <c r="C141" s="114">
        <f>YEAR(GC[[#This Row],[Date]])+IF(MONTH(GC[[#This Row],[Date]])&gt;=4,1,0)</f>
        <v>2025</v>
      </c>
      <c r="D141" s="115">
        <f>YEAR(GC[[#This Row],[Date]])</f>
        <v>2024</v>
      </c>
      <c r="E141" s="112" t="s">
        <v>340</v>
      </c>
      <c r="F141" s="112" t="s">
        <v>340</v>
      </c>
      <c r="G141" s="116" t="str">
        <f>TEXT(GC[[#This Row],[Date]],"mmm-yy")</f>
        <v>Nov-24</v>
      </c>
      <c r="H141" s="116">
        <f>DAY(EOMONTH(GC[[#This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SUM(GC[[#This Row],[IS1Inv1M1]:[IS4Inv10M2]])</f>
        <v>0</v>
      </c>
      <c r="AN141" s="119" t="s">
        <v>1274</v>
      </c>
      <c r="AO141" s="119"/>
    </row>
    <row r="142" spans="1:41">
      <c r="A142" s="119">
        <v>140</v>
      </c>
      <c r="B142" s="113">
        <f t="shared" si="2"/>
        <v>45613</v>
      </c>
      <c r="C142" s="114">
        <f>YEAR(GC[[#This Row],[Date]])+IF(MONTH(GC[[#This Row],[Date]])&gt;=4,1,0)</f>
        <v>2025</v>
      </c>
      <c r="D142" s="115">
        <f>YEAR(GC[[#This Row],[Date]])</f>
        <v>2024</v>
      </c>
      <c r="E142" s="112" t="s">
        <v>340</v>
      </c>
      <c r="F142" s="112" t="s">
        <v>340</v>
      </c>
      <c r="G142" s="116" t="str">
        <f>TEXT(GC[[#This Row],[Date]],"mmm-yy")</f>
        <v>Nov-24</v>
      </c>
      <c r="H142" s="116">
        <f>DAY(EOMONTH(GC[[#This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SUM(GC[[#This Row],[IS1Inv1M1]:[IS4Inv10M2]])</f>
        <v>0</v>
      </c>
      <c r="AN142" s="119" t="s">
        <v>1274</v>
      </c>
      <c r="AO142" s="119"/>
    </row>
    <row r="143" spans="1:41">
      <c r="A143" s="119">
        <v>141</v>
      </c>
      <c r="B143" s="113">
        <f t="shared" si="2"/>
        <v>45614</v>
      </c>
      <c r="C143" s="114">
        <f>YEAR(GC[[#This Row],[Date]])+IF(MONTH(GC[[#This Row],[Date]])&gt;=4,1,0)</f>
        <v>2025</v>
      </c>
      <c r="D143" s="115">
        <f>YEAR(GC[[#This Row],[Date]])</f>
        <v>2024</v>
      </c>
      <c r="E143" s="112" t="s">
        <v>340</v>
      </c>
      <c r="F143" s="112" t="s">
        <v>340</v>
      </c>
      <c r="G143" s="116" t="str">
        <f>TEXT(GC[[#This Row],[Date]],"mmm-yy")</f>
        <v>Nov-24</v>
      </c>
      <c r="H143" s="116">
        <f>DAY(EOMONTH(GC[[#This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SUM(GC[[#This Row],[IS1Inv1M1]:[IS4Inv10M2]])</f>
        <v>0</v>
      </c>
      <c r="AN143" s="119" t="s">
        <v>1274</v>
      </c>
      <c r="AO143" s="119"/>
    </row>
    <row r="144" spans="1:41">
      <c r="A144" s="119">
        <v>142</v>
      </c>
      <c r="B144" s="113">
        <f t="shared" si="2"/>
        <v>45615</v>
      </c>
      <c r="C144" s="114">
        <f>YEAR(GC[[#This Row],[Date]])+IF(MONTH(GC[[#This Row],[Date]])&gt;=4,1,0)</f>
        <v>2025</v>
      </c>
      <c r="D144" s="115">
        <f>YEAR(GC[[#This Row],[Date]])</f>
        <v>2024</v>
      </c>
      <c r="E144" s="112" t="s">
        <v>340</v>
      </c>
      <c r="F144" s="112" t="s">
        <v>340</v>
      </c>
      <c r="G144" s="116" t="str">
        <f>TEXT(GC[[#This Row],[Date]],"mmm-yy")</f>
        <v>Nov-24</v>
      </c>
      <c r="H144" s="116">
        <f>DAY(EOMONTH(GC[[#This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SUM(GC[[#This Row],[IS1Inv1M1]:[IS4Inv10M2]])</f>
        <v>0</v>
      </c>
      <c r="AN144" s="119" t="s">
        <v>1274</v>
      </c>
      <c r="AO144" s="119"/>
    </row>
    <row r="145" spans="1:41">
      <c r="A145" s="119">
        <v>143</v>
      </c>
      <c r="B145" s="113">
        <f t="shared" si="2"/>
        <v>45616</v>
      </c>
      <c r="C145" s="114">
        <f>YEAR(GC[[#This Row],[Date]])+IF(MONTH(GC[[#This Row],[Date]])&gt;=4,1,0)</f>
        <v>2025</v>
      </c>
      <c r="D145" s="115">
        <f>YEAR(GC[[#This Row],[Date]])</f>
        <v>2024</v>
      </c>
      <c r="E145" s="112" t="s">
        <v>340</v>
      </c>
      <c r="F145" s="112" t="s">
        <v>340</v>
      </c>
      <c r="G145" s="116" t="str">
        <f>TEXT(GC[[#This Row],[Date]],"mmm-yy")</f>
        <v>Nov-24</v>
      </c>
      <c r="H145" s="116">
        <f>DAY(EOMONTH(GC[[#This Row],[Month Year]],0))</f>
        <v>30</v>
      </c>
      <c r="I145" s="119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19"/>
      <c r="AI145" s="119"/>
      <c r="AJ145" s="119"/>
      <c r="AK145" s="119"/>
      <c r="AL145" s="119"/>
      <c r="AM145" s="5">
        <f>SUM(GC[[#This Row],[IS1Inv1M1]:[IS4Inv10M2]])</f>
        <v>0</v>
      </c>
      <c r="AN145" s="123" t="s">
        <v>1275</v>
      </c>
      <c r="AO145" s="119"/>
    </row>
    <row r="146" spans="1:41">
      <c r="A146" s="119">
        <v>144</v>
      </c>
      <c r="B146" s="113">
        <f t="shared" si="2"/>
        <v>45617</v>
      </c>
      <c r="C146" s="114">
        <f>YEAR(GC[[#This Row],[Date]])+IF(MONTH(GC[[#This Row],[Date]])&gt;=4,1,0)</f>
        <v>2025</v>
      </c>
      <c r="D146" s="115">
        <f>YEAR(GC[[#This Row],[Date]])</f>
        <v>2024</v>
      </c>
      <c r="E146" s="112" t="s">
        <v>340</v>
      </c>
      <c r="F146" s="112" t="s">
        <v>340</v>
      </c>
      <c r="G146" s="116" t="str">
        <f>TEXT(GC[[#This Row],[Date]],"mmm-yy")</f>
        <v>Nov-24</v>
      </c>
      <c r="H146" s="116">
        <f>DAY(EOMONTH(GC[[#This Row],[Month Year]],0))</f>
        <v>30</v>
      </c>
      <c r="I146" s="119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19"/>
      <c r="AI146" s="119"/>
      <c r="AJ146" s="119"/>
      <c r="AK146" s="119"/>
      <c r="AL146" s="119"/>
      <c r="AM146" s="5">
        <f>SUM(GC[[#This Row],[IS1Inv1M1]:[IS4Inv10M2]])</f>
        <v>0</v>
      </c>
      <c r="AN146" s="123" t="s">
        <v>1275</v>
      </c>
      <c r="AO146" s="121"/>
    </row>
    <row r="147" spans="1:41">
      <c r="A147" s="119">
        <v>145</v>
      </c>
      <c r="B147" s="113">
        <f t="shared" si="2"/>
        <v>45618</v>
      </c>
      <c r="C147" s="114">
        <f>YEAR(GC[[#This Row],[Date]])+IF(MONTH(GC[[#This Row],[Date]])&gt;=4,1,0)</f>
        <v>2025</v>
      </c>
      <c r="D147" s="115">
        <f>YEAR(GC[[#This Row],[Date]])</f>
        <v>2024</v>
      </c>
      <c r="E147" s="112" t="s">
        <v>340</v>
      </c>
      <c r="F147" s="112" t="s">
        <v>340</v>
      </c>
      <c r="G147" s="116" t="str">
        <f>TEXT(GC[[#This Row],[Date]],"mmm-yy")</f>
        <v>Nov-24</v>
      </c>
      <c r="H147" s="116">
        <f>DAY(EOMONTH(GC[[#This Row],[Month Year]],0))</f>
        <v>30</v>
      </c>
      <c r="I147" s="119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19"/>
      <c r="AI147" s="119"/>
      <c r="AJ147" s="119"/>
      <c r="AK147" s="119"/>
      <c r="AL147" s="119"/>
      <c r="AM147" s="5">
        <f>SUM(GC[[#This Row],[IS1Inv1M1]:[IS4Inv10M2]])</f>
        <v>0</v>
      </c>
      <c r="AN147" s="123" t="s">
        <v>1275</v>
      </c>
      <c r="AO147" s="121"/>
    </row>
    <row r="148" spans="1:41">
      <c r="A148" s="119">
        <v>146</v>
      </c>
      <c r="B148" s="113">
        <f t="shared" si="2"/>
        <v>45619</v>
      </c>
      <c r="C148" s="114">
        <f>YEAR(GC[[#This Row],[Date]])+IF(MONTH(GC[[#This Row],[Date]])&gt;=4,1,0)</f>
        <v>2025</v>
      </c>
      <c r="D148" s="115">
        <f>YEAR(GC[[#This Row],[Date]])</f>
        <v>2024</v>
      </c>
      <c r="E148" s="112" t="s">
        <v>340</v>
      </c>
      <c r="F148" s="112" t="s">
        <v>340</v>
      </c>
      <c r="G148" s="116" t="str">
        <f>TEXT(GC[[#This Row],[Date]],"mmm-yy")</f>
        <v>Nov-24</v>
      </c>
      <c r="H148" s="116">
        <f>DAY(EOMONTH(GC[[#This Row],[Month Year]],0))</f>
        <v>30</v>
      </c>
      <c r="I148" s="119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G148" s="123"/>
      <c r="AH148" s="119"/>
      <c r="AI148" s="119"/>
      <c r="AJ148" s="119"/>
      <c r="AK148" s="119"/>
      <c r="AL148" s="119"/>
      <c r="AM148" s="5">
        <f>SUM(GC[[#This Row],[IS1Inv1M1]:[IS4Inv10M2]])</f>
        <v>0</v>
      </c>
      <c r="AN148" s="123" t="s">
        <v>1275</v>
      </c>
      <c r="AO148" s="121"/>
    </row>
    <row r="149" spans="1:41">
      <c r="A149" s="119">
        <v>147</v>
      </c>
      <c r="B149" s="113">
        <f t="shared" si="2"/>
        <v>45620</v>
      </c>
      <c r="C149" s="114">
        <f>YEAR(GC[[#This Row],[Date]])+IF(MONTH(GC[[#This Row],[Date]])&gt;=4,1,0)</f>
        <v>2025</v>
      </c>
      <c r="D149" s="115">
        <f>YEAR(GC[[#This Row],[Date]])</f>
        <v>2024</v>
      </c>
      <c r="E149" s="112" t="s">
        <v>340</v>
      </c>
      <c r="F149" s="112" t="s">
        <v>340</v>
      </c>
      <c r="G149" s="116" t="str">
        <f>TEXT(GC[[#This Row],[Date]],"mmm-yy")</f>
        <v>Nov-24</v>
      </c>
      <c r="H149" s="116">
        <f>DAY(EOMONTH(GC[[#This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SUM(GC[[#This Row],[IS1Inv1M1]:[IS4Inv10M2]])</f>
        <v>0</v>
      </c>
      <c r="AN149" s="119"/>
      <c r="AO149" s="119"/>
    </row>
    <row r="150" spans="1:41">
      <c r="A150" s="119">
        <v>148</v>
      </c>
      <c r="B150" s="113">
        <f t="shared" si="2"/>
        <v>45621</v>
      </c>
      <c r="C150" s="114">
        <f>YEAR(GC[[#This Row],[Date]])+IF(MONTH(GC[[#This Row],[Date]])&gt;=4,1,0)</f>
        <v>2025</v>
      </c>
      <c r="D150" s="115">
        <f>YEAR(GC[[#This Row],[Date]])</f>
        <v>2024</v>
      </c>
      <c r="E150" s="112" t="s">
        <v>340</v>
      </c>
      <c r="F150" s="112" t="s">
        <v>340</v>
      </c>
      <c r="G150" s="116" t="str">
        <f>TEXT(GC[[#This Row],[Date]],"mmm-yy")</f>
        <v>Nov-24</v>
      </c>
      <c r="H150" s="116">
        <f>DAY(EOMONTH(GC[[#This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SUM(GC[[#This Row],[IS1Inv1M1]:[IS4Inv10M2]])</f>
        <v>0</v>
      </c>
      <c r="AN150" s="119"/>
      <c r="AO150" s="121"/>
    </row>
    <row r="151" spans="1:41">
      <c r="A151" s="119">
        <v>149</v>
      </c>
      <c r="B151" s="113">
        <f t="shared" si="2"/>
        <v>45622</v>
      </c>
      <c r="C151" s="114">
        <f>YEAR(GC[[#This Row],[Date]])+IF(MONTH(GC[[#This Row],[Date]])&gt;=4,1,0)</f>
        <v>2025</v>
      </c>
      <c r="D151" s="115">
        <f>YEAR(GC[[#This Row],[Date]])</f>
        <v>2024</v>
      </c>
      <c r="E151" s="112" t="s">
        <v>340</v>
      </c>
      <c r="F151" s="112" t="s">
        <v>340</v>
      </c>
      <c r="G151" s="116" t="str">
        <f>TEXT(GC[[#This Row],[Date]],"mmm-yy")</f>
        <v>Nov-24</v>
      </c>
      <c r="H151" s="116">
        <f>DAY(EOMONTH(GC[[#This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SUM(GC[[#This Row],[IS1Inv1M1]:[IS4Inv10M2]])</f>
        <v>0</v>
      </c>
      <c r="AN151" s="119"/>
      <c r="AO151" s="121"/>
    </row>
    <row r="152" spans="1:41">
      <c r="A152" s="119">
        <v>150</v>
      </c>
      <c r="B152" s="113">
        <f t="shared" si="2"/>
        <v>45623</v>
      </c>
      <c r="C152" s="114">
        <f>YEAR(GC[[#This Row],[Date]])+IF(MONTH(GC[[#This Row],[Date]])&gt;=4,1,0)</f>
        <v>2025</v>
      </c>
      <c r="D152" s="115">
        <f>YEAR(GC[[#This Row],[Date]])</f>
        <v>2024</v>
      </c>
      <c r="E152" s="112" t="s">
        <v>340</v>
      </c>
      <c r="F152" s="112" t="s">
        <v>340</v>
      </c>
      <c r="G152" s="116" t="str">
        <f>TEXT(GC[[#This Row],[Date]],"mmm-yy")</f>
        <v>Nov-24</v>
      </c>
      <c r="H152" s="116">
        <f>DAY(EOMONTH(GC[[#This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SUM(GC[[#This Row],[IS1Inv1M1]:[IS4Inv10M2]])</f>
        <v>0</v>
      </c>
      <c r="AN152" s="119"/>
      <c r="AO152" s="121"/>
    </row>
    <row r="153" spans="1:41">
      <c r="A153" s="119">
        <v>151</v>
      </c>
      <c r="B153" s="113">
        <f t="shared" si="2"/>
        <v>45624</v>
      </c>
      <c r="C153" s="114">
        <f>YEAR(GC[[#This Row],[Date]])+IF(MONTH(GC[[#This Row],[Date]])&gt;=4,1,0)</f>
        <v>2025</v>
      </c>
      <c r="D153" s="115">
        <f>YEAR(GC[[#This Row],[Date]])</f>
        <v>2024</v>
      </c>
      <c r="E153" s="112" t="s">
        <v>340</v>
      </c>
      <c r="F153" s="112" t="s">
        <v>340</v>
      </c>
      <c r="G153" s="116" t="str">
        <f>TEXT(GC[[#This Row],[Date]],"mmm-yy")</f>
        <v>Nov-24</v>
      </c>
      <c r="H153" s="116">
        <f>DAY(EOMONTH(GC[[#This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SUM(GC[[#This Row],[IS1Inv1M1]:[IS4Inv10M2]])</f>
        <v>0</v>
      </c>
      <c r="AN153" s="119"/>
      <c r="AO153" s="121"/>
    </row>
    <row r="154" spans="1:41">
      <c r="A154" s="119">
        <v>152</v>
      </c>
      <c r="B154" s="113">
        <f t="shared" si="2"/>
        <v>45625</v>
      </c>
      <c r="C154" s="114">
        <f>YEAR(GC[[#This Row],[Date]])+IF(MONTH(GC[[#This Row],[Date]])&gt;=4,1,0)</f>
        <v>2025</v>
      </c>
      <c r="D154" s="115">
        <f>YEAR(GC[[#This Row],[Date]])</f>
        <v>2024</v>
      </c>
      <c r="E154" s="112" t="s">
        <v>340</v>
      </c>
      <c r="F154" s="112" t="s">
        <v>340</v>
      </c>
      <c r="G154" s="116" t="str">
        <f>TEXT(GC[[#This Row],[Date]],"mmm-yy")</f>
        <v>Nov-24</v>
      </c>
      <c r="H154" s="116">
        <f>DAY(EOMONTH(GC[[#This Row],[Month Year]],0))</f>
        <v>30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SUM(GC[[#This Row],[IS1Inv1M1]:[IS4Inv10M2]])</f>
        <v>0</v>
      </c>
      <c r="AN154" s="119"/>
      <c r="AO154" s="121"/>
    </row>
    <row r="155" spans="1:41">
      <c r="A155" s="119">
        <v>153</v>
      </c>
      <c r="B155" s="113">
        <f t="shared" si="2"/>
        <v>45626</v>
      </c>
      <c r="C155" s="114">
        <f>YEAR(GC[[#This Row],[Date]])+IF(MONTH(GC[[#This Row],[Date]])&gt;=4,1,0)</f>
        <v>2025</v>
      </c>
      <c r="D155" s="115">
        <f>YEAR(GC[[#This Row],[Date]])</f>
        <v>2024</v>
      </c>
      <c r="E155" s="112" t="s">
        <v>340</v>
      </c>
      <c r="F155" s="112" t="s">
        <v>340</v>
      </c>
      <c r="G155" s="116" t="str">
        <f>TEXT(GC[[#This Row],[Date]],"mmm-yy")</f>
        <v>Nov-24</v>
      </c>
      <c r="H155" s="116">
        <f>DAY(EOMONTH(GC[[#This Row],[Month Year]],0))</f>
        <v>30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SUM(GC[[#This Row],[IS1Inv1M1]:[IS4Inv10M2]])</f>
        <v>0</v>
      </c>
      <c r="AN155" s="119"/>
      <c r="AO155" s="121"/>
    </row>
    <row r="156" spans="1:41">
      <c r="A156" s="119">
        <v>154</v>
      </c>
      <c r="B156" s="113">
        <f t="shared" si="2"/>
        <v>45627</v>
      </c>
      <c r="C156" s="114">
        <f>YEAR(GC[[#This Row],[Date]])+IF(MONTH(GC[[#This Row],[Date]])&gt;=4,1,0)</f>
        <v>2025</v>
      </c>
      <c r="D156" s="115">
        <f>YEAR(GC[[#This Row],[Date]])</f>
        <v>2024</v>
      </c>
      <c r="E156" s="112" t="s">
        <v>340</v>
      </c>
      <c r="F156" s="112" t="s">
        <v>340</v>
      </c>
      <c r="G156" s="116" t="str">
        <f>TEXT(GC[[#This Row],[Date]],"mmm-yy")</f>
        <v>Dec-24</v>
      </c>
      <c r="H156" s="116">
        <f>DAY(EOMONTH(GC[[#This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SUM(GC[[#This Row],[IS1Inv1M1]:[IS4Inv10M2]])</f>
        <v>0</v>
      </c>
      <c r="AN156" s="119"/>
      <c r="AO156" s="119"/>
    </row>
    <row r="157" spans="1:41">
      <c r="A157" s="119">
        <v>155</v>
      </c>
      <c r="B157" s="113">
        <f t="shared" si="2"/>
        <v>45628</v>
      </c>
      <c r="C157" s="114">
        <f>YEAR(GC[[#This Row],[Date]])+IF(MONTH(GC[[#This Row],[Date]])&gt;=4,1,0)</f>
        <v>2025</v>
      </c>
      <c r="D157" s="115">
        <f>YEAR(GC[[#This Row],[Date]])</f>
        <v>2024</v>
      </c>
      <c r="E157" s="112" t="s">
        <v>340</v>
      </c>
      <c r="F157" s="112" t="s">
        <v>340</v>
      </c>
      <c r="G157" s="116" t="str">
        <f>TEXT(GC[[#This Row],[Date]],"mmm-yy")</f>
        <v>Dec-24</v>
      </c>
      <c r="H157" s="116">
        <f>DAY(EOMONTH(GC[[#This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SUM(GC[[#This Row],[IS1Inv1M1]:[IS4Inv10M2]])</f>
        <v>0</v>
      </c>
      <c r="AN157" s="119"/>
      <c r="AO157" s="119"/>
    </row>
    <row r="158" spans="1:41">
      <c r="A158" s="119">
        <v>156</v>
      </c>
      <c r="B158" s="113">
        <f t="shared" si="2"/>
        <v>45629</v>
      </c>
      <c r="C158" s="114">
        <f>YEAR(GC[[#This Row],[Date]])+IF(MONTH(GC[[#This Row],[Date]])&gt;=4,1,0)</f>
        <v>2025</v>
      </c>
      <c r="D158" s="115">
        <f>YEAR(GC[[#This Row],[Date]])</f>
        <v>2024</v>
      </c>
      <c r="E158" s="112" t="s">
        <v>340</v>
      </c>
      <c r="F158" s="112" t="s">
        <v>340</v>
      </c>
      <c r="G158" s="116" t="str">
        <f>TEXT(GC[[#This Row],[Date]],"mmm-yy")</f>
        <v>Dec-24</v>
      </c>
      <c r="H158" s="116">
        <f>DAY(EOMONTH(GC[[#This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SUM(GC[[#This Row],[IS1Inv1M1]:[IS4Inv10M2]])</f>
        <v>0</v>
      </c>
      <c r="AN158" s="119"/>
      <c r="AO158" s="119"/>
    </row>
    <row r="159" spans="1:41">
      <c r="A159" s="119">
        <v>157</v>
      </c>
      <c r="B159" s="113">
        <f t="shared" si="2"/>
        <v>45630</v>
      </c>
      <c r="C159" s="114">
        <f>YEAR(GC[[#This Row],[Date]])+IF(MONTH(GC[[#This Row],[Date]])&gt;=4,1,0)</f>
        <v>2025</v>
      </c>
      <c r="D159" s="115">
        <f>YEAR(GC[[#This Row],[Date]])</f>
        <v>2024</v>
      </c>
      <c r="E159" s="112" t="s">
        <v>340</v>
      </c>
      <c r="F159" s="112" t="s">
        <v>340</v>
      </c>
      <c r="G159" s="116" t="str">
        <f>TEXT(GC[[#This Row],[Date]],"mmm-yy")</f>
        <v>Dec-24</v>
      </c>
      <c r="H159" s="116">
        <f>DAY(EOMONTH(GC[[#This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SUM(GC[[#This Row],[IS1Inv1M1]:[IS4Inv10M2]])</f>
        <v>0</v>
      </c>
      <c r="AN159" s="119"/>
      <c r="AO159" s="119"/>
    </row>
    <row r="160" spans="1:41">
      <c r="A160" s="119">
        <v>158</v>
      </c>
      <c r="B160" s="113">
        <f t="shared" si="2"/>
        <v>45631</v>
      </c>
      <c r="C160" s="114">
        <f>YEAR(GC[[#This Row],[Date]])+IF(MONTH(GC[[#This Row],[Date]])&gt;=4,1,0)</f>
        <v>2025</v>
      </c>
      <c r="D160" s="115">
        <f>YEAR(GC[[#This Row],[Date]])</f>
        <v>2024</v>
      </c>
      <c r="E160" s="112" t="s">
        <v>340</v>
      </c>
      <c r="F160" s="112" t="s">
        <v>340</v>
      </c>
      <c r="G160" s="116" t="str">
        <f>TEXT(GC[[#This Row],[Date]],"mmm-yy")</f>
        <v>Dec-24</v>
      </c>
      <c r="H160" s="116">
        <f>DAY(EOMONTH(GC[[#This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SUM(GC[[#This Row],[IS1Inv1M1]:[IS4Inv10M2]])</f>
        <v>0</v>
      </c>
      <c r="AN160" s="119"/>
      <c r="AO160" s="119"/>
    </row>
    <row r="161" spans="1:41">
      <c r="A161" s="119">
        <v>159</v>
      </c>
      <c r="B161" s="113">
        <f t="shared" si="2"/>
        <v>45632</v>
      </c>
      <c r="C161" s="114">
        <f>YEAR(GC[[#This Row],[Date]])+IF(MONTH(GC[[#This Row],[Date]])&gt;=4,1,0)</f>
        <v>2025</v>
      </c>
      <c r="D161" s="115">
        <f>YEAR(GC[[#This Row],[Date]])</f>
        <v>2024</v>
      </c>
      <c r="E161" s="112" t="s">
        <v>340</v>
      </c>
      <c r="F161" s="112" t="s">
        <v>340</v>
      </c>
      <c r="G161" s="116" t="str">
        <f>TEXT(GC[[#This Row],[Date]],"mmm-yy")</f>
        <v>Dec-24</v>
      </c>
      <c r="H161" s="116">
        <f>DAY(EOMONTH(GC[[#This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SUM(GC[[#This Row],[IS1Inv1M1]:[IS4Inv10M2]])</f>
        <v>0</v>
      </c>
      <c r="AN161" s="119"/>
      <c r="AO161" s="119"/>
    </row>
    <row r="162" spans="1:41">
      <c r="A162" s="119">
        <v>160</v>
      </c>
      <c r="B162" s="113">
        <f t="shared" si="2"/>
        <v>45633</v>
      </c>
      <c r="C162" s="114">
        <f>YEAR(GC[[#This Row],[Date]])+IF(MONTH(GC[[#This Row],[Date]])&gt;=4,1,0)</f>
        <v>2025</v>
      </c>
      <c r="D162" s="115">
        <f>YEAR(GC[[#This Row],[Date]])</f>
        <v>2024</v>
      </c>
      <c r="E162" s="112" t="s">
        <v>340</v>
      </c>
      <c r="F162" s="112" t="s">
        <v>340</v>
      </c>
      <c r="G162" s="116" t="str">
        <f>TEXT(GC[[#This Row],[Date]],"mmm-yy")</f>
        <v>Dec-24</v>
      </c>
      <c r="H162" s="116">
        <f>DAY(EOMONTH(GC[[#This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SUM(GC[[#This Row],[IS1Inv1M1]:[IS4Inv10M2]])</f>
        <v>0</v>
      </c>
      <c r="AN162" s="119"/>
      <c r="AO162" s="119"/>
    </row>
    <row r="163" spans="1:41">
      <c r="A163" s="119">
        <v>161</v>
      </c>
      <c r="B163" s="113">
        <f t="shared" si="2"/>
        <v>45634</v>
      </c>
      <c r="C163" s="114">
        <f>YEAR(GC[[#This Row],[Date]])+IF(MONTH(GC[[#This Row],[Date]])&gt;=4,1,0)</f>
        <v>2025</v>
      </c>
      <c r="D163" s="115">
        <f>YEAR(GC[[#This Row],[Date]])</f>
        <v>2024</v>
      </c>
      <c r="E163" s="112" t="s">
        <v>340</v>
      </c>
      <c r="F163" s="112" t="s">
        <v>340</v>
      </c>
      <c r="G163" s="116" t="str">
        <f>TEXT(GC[[#This Row],[Date]],"mmm-yy")</f>
        <v>Dec-24</v>
      </c>
      <c r="H163" s="116">
        <f>DAY(EOMONTH(GC[[#This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SUM(GC[[#This Row],[IS1Inv1M1]:[IS4Inv10M2]])</f>
        <v>0</v>
      </c>
      <c r="AN163" s="119"/>
      <c r="AO163" s="119"/>
    </row>
    <row r="164" spans="1:41">
      <c r="A164" s="119">
        <v>162</v>
      </c>
      <c r="B164" s="113">
        <f t="shared" si="2"/>
        <v>45635</v>
      </c>
      <c r="C164" s="114">
        <f>YEAR(GC[[#This Row],[Date]])+IF(MONTH(GC[[#This Row],[Date]])&gt;=4,1,0)</f>
        <v>2025</v>
      </c>
      <c r="D164" s="115">
        <f>YEAR(GC[[#This Row],[Date]])</f>
        <v>2024</v>
      </c>
      <c r="E164" s="112" t="s">
        <v>340</v>
      </c>
      <c r="F164" s="112" t="s">
        <v>340</v>
      </c>
      <c r="G164" s="116" t="str">
        <f>TEXT(GC[[#This Row],[Date]],"mmm-yy")</f>
        <v>Dec-24</v>
      </c>
      <c r="H164" s="116">
        <f>DAY(EOMONTH(GC[[#This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SUM(GC[[#This Row],[IS1Inv1M1]:[IS4Inv10M2]])</f>
        <v>0</v>
      </c>
      <c r="AN164" s="119"/>
      <c r="AO164" s="119"/>
    </row>
    <row r="165" spans="1:41">
      <c r="A165" s="119">
        <v>163</v>
      </c>
      <c r="B165" s="113">
        <f t="shared" si="2"/>
        <v>45636</v>
      </c>
      <c r="C165" s="114">
        <f>YEAR(GC[[#This Row],[Date]])+IF(MONTH(GC[[#This Row],[Date]])&gt;=4,1,0)</f>
        <v>2025</v>
      </c>
      <c r="D165" s="115">
        <f>YEAR(GC[[#This Row],[Date]])</f>
        <v>2024</v>
      </c>
      <c r="E165" s="112" t="s">
        <v>340</v>
      </c>
      <c r="F165" s="112" t="s">
        <v>340</v>
      </c>
      <c r="G165" s="116" t="str">
        <f>TEXT(GC[[#This Row],[Date]],"mmm-yy")</f>
        <v>Dec-24</v>
      </c>
      <c r="H165" s="116">
        <f>DAY(EOMONTH(GC[[#This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SUM(GC[[#This Row],[IS1Inv1M1]:[IS4Inv10M2]])</f>
        <v>0</v>
      </c>
      <c r="AN165" s="119"/>
      <c r="AO165" s="119"/>
    </row>
    <row r="166" spans="1:41">
      <c r="A166" s="119">
        <v>164</v>
      </c>
      <c r="B166" s="113">
        <f t="shared" si="2"/>
        <v>45637</v>
      </c>
      <c r="C166" s="114">
        <f>YEAR(GC[[#This Row],[Date]])+IF(MONTH(GC[[#This Row],[Date]])&gt;=4,1,0)</f>
        <v>2025</v>
      </c>
      <c r="D166" s="115">
        <f>YEAR(GC[[#This Row],[Date]])</f>
        <v>2024</v>
      </c>
      <c r="E166" s="112" t="s">
        <v>340</v>
      </c>
      <c r="F166" s="112" t="s">
        <v>340</v>
      </c>
      <c r="G166" s="116" t="str">
        <f>TEXT(GC[[#This Row],[Date]],"mmm-yy")</f>
        <v>Dec-24</v>
      </c>
      <c r="H166" s="116">
        <f>DAY(EOMONTH(GC[[#This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SUM(GC[[#This Row],[IS1Inv1M1]:[IS4Inv10M2]])</f>
        <v>0</v>
      </c>
      <c r="AN166" s="119"/>
      <c r="AO166" s="121"/>
    </row>
    <row r="167" spans="1:41">
      <c r="A167" s="119">
        <v>165</v>
      </c>
      <c r="B167" s="113">
        <f t="shared" si="2"/>
        <v>45638</v>
      </c>
      <c r="C167" s="114">
        <f>YEAR(GC[[#This Row],[Date]])+IF(MONTH(GC[[#This Row],[Date]])&gt;=4,1,0)</f>
        <v>2025</v>
      </c>
      <c r="D167" s="115">
        <f>YEAR(GC[[#This Row],[Date]])</f>
        <v>2024</v>
      </c>
      <c r="E167" s="112" t="s">
        <v>340</v>
      </c>
      <c r="F167" s="112" t="s">
        <v>340</v>
      </c>
      <c r="G167" s="116" t="str">
        <f>TEXT(GC[[#This Row],[Date]],"mmm-yy")</f>
        <v>Dec-24</v>
      </c>
      <c r="H167" s="116">
        <f>DAY(EOMONTH(GC[[#This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SUM(GC[[#This Row],[IS1Inv1M1]:[IS4Inv10M2]])</f>
        <v>0</v>
      </c>
      <c r="AN167" s="119"/>
      <c r="AO167" s="121"/>
    </row>
    <row r="168" spans="1:41">
      <c r="A168" s="119">
        <v>166</v>
      </c>
      <c r="B168" s="113">
        <f t="shared" si="2"/>
        <v>45639</v>
      </c>
      <c r="C168" s="114">
        <f>YEAR(GC[[#This Row],[Date]])+IF(MONTH(GC[[#This Row],[Date]])&gt;=4,1,0)</f>
        <v>2025</v>
      </c>
      <c r="D168" s="115">
        <f>YEAR(GC[[#This Row],[Date]])</f>
        <v>2024</v>
      </c>
      <c r="E168" s="112" t="s">
        <v>340</v>
      </c>
      <c r="F168" s="112" t="s">
        <v>340</v>
      </c>
      <c r="G168" s="116" t="str">
        <f>TEXT(GC[[#This Row],[Date]],"mmm-yy")</f>
        <v>Dec-24</v>
      </c>
      <c r="H168" s="116">
        <f>DAY(EOMONTH(GC[[#This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SUM(GC[[#This Row],[IS1Inv1M1]:[IS4Inv10M2]])</f>
        <v>0</v>
      </c>
      <c r="AN168" s="119"/>
      <c r="AO168" s="121"/>
    </row>
    <row r="169" spans="1:41">
      <c r="A169" s="119">
        <v>167</v>
      </c>
      <c r="B169" s="113">
        <f t="shared" si="2"/>
        <v>45640</v>
      </c>
      <c r="C169" s="114">
        <f>YEAR(GC[[#This Row],[Date]])+IF(MONTH(GC[[#This Row],[Date]])&gt;=4,1,0)</f>
        <v>2025</v>
      </c>
      <c r="D169" s="115">
        <f>YEAR(GC[[#This Row],[Date]])</f>
        <v>2024</v>
      </c>
      <c r="E169" s="112" t="s">
        <v>340</v>
      </c>
      <c r="F169" s="112" t="s">
        <v>340</v>
      </c>
      <c r="G169" s="116" t="str">
        <f>TEXT(GC[[#This Row],[Date]],"mmm-yy")</f>
        <v>Dec-24</v>
      </c>
      <c r="H169" s="116">
        <f>DAY(EOMONTH(GC[[#This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SUM(GC[[#This Row],[IS1Inv1M1]:[IS4Inv10M2]])</f>
        <v>0</v>
      </c>
      <c r="AN169" s="119"/>
      <c r="AO169" s="121"/>
    </row>
    <row r="170" spans="1:41">
      <c r="A170" s="119">
        <v>168</v>
      </c>
      <c r="B170" s="113">
        <f t="shared" si="2"/>
        <v>45641</v>
      </c>
      <c r="C170" s="114">
        <f>YEAR(GC[[#This Row],[Date]])+IF(MONTH(GC[[#This Row],[Date]])&gt;=4,1,0)</f>
        <v>2025</v>
      </c>
      <c r="D170" s="115">
        <f>YEAR(GC[[#This Row],[Date]])</f>
        <v>2024</v>
      </c>
      <c r="E170" s="112" t="s">
        <v>340</v>
      </c>
      <c r="F170" s="112" t="s">
        <v>340</v>
      </c>
      <c r="G170" s="116" t="str">
        <f>TEXT(GC[[#This Row],[Date]],"mmm-yy")</f>
        <v>Dec-24</v>
      </c>
      <c r="H170" s="116">
        <f>DAY(EOMONTH(GC[[#This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SUM(GC[[#This Row],[IS1Inv1M1]:[IS4Inv10M2]])</f>
        <v>0</v>
      </c>
      <c r="AN170" s="119"/>
      <c r="AO170" s="121"/>
    </row>
    <row r="171" spans="1:41">
      <c r="A171" s="119">
        <v>169</v>
      </c>
      <c r="B171" s="113">
        <f t="shared" si="2"/>
        <v>45642</v>
      </c>
      <c r="C171" s="114">
        <f>YEAR(GC[[#This Row],[Date]])+IF(MONTH(GC[[#This Row],[Date]])&gt;=4,1,0)</f>
        <v>2025</v>
      </c>
      <c r="D171" s="115">
        <f>YEAR(GC[[#This Row],[Date]])</f>
        <v>2024</v>
      </c>
      <c r="E171" s="112" t="s">
        <v>340</v>
      </c>
      <c r="F171" s="112" t="s">
        <v>340</v>
      </c>
      <c r="G171" s="116" t="str">
        <f>TEXT(GC[[#This Row],[Date]],"mmm-yy")</f>
        <v>Dec-24</v>
      </c>
      <c r="H171" s="116">
        <f>DAY(EOMONTH(GC[[#This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SUM(GC[[#This Row],[IS1Inv1M1]:[IS4Inv10M2]])</f>
        <v>0</v>
      </c>
      <c r="AN171" s="119"/>
      <c r="AO171" s="121"/>
    </row>
    <row r="172" spans="1:41">
      <c r="A172" s="119">
        <v>170</v>
      </c>
      <c r="B172" s="113">
        <f t="shared" si="2"/>
        <v>45643</v>
      </c>
      <c r="C172" s="114">
        <f>YEAR(GC[[#This Row],[Date]])+IF(MONTH(GC[[#This Row],[Date]])&gt;=4,1,0)</f>
        <v>2025</v>
      </c>
      <c r="D172" s="115">
        <f>YEAR(GC[[#This Row],[Date]])</f>
        <v>2024</v>
      </c>
      <c r="E172" s="112" t="s">
        <v>340</v>
      </c>
      <c r="F172" s="112" t="s">
        <v>340</v>
      </c>
      <c r="G172" s="116" t="str">
        <f>TEXT(GC[[#This Row],[Date]],"mmm-yy")</f>
        <v>Dec-24</v>
      </c>
      <c r="H172" s="116">
        <f>DAY(EOMONTH(GC[[#This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SUM(GC[[#This Row],[IS1Inv1M1]:[IS4Inv10M2]])</f>
        <v>0</v>
      </c>
      <c r="AN172" s="119"/>
      <c r="AO172" s="121"/>
    </row>
    <row r="173" spans="1:41">
      <c r="A173" s="119">
        <v>171</v>
      </c>
      <c r="B173" s="113">
        <f t="shared" si="2"/>
        <v>45644</v>
      </c>
      <c r="C173" s="114">
        <f>YEAR(GC[[#This Row],[Date]])+IF(MONTH(GC[[#This Row],[Date]])&gt;=4,1,0)</f>
        <v>2025</v>
      </c>
      <c r="D173" s="115">
        <f>YEAR(GC[[#This Row],[Date]])</f>
        <v>2024</v>
      </c>
      <c r="E173" s="112" t="s">
        <v>340</v>
      </c>
      <c r="F173" s="112" t="s">
        <v>340</v>
      </c>
      <c r="G173" s="116" t="str">
        <f>TEXT(GC[[#This Row],[Date]],"mmm-yy")</f>
        <v>Dec-24</v>
      </c>
      <c r="H173" s="116">
        <f>DAY(EOMONTH(GC[[#This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SUM(GC[[#This Row],[IS1Inv1M1]:[IS4Inv10M2]])</f>
        <v>0</v>
      </c>
      <c r="AN173" s="119"/>
      <c r="AO173" s="121"/>
    </row>
    <row r="174" spans="1:41">
      <c r="A174" s="119">
        <v>172</v>
      </c>
      <c r="B174" s="113">
        <f t="shared" si="2"/>
        <v>45645</v>
      </c>
      <c r="C174" s="114">
        <f>YEAR(GC[[#This Row],[Date]])+IF(MONTH(GC[[#This Row],[Date]])&gt;=4,1,0)</f>
        <v>2025</v>
      </c>
      <c r="D174" s="115">
        <f>YEAR(GC[[#This Row],[Date]])</f>
        <v>2024</v>
      </c>
      <c r="E174" s="112" t="s">
        <v>340</v>
      </c>
      <c r="F174" s="112" t="s">
        <v>340</v>
      </c>
      <c r="G174" s="116" t="str">
        <f>TEXT(GC[[#This Row],[Date]],"mmm-yy")</f>
        <v>Dec-24</v>
      </c>
      <c r="H174" s="116">
        <f>DAY(EOMONTH(GC[[#This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SUM(GC[[#This Row],[IS1Inv1M1]:[IS4Inv10M2]])</f>
        <v>0</v>
      </c>
      <c r="AN174" s="119"/>
      <c r="AO174" s="121"/>
    </row>
    <row r="175" spans="1:41">
      <c r="A175" s="119">
        <v>173</v>
      </c>
      <c r="B175" s="113">
        <f t="shared" si="2"/>
        <v>45646</v>
      </c>
      <c r="C175" s="114">
        <f>YEAR(GC[[#This Row],[Date]])+IF(MONTH(GC[[#This Row],[Date]])&gt;=4,1,0)</f>
        <v>2025</v>
      </c>
      <c r="D175" s="115">
        <f>YEAR(GC[[#This Row],[Date]])</f>
        <v>2024</v>
      </c>
      <c r="E175" s="112" t="s">
        <v>340</v>
      </c>
      <c r="F175" s="112" t="s">
        <v>340</v>
      </c>
      <c r="G175" s="116" t="str">
        <f>TEXT(GC[[#This Row],[Date]],"mmm-yy")</f>
        <v>Dec-24</v>
      </c>
      <c r="H175" s="116">
        <f>DAY(EOMONTH(GC[[#This Row],[Month Year]],0))</f>
        <v>31</v>
      </c>
      <c r="I175" s="119"/>
      <c r="J175" s="119"/>
      <c r="K175" s="119"/>
      <c r="L175" s="119"/>
      <c r="M175" s="119"/>
      <c r="N175" s="119"/>
      <c r="O175" s="119">
        <v>10</v>
      </c>
      <c r="P175" s="119">
        <v>10</v>
      </c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SUM(GC[[#This Row],[IS1Inv1M1]:[IS4Inv10M2]])</f>
        <v>20</v>
      </c>
      <c r="AN175" s="119"/>
      <c r="AO175" s="121"/>
    </row>
    <row r="176" spans="1:41">
      <c r="A176" s="119">
        <v>174</v>
      </c>
      <c r="B176" s="113">
        <f t="shared" si="2"/>
        <v>45647</v>
      </c>
      <c r="C176" s="114">
        <f>YEAR(GC[[#This Row],[Date]])+IF(MONTH(GC[[#This Row],[Date]])&gt;=4,1,0)</f>
        <v>2025</v>
      </c>
      <c r="D176" s="115">
        <f>YEAR(GC[[#This Row],[Date]])</f>
        <v>2024</v>
      </c>
      <c r="E176" s="112" t="s">
        <v>340</v>
      </c>
      <c r="F176" s="112" t="s">
        <v>340</v>
      </c>
      <c r="G176" s="116" t="str">
        <f>TEXT(GC[[#This Row],[Date]],"mmm-yy")</f>
        <v>Dec-24</v>
      </c>
      <c r="H176" s="116">
        <f>DAY(EOMONTH(GC[[#This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>
        <v>31</v>
      </c>
      <c r="Q176" s="119">
        <v>10</v>
      </c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SUM(GC[[#This Row],[IS1Inv1M1]:[IS4Inv10M2]])</f>
        <v>41</v>
      </c>
      <c r="AN176" s="119"/>
      <c r="AO176" s="121"/>
    </row>
    <row r="177" spans="1:41">
      <c r="A177" s="119">
        <v>175</v>
      </c>
      <c r="B177" s="113">
        <f t="shared" si="2"/>
        <v>45648</v>
      </c>
      <c r="C177" s="114">
        <f>YEAR(GC[[#This Row],[Date]])+IF(MONTH(GC[[#This Row],[Date]])&gt;=4,1,0)</f>
        <v>2025</v>
      </c>
      <c r="D177" s="115">
        <f>YEAR(GC[[#This Row],[Date]])</f>
        <v>2024</v>
      </c>
      <c r="E177" s="112" t="s">
        <v>340</v>
      </c>
      <c r="F177" s="112" t="s">
        <v>340</v>
      </c>
      <c r="G177" s="116" t="str">
        <f>TEXT(GC[[#This Row],[Date]],"mmm-yy")</f>
        <v>Dec-24</v>
      </c>
      <c r="H177" s="116">
        <f>DAY(EOMONTH(GC[[#This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>
        <v>26</v>
      </c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SUM(GC[[#This Row],[IS1Inv1M1]:[IS4Inv10M2]])</f>
        <v>26</v>
      </c>
      <c r="AN177" s="119"/>
      <c r="AO177" s="121"/>
    </row>
    <row r="178" spans="1:41">
      <c r="A178" s="119">
        <v>176</v>
      </c>
      <c r="B178" s="113">
        <f t="shared" si="2"/>
        <v>45649</v>
      </c>
      <c r="C178" s="114">
        <f>YEAR(GC[[#This Row],[Date]])+IF(MONTH(GC[[#This Row],[Date]])&gt;=4,1,0)</f>
        <v>2025</v>
      </c>
      <c r="D178" s="115">
        <f>YEAR(GC[[#This Row],[Date]])</f>
        <v>2024</v>
      </c>
      <c r="E178" s="112" t="s">
        <v>340</v>
      </c>
      <c r="F178" s="112" t="s">
        <v>340</v>
      </c>
      <c r="G178" s="116" t="str">
        <f>TEXT(GC[[#This Row],[Date]],"mmm-yy")</f>
        <v>Dec-24</v>
      </c>
      <c r="H178" s="116">
        <f>DAY(EOMONTH(GC[[#This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>
        <v>9</v>
      </c>
      <c r="Q178" s="119">
        <v>12</v>
      </c>
      <c r="R178" s="119">
        <v>10</v>
      </c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SUM(GC[[#This Row],[IS1Inv1M1]:[IS4Inv10M2]])</f>
        <v>31</v>
      </c>
      <c r="AN178" s="119"/>
      <c r="AO178" s="121"/>
    </row>
    <row r="179" spans="1:41">
      <c r="A179" s="119">
        <v>177</v>
      </c>
      <c r="B179" s="113">
        <f t="shared" si="2"/>
        <v>45650</v>
      </c>
      <c r="C179" s="114">
        <f>YEAR(GC[[#This Row],[Date]])+IF(MONTH(GC[[#This Row],[Date]])&gt;=4,1,0)</f>
        <v>2025</v>
      </c>
      <c r="D179" s="115">
        <f>YEAR(GC[[#This Row],[Date]])</f>
        <v>2024</v>
      </c>
      <c r="E179" s="112" t="s">
        <v>340</v>
      </c>
      <c r="F179" s="112" t="s">
        <v>340</v>
      </c>
      <c r="G179" s="116" t="str">
        <f>TEXT(GC[[#This Row],[Date]],"mmm-yy")</f>
        <v>Dec-24</v>
      </c>
      <c r="H179" s="116">
        <f>DAY(EOMONTH(GC[[#This Row],[Month Year]],0))</f>
        <v>31</v>
      </c>
      <c r="I179" s="119"/>
      <c r="J179" s="119"/>
      <c r="K179" s="119">
        <v>15.5</v>
      </c>
      <c r="L179" s="119"/>
      <c r="M179" s="119"/>
      <c r="N179" s="119"/>
      <c r="O179" s="119"/>
      <c r="P179" s="119"/>
      <c r="Q179" s="119"/>
      <c r="R179" s="119">
        <v>18</v>
      </c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SUM(GC[[#This Row],[IS1Inv1M1]:[IS4Inv10M2]])</f>
        <v>33.5</v>
      </c>
      <c r="AN179" s="119"/>
      <c r="AO179" s="121"/>
    </row>
    <row r="180" spans="1:41">
      <c r="A180" s="119">
        <v>178</v>
      </c>
      <c r="B180" s="113">
        <f t="shared" si="2"/>
        <v>45651</v>
      </c>
      <c r="C180" s="114">
        <f>YEAR(GC[[#This Row],[Date]])+IF(MONTH(GC[[#This Row],[Date]])&gt;=4,1,0)</f>
        <v>2025</v>
      </c>
      <c r="D180" s="115">
        <f>YEAR(GC[[#This Row],[Date]])</f>
        <v>2024</v>
      </c>
      <c r="E180" s="112" t="s">
        <v>340</v>
      </c>
      <c r="F180" s="112" t="s">
        <v>340</v>
      </c>
      <c r="G180" s="116" t="str">
        <f>TEXT(GC[[#This Row],[Date]],"mmm-yy")</f>
        <v>Dec-24</v>
      </c>
      <c r="H180" s="116">
        <f>DAY(EOMONTH(GC[[#This Row],[Month Year]],0))</f>
        <v>31</v>
      </c>
      <c r="I180" s="119"/>
      <c r="J180" s="119"/>
      <c r="K180" s="119">
        <v>24</v>
      </c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SUM(GC[[#This Row],[IS1Inv1M1]:[IS4Inv10M2]])</f>
        <v>24</v>
      </c>
      <c r="AN180" s="119"/>
      <c r="AO180" s="121"/>
    </row>
    <row r="181" spans="1:41">
      <c r="A181" s="119">
        <v>179</v>
      </c>
      <c r="B181" s="113">
        <f t="shared" si="2"/>
        <v>45652</v>
      </c>
      <c r="C181" s="114">
        <f>YEAR(GC[[#This Row],[Date]])+IF(MONTH(GC[[#This Row],[Date]])&gt;=4,1,0)</f>
        <v>2025</v>
      </c>
      <c r="D181" s="115">
        <f>YEAR(GC[[#This Row],[Date]])</f>
        <v>2024</v>
      </c>
      <c r="E181" s="112" t="s">
        <v>340</v>
      </c>
      <c r="F181" s="112" t="s">
        <v>340</v>
      </c>
      <c r="G181" s="116" t="str">
        <f>TEXT(GC[[#This Row],[Date]],"mmm-yy")</f>
        <v>Dec-24</v>
      </c>
      <c r="H181" s="116">
        <f>DAY(EOMONTH(GC[[#This Row],[Month Year]],0))</f>
        <v>31</v>
      </c>
      <c r="I181" s="119"/>
      <c r="J181" s="119"/>
      <c r="K181" s="119">
        <v>9</v>
      </c>
      <c r="L181" s="119">
        <v>22</v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SUM(GC[[#This Row],[IS1Inv1M1]:[IS4Inv10M2]])</f>
        <v>31</v>
      </c>
      <c r="AN181" s="119"/>
      <c r="AO181" s="121"/>
    </row>
    <row r="182" spans="1:41">
      <c r="A182" s="119">
        <v>180</v>
      </c>
      <c r="B182" s="113">
        <f t="shared" si="2"/>
        <v>45653</v>
      </c>
      <c r="C182" s="114">
        <f>YEAR(GC[[#This Row],[Date]])+IF(MONTH(GC[[#This Row],[Date]])&gt;=4,1,0)</f>
        <v>2025</v>
      </c>
      <c r="D182" s="115">
        <f>YEAR(GC[[#This Row],[Date]])</f>
        <v>2024</v>
      </c>
      <c r="E182" s="112" t="s">
        <v>340</v>
      </c>
      <c r="F182" s="112" t="s">
        <v>340</v>
      </c>
      <c r="G182" s="116" t="str">
        <f>TEXT(GC[[#This Row],[Date]],"mmm-yy")</f>
        <v>Dec-24</v>
      </c>
      <c r="H182" s="116">
        <f>DAY(EOMONTH(GC[[#This Row],[Month Year]],0))</f>
        <v>31</v>
      </c>
      <c r="I182" s="119"/>
      <c r="J182" s="119"/>
      <c r="K182" s="119"/>
      <c r="L182" s="119">
        <v>22</v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SUM(GC[[#This Row],[IS1Inv1M1]:[IS4Inv10M2]])</f>
        <v>22</v>
      </c>
      <c r="AN182" s="119"/>
      <c r="AO182" s="121"/>
    </row>
    <row r="183" spans="1:41">
      <c r="A183" s="119">
        <v>181</v>
      </c>
      <c r="B183" s="113">
        <f t="shared" si="2"/>
        <v>45654</v>
      </c>
      <c r="C183" s="114">
        <f>YEAR(GC[[#This Row],[Date]])+IF(MONTH(GC[[#This Row],[Date]])&gt;=4,1,0)</f>
        <v>2025</v>
      </c>
      <c r="D183" s="115">
        <f>YEAR(GC[[#This Row],[Date]])</f>
        <v>2024</v>
      </c>
      <c r="E183" s="112" t="s">
        <v>340</v>
      </c>
      <c r="F183" s="112" t="s">
        <v>340</v>
      </c>
      <c r="G183" s="116" t="str">
        <f>TEXT(GC[[#This Row],[Date]],"mmm-yy")</f>
        <v>Dec-24</v>
      </c>
      <c r="H183" s="116">
        <f>DAY(EOMONTH(GC[[#This Row],[Month Year]],0))</f>
        <v>31</v>
      </c>
      <c r="I183" s="119"/>
      <c r="J183" s="119"/>
      <c r="K183" s="119"/>
      <c r="L183" s="119">
        <v>9</v>
      </c>
      <c r="M183" s="119">
        <v>26.5</v>
      </c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SUM(GC[[#This Row],[IS1Inv1M1]:[IS4Inv10M2]])</f>
        <v>35.5</v>
      </c>
      <c r="AN183" s="119"/>
      <c r="AO183" s="121"/>
    </row>
    <row r="184" spans="1:41" ht="14.25" customHeight="1">
      <c r="A184" s="119">
        <v>182</v>
      </c>
      <c r="B184" s="113">
        <f t="shared" si="2"/>
        <v>45655</v>
      </c>
      <c r="C184" s="114">
        <f>YEAR(GC[[#This Row],[Date]])+IF(MONTH(GC[[#This Row],[Date]])&gt;=4,1,0)</f>
        <v>2025</v>
      </c>
      <c r="D184" s="115">
        <f>YEAR(GC[[#This Row],[Date]])</f>
        <v>2024</v>
      </c>
      <c r="E184" s="112" t="s">
        <v>340</v>
      </c>
      <c r="F184" s="112" t="s">
        <v>340</v>
      </c>
      <c r="G184" s="116" t="str">
        <f>TEXT(GC[[#This Row],[Date]],"mmm-yy")</f>
        <v>Dec-24</v>
      </c>
      <c r="H184" s="116">
        <f>DAY(EOMONTH(GC[[#This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SUM(GC[[#This Row],[IS1Inv1M1]:[IS4Inv10M2]])</f>
        <v>0</v>
      </c>
      <c r="AN184" s="119"/>
      <c r="AO184" s="121"/>
    </row>
    <row r="185" spans="1:41" ht="16.5" customHeight="1">
      <c r="A185" s="119">
        <v>183</v>
      </c>
      <c r="B185" s="113">
        <f t="shared" si="2"/>
        <v>45656</v>
      </c>
      <c r="C185" s="114">
        <f>YEAR(GC[[#This Row],[Date]])+IF(MONTH(GC[[#This Row],[Date]])&gt;=4,1,0)</f>
        <v>2025</v>
      </c>
      <c r="D185" s="115">
        <f>YEAR(GC[[#This Row],[Date]])</f>
        <v>2024</v>
      </c>
      <c r="E185" s="112" t="s">
        <v>340</v>
      </c>
      <c r="F185" s="112" t="s">
        <v>340</v>
      </c>
      <c r="G185" s="116" t="str">
        <f>TEXT(GC[[#This Row],[Date]],"mmm-yy")</f>
        <v>Dec-24</v>
      </c>
      <c r="H185" s="116">
        <f>DAY(EOMONTH(GC[[#This Row],[Month Year]],0))</f>
        <v>31</v>
      </c>
      <c r="I185" s="119"/>
      <c r="J185" s="119"/>
      <c r="K185" s="119"/>
      <c r="L185" s="119"/>
      <c r="M185" s="119"/>
      <c r="N185" s="119">
        <v>10</v>
      </c>
      <c r="O185" s="119"/>
      <c r="P185" s="119"/>
      <c r="Q185" s="119">
        <v>21.5</v>
      </c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SUM(GC[[#This Row],[IS1Inv1M1]:[IS4Inv10M2]])</f>
        <v>31.5</v>
      </c>
      <c r="AN185" s="119"/>
      <c r="AO185" s="121"/>
    </row>
    <row r="186" spans="1:41">
      <c r="A186" s="119">
        <v>184</v>
      </c>
      <c r="B186" s="113">
        <f t="shared" si="2"/>
        <v>45657</v>
      </c>
      <c r="C186" s="114">
        <f>YEAR(GC[[#This Row],[Date]])+IF(MONTH(GC[[#This Row],[Date]])&gt;=4,1,0)</f>
        <v>2025</v>
      </c>
      <c r="D186" s="115">
        <f>YEAR(GC[[#This Row],[Date]])</f>
        <v>2024</v>
      </c>
      <c r="E186" s="112" t="s">
        <v>340</v>
      </c>
      <c r="F186" s="112" t="s">
        <v>340</v>
      </c>
      <c r="G186" s="116" t="str">
        <f>TEXT(GC[[#This Row],[Date]],"mmm-yy")</f>
        <v>Dec-24</v>
      </c>
      <c r="H186" s="116">
        <f>DAY(EOMONTH(GC[[#This Row],[Month Year]],0))</f>
        <v>31</v>
      </c>
      <c r="I186" s="119"/>
      <c r="J186" s="119"/>
      <c r="K186" s="119"/>
      <c r="L186" s="119"/>
      <c r="M186" s="119"/>
      <c r="N186" s="119">
        <v>26</v>
      </c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5">
        <f>SUM(GC[[#This Row],[IS1Inv1M1]:[IS4Inv10M2]])</f>
        <v>26</v>
      </c>
      <c r="AN186" s="119"/>
      <c r="AO186" s="121"/>
    </row>
    <row r="187" spans="1:41">
      <c r="A187" s="119">
        <v>185</v>
      </c>
      <c r="B187" s="113">
        <f t="shared" si="2"/>
        <v>45658</v>
      </c>
      <c r="C187" s="114">
        <f>YEAR(GC[[#This Row],[Date]])+IF(MONTH(GC[[#This Row],[Date]])&gt;=4,1,0)</f>
        <v>2025</v>
      </c>
      <c r="D187" s="115">
        <f>YEAR(GC[[#This Row],[Date]])</f>
        <v>2025</v>
      </c>
      <c r="E187" s="112" t="s">
        <v>340</v>
      </c>
      <c r="F187" s="112" t="s">
        <v>340</v>
      </c>
      <c r="G187" s="116" t="str">
        <f>TEXT(GC[[#This Row],[Date]],"mmm-yy")</f>
        <v>Jan-25</v>
      </c>
      <c r="H187" s="116">
        <f>DAY(EOMONTH(GC[[#This Row],[Month Year]],0))</f>
        <v>31</v>
      </c>
      <c r="I187" s="119"/>
      <c r="J187" s="119"/>
      <c r="K187" s="119">
        <v>11</v>
      </c>
      <c r="L187" s="119"/>
      <c r="M187" s="119"/>
      <c r="N187" s="119">
        <v>8.5</v>
      </c>
      <c r="O187" s="119">
        <v>18.5</v>
      </c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5">
        <f>SUM(GC[[#This Row],[IS1Inv1M1]:[IS4Inv10M2]])</f>
        <v>38</v>
      </c>
      <c r="AN187" s="119"/>
      <c r="AO187" s="121"/>
    </row>
    <row r="188" spans="1:41">
      <c r="A188" s="119">
        <v>186</v>
      </c>
      <c r="B188" s="113">
        <f t="shared" si="2"/>
        <v>45659</v>
      </c>
      <c r="C188" s="114">
        <f>YEAR(GC[[#This Row],[Date]])+IF(MONTH(GC[[#This Row],[Date]])&gt;=4,1,0)</f>
        <v>2025</v>
      </c>
      <c r="D188" s="115">
        <f>YEAR(GC[[#This Row],[Date]])</f>
        <v>2025</v>
      </c>
      <c r="E188" s="112" t="s">
        <v>340</v>
      </c>
      <c r="F188" s="112" t="s">
        <v>340</v>
      </c>
      <c r="G188" s="116" t="str">
        <f>TEXT(GC[[#This Row],[Date]],"mmm-yy")</f>
        <v>Jan-25</v>
      </c>
      <c r="H188" s="116">
        <f>DAY(EOMONTH(GC[[#This Row],[Month Year]],0))</f>
        <v>31</v>
      </c>
      <c r="I188" s="119"/>
      <c r="J188" s="119"/>
      <c r="K188" s="119"/>
      <c r="L188" s="119"/>
      <c r="M188" s="119"/>
      <c r="N188" s="119"/>
      <c r="O188" s="119">
        <v>21</v>
      </c>
      <c r="P188" s="119">
        <v>6</v>
      </c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5">
        <f>SUM(GC[[#This Row],[IS1Inv1M1]:[IS4Inv10M2]])</f>
        <v>27</v>
      </c>
      <c r="AN188" s="119"/>
      <c r="AO188" s="121"/>
    </row>
    <row r="189" spans="1:41">
      <c r="A189" s="119">
        <v>187</v>
      </c>
      <c r="B189" s="113">
        <f t="shared" si="2"/>
        <v>45660</v>
      </c>
      <c r="C189" s="114">
        <f>YEAR(GC[[#This Row],[Date]])+IF(MONTH(GC[[#This Row],[Date]])&gt;=4,1,0)</f>
        <v>2025</v>
      </c>
      <c r="D189" s="115">
        <f>YEAR(GC[[#This Row],[Date]])</f>
        <v>2025</v>
      </c>
      <c r="E189" s="112" t="s">
        <v>340</v>
      </c>
      <c r="F189" s="112" t="s">
        <v>340</v>
      </c>
      <c r="G189" s="116" t="str">
        <f>TEXT(GC[[#This Row],[Date]],"mmm-yy")</f>
        <v>Jan-25</v>
      </c>
      <c r="H189" s="116">
        <f>DAY(EOMONTH(GC[[#This Row],[Month Year]],0))</f>
        <v>31</v>
      </c>
      <c r="I189" s="119"/>
      <c r="J189" s="119"/>
      <c r="K189" s="119"/>
      <c r="L189" s="119"/>
      <c r="M189" s="119">
        <v>12.5</v>
      </c>
      <c r="N189" s="119"/>
      <c r="O189" s="119"/>
      <c r="P189" s="119"/>
      <c r="Q189" s="119">
        <v>16</v>
      </c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5">
        <f>SUM(GC[[#This Row],[IS1Inv1M1]:[IS4Inv10M2]])</f>
        <v>28.5</v>
      </c>
      <c r="AN189" s="119"/>
      <c r="AO189" s="121"/>
    </row>
    <row r="190" spans="1:41">
      <c r="A190" s="119">
        <v>188</v>
      </c>
      <c r="B190" s="113">
        <f t="shared" si="2"/>
        <v>45661</v>
      </c>
      <c r="C190" s="114">
        <f>YEAR(GC[[#This Row],[Date]])+IF(MONTH(GC[[#This Row],[Date]])&gt;=4,1,0)</f>
        <v>2025</v>
      </c>
      <c r="D190" s="115">
        <f>YEAR(GC[[#This Row],[Date]])</f>
        <v>2025</v>
      </c>
      <c r="E190" s="112" t="s">
        <v>340</v>
      </c>
      <c r="F190" s="112" t="s">
        <v>340</v>
      </c>
      <c r="G190" s="116" t="str">
        <f>TEXT(GC[[#This Row],[Date]],"mmm-yy")</f>
        <v>Jan-25</v>
      </c>
      <c r="H190" s="116">
        <f>DAY(EOMONTH(GC[[#This Row],[Month Year]],0))</f>
        <v>31</v>
      </c>
      <c r="I190" s="119"/>
      <c r="J190" s="119"/>
      <c r="K190" s="119"/>
      <c r="L190" s="119"/>
      <c r="M190" s="119">
        <v>6</v>
      </c>
      <c r="N190" s="119"/>
      <c r="O190" s="119"/>
      <c r="P190" s="119"/>
      <c r="Q190" s="119"/>
      <c r="R190" s="119"/>
      <c r="S190" s="119"/>
      <c r="T190" s="119"/>
      <c r="U190" s="119">
        <v>8</v>
      </c>
      <c r="V190" s="119">
        <v>7</v>
      </c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5">
        <f>SUM(GC[[#This Row],[IS1Inv1M1]:[IS4Inv10M2]])</f>
        <v>21</v>
      </c>
      <c r="AN190" s="119"/>
      <c r="AO190" s="121"/>
    </row>
    <row r="191" spans="1:41">
      <c r="A191" s="119">
        <v>189</v>
      </c>
      <c r="B191" s="113">
        <f t="shared" si="2"/>
        <v>45662</v>
      </c>
      <c r="C191" s="114">
        <f>YEAR(GC[[#This Row],[Date]])+IF(MONTH(GC[[#This Row],[Date]])&gt;=4,1,0)</f>
        <v>2025</v>
      </c>
      <c r="D191" s="115">
        <f>YEAR(GC[[#This Row],[Date]])</f>
        <v>2025</v>
      </c>
      <c r="E191" s="112" t="s">
        <v>340</v>
      </c>
      <c r="F191" s="112" t="s">
        <v>340</v>
      </c>
      <c r="G191" s="116" t="str">
        <f>TEXT(GC[[#This Row],[Date]],"mmm-yy")</f>
        <v>Jan-25</v>
      </c>
      <c r="H191" s="116">
        <f>DAY(EOMONTH(GC[[#This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>
        <v>22</v>
      </c>
      <c r="V191" s="119">
        <v>13</v>
      </c>
      <c r="W191" s="119"/>
      <c r="X191" s="119">
        <v>11</v>
      </c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5">
        <f>SUM(GC[[#This Row],[IS1Inv1M1]:[IS4Inv10M2]])</f>
        <v>46</v>
      </c>
      <c r="AN191" s="119"/>
      <c r="AO191" s="121"/>
    </row>
    <row r="192" spans="1:41">
      <c r="A192" s="119">
        <v>190</v>
      </c>
      <c r="B192" s="113">
        <f t="shared" si="2"/>
        <v>45663</v>
      </c>
      <c r="C192" s="114">
        <f>YEAR(GC[[#This Row],[Date]])+IF(MONTH(GC[[#This Row],[Date]])&gt;=4,1,0)</f>
        <v>2025</v>
      </c>
      <c r="D192" s="115">
        <f>YEAR(GC[[#This Row],[Date]])</f>
        <v>2025</v>
      </c>
      <c r="E192" s="112" t="s">
        <v>340</v>
      </c>
      <c r="F192" s="112" t="s">
        <v>340</v>
      </c>
      <c r="G192" s="116" t="str">
        <f>TEXT(GC[[#This Row],[Date]],"mmm-yy")</f>
        <v>Jan-25</v>
      </c>
      <c r="H192" s="116">
        <f>DAY(EOMONTH(GC[[#This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>
        <v>32.5</v>
      </c>
      <c r="U192" s="119">
        <v>18</v>
      </c>
      <c r="V192" s="119"/>
      <c r="W192" s="119"/>
      <c r="X192" s="119">
        <v>8</v>
      </c>
      <c r="Y192" s="119">
        <v>8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5">
        <f>SUM(GC[[#This Row],[IS1Inv1M1]:[IS4Inv10M2]])</f>
        <v>66.5</v>
      </c>
      <c r="AN192" s="119"/>
      <c r="AO192" s="121"/>
    </row>
    <row r="193" spans="1:41">
      <c r="A193" s="119">
        <v>191</v>
      </c>
      <c r="B193" s="113">
        <f t="shared" si="2"/>
        <v>45664</v>
      </c>
      <c r="C193" s="114">
        <f>YEAR(GC[[#This Row],[Date]])+IF(MONTH(GC[[#This Row],[Date]])&gt;=4,1,0)</f>
        <v>2025</v>
      </c>
      <c r="D193" s="115">
        <f>YEAR(GC[[#This Row],[Date]])</f>
        <v>2025</v>
      </c>
      <c r="E193" s="112" t="s">
        <v>340</v>
      </c>
      <c r="F193" s="112" t="s">
        <v>340</v>
      </c>
      <c r="G193" s="116" t="str">
        <f>TEXT(GC[[#This Row],[Date]],"mmm-yy")</f>
        <v>Jan-25</v>
      </c>
      <c r="H193" s="116">
        <f>DAY(EOMONTH(GC[[#This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>
        <v>37</v>
      </c>
      <c r="T193" s="119">
        <v>24</v>
      </c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5">
        <f>SUM(GC[[#This Row],[IS1Inv1M1]:[IS4Inv10M2]])</f>
        <v>61</v>
      </c>
      <c r="AN193" s="119"/>
      <c r="AO193" s="121"/>
    </row>
    <row r="194" spans="1:41">
      <c r="A194" s="119">
        <v>192</v>
      </c>
      <c r="B194" s="113">
        <f t="shared" si="2"/>
        <v>45665</v>
      </c>
      <c r="C194" s="114">
        <f>YEAR(GC[[#This Row],[Date]])+IF(MONTH(GC[[#This Row],[Date]])&gt;=4,1,0)</f>
        <v>2025</v>
      </c>
      <c r="D194" s="115">
        <f>YEAR(GC[[#This Row],[Date]])</f>
        <v>2025</v>
      </c>
      <c r="E194" s="112" t="s">
        <v>340</v>
      </c>
      <c r="F194" s="112" t="s">
        <v>340</v>
      </c>
      <c r="G194" s="116" t="str">
        <f>TEXT(GC[[#This Row],[Date]],"mmm-yy")</f>
        <v>Jan-25</v>
      </c>
      <c r="H194" s="116">
        <f>DAY(EOMONTH(GC[[#This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>
        <v>15</v>
      </c>
      <c r="T194" s="119"/>
      <c r="U194" s="119"/>
      <c r="V194" s="119"/>
      <c r="W194" s="119"/>
      <c r="X194" s="119"/>
      <c r="Y194" s="119"/>
      <c r="Z194" s="119">
        <v>33</v>
      </c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5">
        <f>SUM(GC[[#This Row],[IS1Inv1M1]:[IS4Inv10M2]])</f>
        <v>48</v>
      </c>
      <c r="AN194" s="119"/>
      <c r="AO194" s="121"/>
    </row>
    <row r="195" spans="1:41">
      <c r="A195" s="119">
        <v>193</v>
      </c>
      <c r="B195" s="113">
        <f t="shared" si="2"/>
        <v>45666</v>
      </c>
      <c r="C195" s="114">
        <f>YEAR(GC[[#This Row],[Date]])+IF(MONTH(GC[[#This Row],[Date]])&gt;=4,1,0)</f>
        <v>2025</v>
      </c>
      <c r="D195" s="115">
        <f>YEAR(GC[[#This Row],[Date]])</f>
        <v>2025</v>
      </c>
      <c r="E195" s="112" t="s">
        <v>340</v>
      </c>
      <c r="F195" s="112" t="s">
        <v>340</v>
      </c>
      <c r="G195" s="116" t="str">
        <f>TEXT(GC[[#This Row],[Date]],"mmm-yy")</f>
        <v>Jan-25</v>
      </c>
      <c r="H195" s="116">
        <f>DAY(EOMONTH(GC[[#This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>
        <v>16</v>
      </c>
      <c r="W195" s="119">
        <v>31</v>
      </c>
      <c r="X195" s="119"/>
      <c r="Y195" s="119"/>
      <c r="Z195" s="119">
        <v>21</v>
      </c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5">
        <f>SUM(GC[[#This Row],[IS1Inv1M1]:[IS4Inv10M2]])</f>
        <v>68</v>
      </c>
      <c r="AN195" s="119"/>
      <c r="AO195" s="121"/>
    </row>
    <row r="196" spans="1:41">
      <c r="A196" s="119">
        <v>194</v>
      </c>
      <c r="B196" s="113">
        <f t="shared" si="2"/>
        <v>45667</v>
      </c>
      <c r="C196" s="114">
        <f>YEAR(GC[[#This Row],[Date]])+IF(MONTH(GC[[#This Row],[Date]])&gt;=4,1,0)</f>
        <v>2025</v>
      </c>
      <c r="D196" s="115">
        <f>YEAR(GC[[#This Row],[Date]])</f>
        <v>2025</v>
      </c>
      <c r="E196" s="112" t="s">
        <v>340</v>
      </c>
      <c r="F196" s="112" t="s">
        <v>340</v>
      </c>
      <c r="G196" s="116" t="str">
        <f>TEXT(GC[[#This Row],[Date]],"mmm-yy")</f>
        <v>Jan-25</v>
      </c>
      <c r="H196" s="116">
        <f>DAY(EOMONTH(GC[[#This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>
        <v>8</v>
      </c>
      <c r="X196" s="119">
        <v>25</v>
      </c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5">
        <f>SUM(GC[[#This Row],[IS1Inv1M1]:[IS4Inv10M2]])</f>
        <v>33</v>
      </c>
      <c r="AN196" s="119"/>
      <c r="AO196" s="121"/>
    </row>
    <row r="197" spans="1:41">
      <c r="A197" s="119">
        <v>195</v>
      </c>
      <c r="B197" s="113">
        <f t="shared" ref="B197:B218" si="3">B196+1</f>
        <v>45668</v>
      </c>
      <c r="C197" s="114">
        <f>YEAR(GC[[#This Row],[Date]])+IF(MONTH(GC[[#This Row],[Date]])&gt;=4,1,0)</f>
        <v>2025</v>
      </c>
      <c r="D197" s="115">
        <f>YEAR(GC[[#This Row],[Date]])</f>
        <v>2025</v>
      </c>
      <c r="E197" s="112" t="s">
        <v>340</v>
      </c>
      <c r="F197" s="112" t="s">
        <v>340</v>
      </c>
      <c r="G197" s="116" t="str">
        <f>TEXT(GC[[#This Row],[Date]],"mmm-yy")</f>
        <v>Jan-25</v>
      </c>
      <c r="H197" s="116">
        <f>DAY(EOMONTH(GC[[#This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>
        <v>43.5</v>
      </c>
      <c r="Z197" s="119">
        <v>7</v>
      </c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5">
        <f>SUM(GC[[#This Row],[IS1Inv1M1]:[IS4Inv10M2]])</f>
        <v>50.5</v>
      </c>
      <c r="AN197" s="119"/>
      <c r="AO197" s="121"/>
    </row>
    <row r="198" spans="1:41">
      <c r="A198" s="119">
        <v>196</v>
      </c>
      <c r="B198" s="113">
        <f t="shared" si="3"/>
        <v>45669</v>
      </c>
      <c r="C198" s="114">
        <f>YEAR(GC[[#This Row],[Date]])+IF(MONTH(GC[[#This Row],[Date]])&gt;=4,1,0)</f>
        <v>2025</v>
      </c>
      <c r="D198" s="115">
        <f>YEAR(GC[[#This Row],[Date]])</f>
        <v>2025</v>
      </c>
      <c r="E198" s="112" t="s">
        <v>340</v>
      </c>
      <c r="F198" s="112" t="s">
        <v>340</v>
      </c>
      <c r="G198" s="116" t="str">
        <f>TEXT(GC[[#This Row],[Date]],"mmm-yy")</f>
        <v>Jan-25</v>
      </c>
      <c r="H198" s="116">
        <f>DAY(EOMONTH(GC[[#This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>
        <v>9</v>
      </c>
      <c r="AB198" s="119">
        <v>40</v>
      </c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5">
        <f>SUM(GC[[#This Row],[IS1Inv1M1]:[IS4Inv10M2]])</f>
        <v>49</v>
      </c>
      <c r="AN198" s="119"/>
      <c r="AO198" s="121"/>
    </row>
    <row r="199" spans="1:41">
      <c r="A199" s="119">
        <v>197</v>
      </c>
      <c r="B199" s="113">
        <f t="shared" si="3"/>
        <v>45670</v>
      </c>
      <c r="C199" s="114">
        <f>YEAR(GC[[#This Row],[Date]])+IF(MONTH(GC[[#This Row],[Date]])&gt;=4,1,0)</f>
        <v>2025</v>
      </c>
      <c r="D199" s="115">
        <f>YEAR(GC[[#This Row],[Date]])</f>
        <v>2025</v>
      </c>
      <c r="E199" s="112" t="s">
        <v>340</v>
      </c>
      <c r="F199" s="112" t="s">
        <v>340</v>
      </c>
      <c r="G199" s="116" t="str">
        <f>TEXT(GC[[#This Row],[Date]],"mmm-yy")</f>
        <v>Jan-25</v>
      </c>
      <c r="H199" s="116">
        <f>DAY(EOMONTH(GC[[#This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>
        <v>21</v>
      </c>
      <c r="AB199" s="119"/>
      <c r="AC199" s="119">
        <v>33</v>
      </c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5">
        <f>SUM(GC[[#This Row],[IS1Inv1M1]:[IS4Inv10M2]])</f>
        <v>54</v>
      </c>
      <c r="AN199" s="119"/>
      <c r="AO199" s="121"/>
    </row>
    <row r="200" spans="1:41">
      <c r="A200" s="119">
        <v>198</v>
      </c>
      <c r="B200" s="113">
        <f t="shared" si="3"/>
        <v>45671</v>
      </c>
      <c r="C200" s="114">
        <f>YEAR(GC[[#This Row],[Date]])+IF(MONTH(GC[[#This Row],[Date]])&gt;=4,1,0)</f>
        <v>2025</v>
      </c>
      <c r="D200" s="115">
        <f>YEAR(GC[[#This Row],[Date]])</f>
        <v>2025</v>
      </c>
      <c r="E200" s="112" t="s">
        <v>340</v>
      </c>
      <c r="F200" s="112" t="s">
        <v>340</v>
      </c>
      <c r="G200" s="116" t="str">
        <f>TEXT(GC[[#This Row],[Date]],"mmm-yy")</f>
        <v>Jan-25</v>
      </c>
      <c r="H200" s="116">
        <f>DAY(EOMONTH(GC[[#This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>
        <v>38</v>
      </c>
      <c r="AD200" s="119">
        <v>16</v>
      </c>
      <c r="AE200" s="119"/>
      <c r="AF200" s="119"/>
      <c r="AG200" s="119"/>
      <c r="AH200" s="119"/>
      <c r="AI200" s="119"/>
      <c r="AJ200" s="119"/>
      <c r="AK200" s="119"/>
      <c r="AL200" s="119"/>
      <c r="AM200" s="5">
        <f>SUM(GC[[#This Row],[IS1Inv1M1]:[IS4Inv10M2]])</f>
        <v>54</v>
      </c>
      <c r="AN200" s="119"/>
      <c r="AO200" s="121"/>
    </row>
    <row r="201" spans="1:41">
      <c r="A201" s="119">
        <v>199</v>
      </c>
      <c r="B201" s="113">
        <f t="shared" si="3"/>
        <v>45672</v>
      </c>
      <c r="C201" s="114">
        <f>YEAR(GC[[#This Row],[Date]])+IF(MONTH(GC[[#This Row],[Date]])&gt;=4,1,0)</f>
        <v>2025</v>
      </c>
      <c r="D201" s="115">
        <f>YEAR(GC[[#This Row],[Date]])</f>
        <v>2025</v>
      </c>
      <c r="E201" s="112" t="s">
        <v>340</v>
      </c>
      <c r="F201" s="112" t="s">
        <v>340</v>
      </c>
      <c r="G201" s="116" t="str">
        <f>TEXT(GC[[#This Row],[Date]],"mmm-yy")</f>
        <v>Jan-25</v>
      </c>
      <c r="H201" s="116">
        <f>DAY(EOMONTH(GC[[#This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5">
        <f>SUM(GC[[#This Row],[IS1Inv1M1]:[IS4Inv10M2]])</f>
        <v>0</v>
      </c>
      <c r="AN201" s="119"/>
      <c r="AO201" s="121"/>
    </row>
    <row r="202" spans="1:41">
      <c r="A202" s="119">
        <v>200</v>
      </c>
      <c r="B202" s="113">
        <f t="shared" si="3"/>
        <v>45673</v>
      </c>
      <c r="C202" s="114">
        <f>YEAR(GC[[#This Row],[Date]])+IF(MONTH(GC[[#This Row],[Date]])&gt;=4,1,0)</f>
        <v>2025</v>
      </c>
      <c r="D202" s="115">
        <f>YEAR(GC[[#This Row],[Date]])</f>
        <v>2025</v>
      </c>
      <c r="E202" s="112" t="s">
        <v>340</v>
      </c>
      <c r="F202" s="112" t="s">
        <v>340</v>
      </c>
      <c r="G202" s="116" t="str">
        <f>TEXT(GC[[#This Row],[Date]],"mmm-yy")</f>
        <v>Jan-25</v>
      </c>
      <c r="H202" s="116">
        <f>DAY(EOMONTH(GC[[#This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>
        <v>7</v>
      </c>
      <c r="AD202" s="119">
        <v>11</v>
      </c>
      <c r="AE202" s="119"/>
      <c r="AF202" s="119"/>
      <c r="AG202" s="119"/>
      <c r="AH202" s="119"/>
      <c r="AI202" s="119"/>
      <c r="AJ202" s="119"/>
      <c r="AK202" s="119"/>
      <c r="AL202" s="119"/>
      <c r="AM202" s="5">
        <f>SUM(GC[[#This Row],[IS1Inv1M1]:[IS4Inv10M2]])</f>
        <v>18</v>
      </c>
      <c r="AN202" s="119"/>
      <c r="AO202" s="121"/>
    </row>
    <row r="203" spans="1:41">
      <c r="A203" s="119">
        <v>201</v>
      </c>
      <c r="B203" s="113">
        <f t="shared" si="3"/>
        <v>45674</v>
      </c>
      <c r="C203" s="114">
        <f>YEAR(GC[[#This Row],[Date]])+IF(MONTH(GC[[#This Row],[Date]])&gt;=4,1,0)</f>
        <v>2025</v>
      </c>
      <c r="D203" s="115">
        <f>YEAR(GC[[#This Row],[Date]])</f>
        <v>2025</v>
      </c>
      <c r="E203" s="112" t="s">
        <v>340</v>
      </c>
      <c r="F203" s="112" t="s">
        <v>340</v>
      </c>
      <c r="G203" s="116" t="str">
        <f>TEXT(GC[[#This Row],[Date]],"mmm-yy")</f>
        <v>Jan-25</v>
      </c>
      <c r="H203" s="116">
        <f>DAY(EOMONTH(GC[[#This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5">
        <f>SUM(GC[[#This Row],[IS1Inv1M1]:[IS4Inv10M2]])</f>
        <v>0</v>
      </c>
      <c r="AN203" s="119"/>
      <c r="AO203" s="121"/>
    </row>
    <row r="204" spans="1:41">
      <c r="A204" s="119">
        <v>202</v>
      </c>
      <c r="B204" s="113">
        <f t="shared" si="3"/>
        <v>45675</v>
      </c>
      <c r="C204" s="114">
        <f>YEAR(GC[[#This Row],[Date]])+IF(MONTH(GC[[#This Row],[Date]])&gt;=4,1,0)</f>
        <v>2025</v>
      </c>
      <c r="D204" s="115">
        <f>YEAR(GC[[#This Row],[Date]])</f>
        <v>2025</v>
      </c>
      <c r="E204" s="112" t="s">
        <v>340</v>
      </c>
      <c r="F204" s="112" t="s">
        <v>340</v>
      </c>
      <c r="G204" s="116" t="str">
        <f>TEXT(GC[[#This Row],[Date]],"mmm-yy")</f>
        <v>Jan-25</v>
      </c>
      <c r="H204" s="116">
        <f>DAY(EOMONTH(GC[[#This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>
        <v>2</v>
      </c>
      <c r="AD204" s="119">
        <v>20</v>
      </c>
      <c r="AE204" s="119"/>
      <c r="AF204" s="119"/>
      <c r="AG204" s="119"/>
      <c r="AH204" s="119"/>
      <c r="AI204" s="119"/>
      <c r="AJ204" s="119"/>
      <c r="AK204" s="119"/>
      <c r="AL204" s="119"/>
      <c r="AM204" s="5">
        <f>SUM(GC[[#This Row],[IS1Inv1M1]:[IS4Inv10M2]])</f>
        <v>22</v>
      </c>
      <c r="AN204" s="119"/>
      <c r="AO204" s="121"/>
    </row>
    <row r="205" spans="1:41">
      <c r="A205" s="119">
        <v>203</v>
      </c>
      <c r="B205" s="113">
        <f t="shared" si="3"/>
        <v>45676</v>
      </c>
      <c r="C205" s="114">
        <f>YEAR(GC[[#This Row],[Date]])+IF(MONTH(GC[[#This Row],[Date]])&gt;=4,1,0)</f>
        <v>2025</v>
      </c>
      <c r="D205" s="115">
        <f>YEAR(GC[[#This Row],[Date]])</f>
        <v>2025</v>
      </c>
      <c r="E205" s="112" t="s">
        <v>340</v>
      </c>
      <c r="F205" s="112" t="s">
        <v>340</v>
      </c>
      <c r="G205" s="116" t="str">
        <f>TEXT(GC[[#This Row],[Date]],"mmm-yy")</f>
        <v>Jan-25</v>
      </c>
      <c r="H205" s="116">
        <f>DAY(EOMONTH(GC[[#This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>
        <v>21</v>
      </c>
      <c r="AK205" s="119"/>
      <c r="AL205" s="119"/>
      <c r="AM205" s="5">
        <f>SUM(GC[[#This Row],[IS1Inv1M1]:[IS4Inv10M2]])</f>
        <v>21</v>
      </c>
      <c r="AN205" s="119"/>
      <c r="AO205" s="121"/>
    </row>
    <row r="206" spans="1:41">
      <c r="A206" s="119">
        <v>204</v>
      </c>
      <c r="B206" s="113">
        <f t="shared" si="3"/>
        <v>45677</v>
      </c>
      <c r="C206" s="114">
        <f>YEAR(GC[[#This Row],[Date]])+IF(MONTH(GC[[#This Row],[Date]])&gt;=4,1,0)</f>
        <v>2025</v>
      </c>
      <c r="D206" s="115">
        <f>YEAR(GC[[#This Row],[Date]])</f>
        <v>2025</v>
      </c>
      <c r="E206" s="112" t="s">
        <v>340</v>
      </c>
      <c r="F206" s="112" t="s">
        <v>340</v>
      </c>
      <c r="G206" s="116" t="str">
        <f>TEXT(GC[[#This Row],[Date]],"mmm-yy")</f>
        <v>Jan-25</v>
      </c>
      <c r="H206" s="116">
        <f>DAY(EOMONTH(GC[[#This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5">
        <f>SUM(GC[[#This Row],[IS1Inv1M1]:[IS4Inv10M2]])</f>
        <v>0</v>
      </c>
      <c r="AN206" s="119"/>
      <c r="AO206" s="121"/>
    </row>
    <row r="207" spans="1:41">
      <c r="A207" s="119">
        <v>205</v>
      </c>
      <c r="B207" s="113">
        <f t="shared" si="3"/>
        <v>45678</v>
      </c>
      <c r="C207" s="114">
        <f>YEAR(GC[[#This Row],[Date]])+IF(MONTH(GC[[#This Row],[Date]])&gt;=4,1,0)</f>
        <v>2025</v>
      </c>
      <c r="D207" s="115">
        <f>YEAR(GC[[#This Row],[Date]])</f>
        <v>2025</v>
      </c>
      <c r="E207" s="112" t="s">
        <v>340</v>
      </c>
      <c r="F207" s="112" t="s">
        <v>340</v>
      </c>
      <c r="G207" s="116" t="str">
        <f>TEXT(GC[[#This Row],[Date]],"mmm-yy")</f>
        <v>Jan-25</v>
      </c>
      <c r="H207" s="116">
        <f>DAY(EOMONTH(GC[[#This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>
        <v>36</v>
      </c>
      <c r="AK207" s="119"/>
      <c r="AL207" s="119"/>
      <c r="AM207" s="5">
        <f>SUM(GC[[#This Row],[IS1Inv1M1]:[IS4Inv10M2]])</f>
        <v>36</v>
      </c>
      <c r="AN207" s="119"/>
      <c r="AO207" s="121"/>
    </row>
    <row r="208" spans="1:41">
      <c r="A208" s="119">
        <v>206</v>
      </c>
      <c r="B208" s="113">
        <f t="shared" si="3"/>
        <v>45679</v>
      </c>
      <c r="C208" s="114">
        <f>YEAR(GC[[#This Row],[Date]])+IF(MONTH(GC[[#This Row],[Date]])&gt;=4,1,0)</f>
        <v>2025</v>
      </c>
      <c r="D208" s="115">
        <f>YEAR(GC[[#This Row],[Date]])</f>
        <v>2025</v>
      </c>
      <c r="E208" s="112" t="s">
        <v>340</v>
      </c>
      <c r="F208" s="112" t="s">
        <v>340</v>
      </c>
      <c r="G208" s="116" t="str">
        <f>TEXT(GC[[#This Row],[Date]],"mmm-yy")</f>
        <v>Jan-25</v>
      </c>
      <c r="H208" s="116">
        <f>DAY(EOMONTH(GC[[#This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>
        <v>37</v>
      </c>
      <c r="AF208" s="119"/>
      <c r="AG208" s="119"/>
      <c r="AH208" s="119"/>
      <c r="AI208" s="119">
        <v>11</v>
      </c>
      <c r="AJ208" s="119">
        <v>12</v>
      </c>
      <c r="AK208" s="119"/>
      <c r="AL208" s="119"/>
      <c r="AM208" s="5">
        <f>SUM(GC[[#This Row],[IS1Inv1M1]:[IS4Inv10M2]])</f>
        <v>60</v>
      </c>
      <c r="AN208" s="119"/>
      <c r="AO208" s="121"/>
    </row>
    <row r="209" spans="1:41">
      <c r="A209" s="119">
        <v>207</v>
      </c>
      <c r="B209" s="113">
        <f t="shared" si="3"/>
        <v>45680</v>
      </c>
      <c r="C209" s="114">
        <f>YEAR(GC[[#This Row],[Date]])+IF(MONTH(GC[[#This Row],[Date]])&gt;=4,1,0)</f>
        <v>2025</v>
      </c>
      <c r="D209" s="115">
        <f>YEAR(GC[[#This Row],[Date]])</f>
        <v>2025</v>
      </c>
      <c r="E209" s="112" t="s">
        <v>340</v>
      </c>
      <c r="F209" s="112" t="s">
        <v>340</v>
      </c>
      <c r="G209" s="116" t="str">
        <f>TEXT(GC[[#This Row],[Date]],"mmm-yy")</f>
        <v>Jan-25</v>
      </c>
      <c r="H209" s="116">
        <f>DAY(EOMONTH(GC[[#This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>
        <v>12</v>
      </c>
      <c r="AF209" s="119"/>
      <c r="AG209" s="119"/>
      <c r="AH209" s="119"/>
      <c r="AI209" s="119">
        <v>12</v>
      </c>
      <c r="AJ209" s="119"/>
      <c r="AK209" s="119"/>
      <c r="AL209" s="119"/>
      <c r="AM209" s="5">
        <f>SUM(GC[[#This Row],[IS1Inv1M1]:[IS4Inv10M2]])</f>
        <v>24</v>
      </c>
      <c r="AN209" s="119"/>
      <c r="AO209" s="121"/>
    </row>
    <row r="210" spans="1:41">
      <c r="A210" s="119">
        <v>208</v>
      </c>
      <c r="B210" s="113">
        <f t="shared" si="3"/>
        <v>45681</v>
      </c>
      <c r="C210" s="114">
        <f>YEAR(GC[[#This Row],[Date]])+IF(MONTH(GC[[#This Row],[Date]])&gt;=4,1,0)</f>
        <v>2025</v>
      </c>
      <c r="D210" s="115">
        <f>YEAR(GC[[#This Row],[Date]])</f>
        <v>2025</v>
      </c>
      <c r="E210" s="112" t="s">
        <v>340</v>
      </c>
      <c r="F210" s="112" t="s">
        <v>340</v>
      </c>
      <c r="G210" s="116" t="str">
        <f>TEXT(GC[[#This Row],[Date]],"mmm-yy")</f>
        <v>Jan-25</v>
      </c>
      <c r="H210" s="116">
        <f>DAY(EOMONTH(GC[[#This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>
        <v>12</v>
      </c>
      <c r="AF210" s="119"/>
      <c r="AG210" s="119"/>
      <c r="AH210" s="119"/>
      <c r="AI210" s="119">
        <v>13</v>
      </c>
      <c r="AJ210" s="119"/>
      <c r="AK210" s="119"/>
      <c r="AL210" s="119"/>
      <c r="AM210" s="5">
        <f>SUM(GC[[#This Row],[IS1Inv1M1]:[IS4Inv10M2]])</f>
        <v>25</v>
      </c>
      <c r="AN210" s="119"/>
      <c r="AO210" s="121"/>
    </row>
    <row r="211" spans="1:41">
      <c r="A211" s="119">
        <v>209</v>
      </c>
      <c r="B211" s="113">
        <f t="shared" si="3"/>
        <v>45682</v>
      </c>
      <c r="C211" s="114">
        <f>YEAR(GC[[#This Row],[Date]])+IF(MONTH(GC[[#This Row],[Date]])&gt;=4,1,0)</f>
        <v>2025</v>
      </c>
      <c r="D211" s="115">
        <f>YEAR(GC[[#This Row],[Date]])</f>
        <v>2025</v>
      </c>
      <c r="E211" s="112" t="s">
        <v>340</v>
      </c>
      <c r="F211" s="112" t="s">
        <v>340</v>
      </c>
      <c r="G211" s="116" t="str">
        <f>TEXT(GC[[#This Row],[Date]],"mmm-yy")</f>
        <v>Jan-25</v>
      </c>
      <c r="H211" s="116">
        <f>DAY(EOMONTH(GC[[#This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>
        <v>8</v>
      </c>
      <c r="AF211" s="119">
        <v>4</v>
      </c>
      <c r="AG211" s="119"/>
      <c r="AH211" s="119"/>
      <c r="AI211" s="119">
        <v>9</v>
      </c>
      <c r="AJ211" s="119"/>
      <c r="AK211" s="119"/>
      <c r="AL211" s="119"/>
      <c r="AM211" s="5">
        <f>SUM(GC[[#This Row],[IS1Inv1M1]:[IS4Inv10M2]])</f>
        <v>21</v>
      </c>
      <c r="AN211" s="119"/>
      <c r="AO211" s="121"/>
    </row>
    <row r="212" spans="1:41">
      <c r="A212" s="119">
        <v>210</v>
      </c>
      <c r="B212" s="113">
        <f t="shared" si="3"/>
        <v>45683</v>
      </c>
      <c r="C212" s="114">
        <f>YEAR(GC[[#This Row],[Date]])+IF(MONTH(GC[[#This Row],[Date]])&gt;=4,1,0)</f>
        <v>2025</v>
      </c>
      <c r="D212" s="115">
        <f>YEAR(GC[[#This Row],[Date]])</f>
        <v>2025</v>
      </c>
      <c r="E212" s="112" t="s">
        <v>340</v>
      </c>
      <c r="F212" s="112" t="s">
        <v>340</v>
      </c>
      <c r="G212" s="116" t="str">
        <f>TEXT(GC[[#This Row],[Date]],"mmm-yy")</f>
        <v>Jan-25</v>
      </c>
      <c r="H212" s="116">
        <f>DAY(EOMONTH(GC[[#This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5">
        <f>SUM(GC[[#This Row],[IS1Inv1M1]:[IS4Inv10M2]])</f>
        <v>0</v>
      </c>
      <c r="AN212" s="119"/>
      <c r="AO212" s="121"/>
    </row>
    <row r="213" spans="1:41">
      <c r="A213" s="119">
        <v>211</v>
      </c>
      <c r="B213" s="113">
        <f t="shared" si="3"/>
        <v>45684</v>
      </c>
      <c r="C213" s="114">
        <f>YEAR(GC[[#This Row],[Date]])+IF(MONTH(GC[[#This Row],[Date]])&gt;=4,1,0)</f>
        <v>2025</v>
      </c>
      <c r="D213" s="115">
        <f>YEAR(GC[[#This Row],[Date]])</f>
        <v>2025</v>
      </c>
      <c r="E213" s="112" t="s">
        <v>340</v>
      </c>
      <c r="F213" s="112" t="s">
        <v>340</v>
      </c>
      <c r="G213" s="116" t="str">
        <f>TEXT(GC[[#This Row],[Date]],"mmm-yy")</f>
        <v>Jan-25</v>
      </c>
      <c r="H213" s="116">
        <f>DAY(EOMONTH(GC[[#This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>
        <v>10</v>
      </c>
      <c r="AB213" s="119">
        <v>26</v>
      </c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5">
        <f>SUM(GC[[#This Row],[IS1Inv1M1]:[IS4Inv10M2]])</f>
        <v>36</v>
      </c>
      <c r="AN213" s="119"/>
      <c r="AO213" s="121"/>
    </row>
    <row r="214" spans="1:41">
      <c r="A214" s="119">
        <v>212</v>
      </c>
      <c r="B214" s="113">
        <f t="shared" si="3"/>
        <v>45685</v>
      </c>
      <c r="C214" s="114">
        <f>YEAR(GC[[#This Row],[Date]])+IF(MONTH(GC[[#This Row],[Date]])&gt;=4,1,0)</f>
        <v>2025</v>
      </c>
      <c r="D214" s="115">
        <f>YEAR(GC[[#This Row],[Date]])</f>
        <v>2025</v>
      </c>
      <c r="E214" s="112" t="s">
        <v>340</v>
      </c>
      <c r="F214" s="112" t="s">
        <v>340</v>
      </c>
      <c r="G214" s="116" t="str">
        <f>TEXT(GC[[#This Row],[Date]],"mmm-yy")</f>
        <v>Jan-25</v>
      </c>
      <c r="H214" s="116">
        <f>DAY(EOMONTH(GC[[#This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>
        <v>22</v>
      </c>
      <c r="AB214" s="119">
        <v>14</v>
      </c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5">
        <f>SUM(GC[[#This Row],[IS1Inv1M1]:[IS4Inv10M2]])</f>
        <v>36</v>
      </c>
      <c r="AN214" s="119"/>
      <c r="AO214" s="121"/>
    </row>
    <row r="215" spans="1:41">
      <c r="A215" s="119">
        <v>213</v>
      </c>
      <c r="B215" s="113">
        <f t="shared" si="3"/>
        <v>45686</v>
      </c>
      <c r="C215" s="114">
        <f>YEAR(GC[[#This Row],[Date]])+IF(MONTH(GC[[#This Row],[Date]])&gt;=4,1,0)</f>
        <v>2025</v>
      </c>
      <c r="D215" s="115">
        <f>YEAR(GC[[#This Row],[Date]])</f>
        <v>2025</v>
      </c>
      <c r="E215" s="112" t="s">
        <v>340</v>
      </c>
      <c r="F215" s="112" t="s">
        <v>340</v>
      </c>
      <c r="G215" s="116" t="str">
        <f>TEXT(GC[[#This Row],[Date]],"mmm-yy")</f>
        <v>Jan-25</v>
      </c>
      <c r="H215" s="116">
        <f>DAY(EOMONTH(GC[[#This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>
        <v>19</v>
      </c>
      <c r="AJ215" s="119"/>
      <c r="AK215" s="119"/>
      <c r="AL215" s="119"/>
      <c r="AM215" s="5">
        <f>SUM(GC[[#This Row],[IS1Inv1M1]:[IS4Inv10M2]])</f>
        <v>19</v>
      </c>
      <c r="AN215" s="119"/>
      <c r="AO215" s="121"/>
    </row>
    <row r="216" spans="1:41">
      <c r="A216" s="119">
        <v>214</v>
      </c>
      <c r="B216" s="113">
        <f t="shared" si="3"/>
        <v>45687</v>
      </c>
      <c r="C216" s="114">
        <f>YEAR(GC[[#This Row],[Date]])+IF(MONTH(GC[[#This Row],[Date]])&gt;=4,1,0)</f>
        <v>2025</v>
      </c>
      <c r="D216" s="115">
        <f>YEAR(GC[[#This Row],[Date]])</f>
        <v>2025</v>
      </c>
      <c r="E216" s="112" t="s">
        <v>340</v>
      </c>
      <c r="F216" s="112" t="s">
        <v>340</v>
      </c>
      <c r="G216" s="116" t="str">
        <f>TEXT(GC[[#This Row],[Date]],"mmm-yy")</f>
        <v>Jan-25</v>
      </c>
      <c r="H216" s="116">
        <f>DAY(EOMONTH(GC[[#This Row],[Month Year]],0))</f>
        <v>31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>
        <v>18</v>
      </c>
      <c r="AL216" s="119"/>
      <c r="AM216" s="5">
        <f>SUM(GC[[#This Row],[IS1Inv1M1]:[IS4Inv10M2]])</f>
        <v>18</v>
      </c>
      <c r="AN216" s="119"/>
      <c r="AO216" s="121"/>
    </row>
    <row r="217" spans="1:41">
      <c r="A217" s="119">
        <v>215</v>
      </c>
      <c r="B217" s="113">
        <f t="shared" si="3"/>
        <v>45688</v>
      </c>
      <c r="C217" s="114">
        <f>YEAR(GC[[#This Row],[Date]])+IF(MONTH(GC[[#This Row],[Date]])&gt;=4,1,0)</f>
        <v>2025</v>
      </c>
      <c r="D217" s="115">
        <f>YEAR(GC[[#This Row],[Date]])</f>
        <v>2025</v>
      </c>
      <c r="E217" s="112" t="s">
        <v>340</v>
      </c>
      <c r="F217" s="112" t="s">
        <v>340</v>
      </c>
      <c r="G217" s="116" t="str">
        <f>TEXT(GC[[#This Row],[Date]],"mmm-yy")</f>
        <v>Jan-25</v>
      </c>
      <c r="H217" s="116">
        <f>DAY(EOMONTH(GC[[#This Row],[Month Year]],0))</f>
        <v>31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>
        <v>21</v>
      </c>
      <c r="AH217" s="119"/>
      <c r="AI217" s="119"/>
      <c r="AJ217" s="119"/>
      <c r="AK217" s="119"/>
      <c r="AL217" s="119"/>
      <c r="AM217" s="5">
        <f>SUM(GC[[#This Row],[IS1Inv1M1]:[IS4Inv10M2]])</f>
        <v>21</v>
      </c>
      <c r="AN217" s="119"/>
      <c r="AO217" s="121"/>
    </row>
    <row r="218" spans="1:41">
      <c r="A218" s="119">
        <v>216</v>
      </c>
      <c r="B218" s="113">
        <f t="shared" si="3"/>
        <v>45689</v>
      </c>
      <c r="C218" s="114">
        <f>YEAR(GC[[#This Row],[Date]])+IF(MONTH(GC[[#This Row],[Date]])&gt;=4,1,0)</f>
        <v>2025</v>
      </c>
      <c r="D218" s="115">
        <f>YEAR(GC[[#This Row],[Date]])</f>
        <v>2025</v>
      </c>
      <c r="E218" s="112" t="s">
        <v>340</v>
      </c>
      <c r="F218" s="112" t="s">
        <v>340</v>
      </c>
      <c r="G218" s="116" t="str">
        <f>TEXT(GC[[#This Row],[Date]],"mmm-yy")</f>
        <v>Feb-25</v>
      </c>
      <c r="H218" s="116">
        <f>DAY(EOMONTH(GC[[#This Row],[Month Year]],0))</f>
        <v>28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>
        <v>16</v>
      </c>
      <c r="AH218" s="119"/>
      <c r="AI218" s="119"/>
      <c r="AJ218" s="119"/>
      <c r="AK218" s="119"/>
      <c r="AL218" s="119">
        <v>20</v>
      </c>
      <c r="AM218" s="5">
        <f>SUM(GC[[#This Row],[IS1Inv1M1]:[IS4Inv10M2]])</f>
        <v>36</v>
      </c>
      <c r="AN218" s="119"/>
      <c r="AO218" s="121"/>
    </row>
    <row r="219" spans="1:41">
      <c r="A219" s="119">
        <v>217</v>
      </c>
      <c r="B219" s="113">
        <f t="shared" ref="B219:B227" si="4">B218+1</f>
        <v>45690</v>
      </c>
      <c r="C219" s="114">
        <f>YEAR(GC[[#This Row],[Date]])+IF(MONTH(GC[[#This Row],[Date]])&gt;=4,1,0)</f>
        <v>2025</v>
      </c>
      <c r="D219" s="115">
        <f>YEAR(GC[[#This Row],[Date]])</f>
        <v>2025</v>
      </c>
      <c r="E219" s="112" t="s">
        <v>340</v>
      </c>
      <c r="F219" s="112" t="s">
        <v>340</v>
      </c>
      <c r="G219" s="116" t="str">
        <f>TEXT(GC[[#This Row],[Date]],"mmm-yy")</f>
        <v>Feb-25</v>
      </c>
      <c r="H219" s="116">
        <f>DAY(EOMONTH(GC[[#This Row],[Month Year]],0))</f>
        <v>28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>
        <v>16</v>
      </c>
      <c r="AH219" s="119"/>
      <c r="AI219" s="119"/>
      <c r="AJ219" s="119"/>
      <c r="AK219" s="119">
        <v>14</v>
      </c>
      <c r="AL219" s="119">
        <v>4</v>
      </c>
      <c r="AM219" s="5">
        <f>SUM(GC[[#This Row],[IS1Inv1M1]:[IS4Inv10M2]])</f>
        <v>34</v>
      </c>
      <c r="AN219" s="119"/>
      <c r="AO219" s="121"/>
    </row>
    <row r="220" spans="1:41">
      <c r="A220" s="119">
        <v>218</v>
      </c>
      <c r="B220" s="113">
        <f t="shared" si="4"/>
        <v>45691</v>
      </c>
      <c r="C220" s="114">
        <f>YEAR(GC[[#This Row],[Date]])+IF(MONTH(GC[[#This Row],[Date]])&gt;=4,1,0)</f>
        <v>2025</v>
      </c>
      <c r="D220" s="115">
        <f>YEAR(GC[[#This Row],[Date]])</f>
        <v>2025</v>
      </c>
      <c r="E220" s="112" t="s">
        <v>340</v>
      </c>
      <c r="F220" s="112" t="s">
        <v>340</v>
      </c>
      <c r="G220" s="116" t="str">
        <f>TEXT(GC[[#This Row],[Date]],"mmm-yy")</f>
        <v>Feb-25</v>
      </c>
      <c r="H220" s="116">
        <f>DAY(EOMONTH(GC[[#This Row],[Month Year]],0))</f>
        <v>28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>
        <v>11</v>
      </c>
      <c r="AH220" s="119"/>
      <c r="AI220" s="119"/>
      <c r="AJ220" s="119"/>
      <c r="AK220" s="119">
        <v>6</v>
      </c>
      <c r="AL220" s="119">
        <v>17</v>
      </c>
      <c r="AM220" s="5">
        <f>SUM(GC[[#This Row],[IS1Inv1M1]:[IS4Inv10M2]])</f>
        <v>34</v>
      </c>
      <c r="AN220" s="119"/>
      <c r="AO220" s="121"/>
    </row>
    <row r="221" spans="1:41">
      <c r="A221" s="119">
        <v>219</v>
      </c>
      <c r="B221" s="113">
        <f t="shared" si="4"/>
        <v>45692</v>
      </c>
      <c r="C221" s="114">
        <f>YEAR(GC[[#This Row],[Date]])+IF(MONTH(GC[[#This Row],[Date]])&gt;=4,1,0)</f>
        <v>2025</v>
      </c>
      <c r="D221" s="115">
        <f>YEAR(GC[[#This Row],[Date]])</f>
        <v>2025</v>
      </c>
      <c r="E221" s="112" t="s">
        <v>340</v>
      </c>
      <c r="F221" s="112" t="s">
        <v>340</v>
      </c>
      <c r="G221" s="116" t="str">
        <f>TEXT(GC[[#This Row],[Date]],"mmm-yy")</f>
        <v>Feb-25</v>
      </c>
      <c r="H221" s="116">
        <f>DAY(EOMONTH(GC[[#This Row],[Month Year]],0))</f>
        <v>28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5">
        <f>SUM(GC[[#This Row],[IS1Inv1M1]:[IS4Inv10M2]])</f>
        <v>0</v>
      </c>
      <c r="AN221" s="119"/>
      <c r="AO221" s="121"/>
    </row>
    <row r="222" spans="1:41">
      <c r="A222" s="119">
        <v>220</v>
      </c>
      <c r="B222" s="113">
        <f t="shared" si="4"/>
        <v>45693</v>
      </c>
      <c r="C222" s="114">
        <f>YEAR(GC[[#This Row],[Date]])+IF(MONTH(GC[[#This Row],[Date]])&gt;=4,1,0)</f>
        <v>2025</v>
      </c>
      <c r="D222" s="115">
        <f>YEAR(GC[[#This Row],[Date]])</f>
        <v>2025</v>
      </c>
      <c r="E222" s="112" t="s">
        <v>340</v>
      </c>
      <c r="F222" s="112" t="s">
        <v>340</v>
      </c>
      <c r="G222" s="116" t="str">
        <f>TEXT(GC[[#This Row],[Date]],"mmm-yy")</f>
        <v>Feb-25</v>
      </c>
      <c r="H222" s="116">
        <f>DAY(EOMONTH(GC[[#This Row],[Month Year]],0))</f>
        <v>28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>
        <v>11</v>
      </c>
      <c r="AI222" s="119"/>
      <c r="AJ222" s="119"/>
      <c r="AK222" s="119"/>
      <c r="AL222" s="119">
        <v>24</v>
      </c>
      <c r="AM222" s="5">
        <f>SUM(GC[[#This Row],[IS1Inv1M1]:[IS4Inv10M2]])</f>
        <v>35</v>
      </c>
      <c r="AN222" s="119"/>
      <c r="AO222" s="121"/>
    </row>
    <row r="223" spans="1:41">
      <c r="A223" s="119">
        <v>221</v>
      </c>
      <c r="B223" s="113">
        <f t="shared" si="4"/>
        <v>45694</v>
      </c>
      <c r="C223" s="114">
        <f>YEAR(GC[[#This Row],[Date]])+IF(MONTH(GC[[#This Row],[Date]])&gt;=4,1,0)</f>
        <v>2025</v>
      </c>
      <c r="D223" s="115">
        <f>YEAR(GC[[#This Row],[Date]])</f>
        <v>2025</v>
      </c>
      <c r="E223" s="112" t="s">
        <v>340</v>
      </c>
      <c r="F223" s="112" t="s">
        <v>340</v>
      </c>
      <c r="G223" s="116" t="str">
        <f>TEXT(GC[[#This Row],[Date]],"mmm-yy")</f>
        <v>Feb-25</v>
      </c>
      <c r="H223" s="116">
        <f>DAY(EOMONTH(GC[[#This Row],[Month Year]],0))</f>
        <v>28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>
        <v>22</v>
      </c>
      <c r="AM223" s="5">
        <f>SUM(GC[[#This Row],[IS1Inv1M1]:[IS4Inv10M2]])</f>
        <v>22</v>
      </c>
      <c r="AN223" s="119"/>
      <c r="AO223" s="121"/>
    </row>
    <row r="224" spans="1:41">
      <c r="A224" s="119">
        <v>222</v>
      </c>
      <c r="B224" s="113">
        <f t="shared" si="4"/>
        <v>45695</v>
      </c>
      <c r="C224" s="114">
        <f>YEAR(GC[[#This Row],[Date]])+IF(MONTH(GC[[#This Row],[Date]])&gt;=4,1,0)</f>
        <v>2025</v>
      </c>
      <c r="D224" s="115">
        <f>YEAR(GC[[#This Row],[Date]])</f>
        <v>2025</v>
      </c>
      <c r="E224" s="112" t="s">
        <v>340</v>
      </c>
      <c r="F224" s="112" t="s">
        <v>340</v>
      </c>
      <c r="G224" s="116" t="str">
        <f>TEXT(GC[[#This Row],[Date]],"mmm-yy")</f>
        <v>Feb-25</v>
      </c>
      <c r="H224" s="116">
        <f>DAY(EOMONTH(GC[[#This Row],[Month Year]],0))</f>
        <v>28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>
        <v>27</v>
      </c>
      <c r="AG224" s="119"/>
      <c r="AH224" s="119">
        <v>9</v>
      </c>
      <c r="AI224" s="119"/>
      <c r="AJ224" s="119"/>
      <c r="AK224" s="119"/>
      <c r="AL224" s="119"/>
      <c r="AM224" s="5">
        <f>SUM(GC[[#This Row],[IS1Inv1M1]:[IS4Inv10M2]])</f>
        <v>36</v>
      </c>
      <c r="AN224" s="119"/>
      <c r="AO224" s="121"/>
    </row>
    <row r="225" spans="1:41">
      <c r="A225" s="119">
        <v>223</v>
      </c>
      <c r="B225" s="113">
        <f t="shared" si="4"/>
        <v>45696</v>
      </c>
      <c r="C225" s="114">
        <f>YEAR(GC[[#This Row],[Date]])+IF(MONTH(GC[[#This Row],[Date]])&gt;=4,1,0)</f>
        <v>2025</v>
      </c>
      <c r="D225" s="115">
        <f>YEAR(GC[[#This Row],[Date]])</f>
        <v>2025</v>
      </c>
      <c r="E225" s="112" t="s">
        <v>340</v>
      </c>
      <c r="F225" s="112" t="s">
        <v>340</v>
      </c>
      <c r="G225" s="116" t="str">
        <f>TEXT(GC[[#This Row],[Date]],"mmm-yy")</f>
        <v>Feb-25</v>
      </c>
      <c r="H225" s="116">
        <f>DAY(EOMONTH(GC[[#This Row],[Month Year]],0))</f>
        <v>28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>
        <v>40</v>
      </c>
      <c r="AI225" s="119"/>
      <c r="AJ225" s="119"/>
      <c r="AK225" s="119"/>
      <c r="AL225" s="119"/>
      <c r="AM225" s="5">
        <f>SUM(GC[[#This Row],[IS1Inv1M1]:[IS4Inv10M2]])</f>
        <v>40</v>
      </c>
      <c r="AN225" s="119"/>
      <c r="AO225" s="121"/>
    </row>
    <row r="226" spans="1:41">
      <c r="A226" s="119">
        <v>224</v>
      </c>
      <c r="B226" s="113">
        <f t="shared" si="4"/>
        <v>45697</v>
      </c>
      <c r="C226" s="114">
        <f>YEAR(GC[[#This Row],[Date]])+IF(MONTH(GC[[#This Row],[Date]])&gt;=4,1,0)</f>
        <v>2025</v>
      </c>
      <c r="D226" s="115">
        <f>YEAR(GC[[#This Row],[Date]])</f>
        <v>2025</v>
      </c>
      <c r="E226" s="112" t="s">
        <v>340</v>
      </c>
      <c r="F226" s="112" t="s">
        <v>340</v>
      </c>
      <c r="G226" s="116" t="str">
        <f>TEXT(GC[[#This Row],[Date]],"mmm-yy")</f>
        <v>Feb-25</v>
      </c>
      <c r="H226" s="116">
        <f>DAY(EOMONTH(GC[[#This Row],[Month Year]],0))</f>
        <v>28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5"/>
      <c r="AN226" s="119"/>
      <c r="AO226" s="121"/>
    </row>
    <row r="227" spans="1:41">
      <c r="A227" s="119">
        <v>225</v>
      </c>
      <c r="B227" s="113">
        <f t="shared" si="4"/>
        <v>45698</v>
      </c>
      <c r="C227" s="114">
        <f>YEAR(GC[[#This Row],[Date]])+IF(MONTH(GC[[#This Row],[Date]])&gt;=4,1,0)</f>
        <v>2025</v>
      </c>
      <c r="D227" s="115">
        <f>YEAR(GC[[#This Row],[Date]])</f>
        <v>2025</v>
      </c>
      <c r="E227" s="112" t="s">
        <v>340</v>
      </c>
      <c r="F227" s="112" t="s">
        <v>340</v>
      </c>
      <c r="G227" s="116" t="str">
        <f>TEXT(GC[[#This Row],[Date]],"mmm-yy")</f>
        <v>Feb-25</v>
      </c>
      <c r="H227" s="116">
        <f>DAY(EOMONTH(GC[[#This Row],[Month Year]],0))</f>
        <v>28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5"/>
      <c r="AN227" s="119"/>
      <c r="AO227" s="121"/>
    </row>
    <row r="228" spans="1:41">
      <c r="A228" s="119"/>
      <c r="B228" s="113"/>
      <c r="C228" s="114"/>
      <c r="D228" s="115"/>
      <c r="E228" s="112"/>
      <c r="F228" s="112"/>
      <c r="G228" s="116"/>
      <c r="H228" s="116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5"/>
      <c r="AN228" s="119"/>
      <c r="AO228" s="121"/>
    </row>
    <row r="229" spans="1:41">
      <c r="A229" s="119"/>
      <c r="B229" s="113"/>
      <c r="C229" s="114"/>
      <c r="D229" s="115"/>
      <c r="E229" s="112"/>
      <c r="F229" s="112"/>
      <c r="G229" s="116"/>
      <c r="H229" s="116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5"/>
      <c r="AN229" s="119"/>
      <c r="AO229" s="121"/>
    </row>
    <row r="230" spans="1:41">
      <c r="A230" s="119"/>
      <c r="B230" s="113"/>
      <c r="C230" s="114"/>
      <c r="D230" s="115"/>
      <c r="E230" s="112"/>
      <c r="F230" s="112"/>
      <c r="G230" s="116"/>
      <c r="H230" s="116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5"/>
      <c r="AN230" s="119"/>
      <c r="AO230" s="121"/>
    </row>
    <row r="231" spans="1:41">
      <c r="A231" s="119"/>
      <c r="B231" s="113"/>
      <c r="C231" s="114"/>
      <c r="D231" s="115"/>
      <c r="E231" s="112"/>
      <c r="F231" s="112"/>
      <c r="G231" s="116"/>
      <c r="H231" s="116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5"/>
      <c r="AN231" s="119"/>
      <c r="AO231" s="121"/>
    </row>
    <row r="232" spans="1:41">
      <c r="A232" s="119"/>
      <c r="B232" s="113"/>
      <c r="C232" s="114"/>
      <c r="D232" s="115"/>
      <c r="E232" s="112"/>
      <c r="F232" s="112"/>
      <c r="G232" s="116"/>
      <c r="H232" s="116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5"/>
      <c r="AN232" s="119"/>
      <c r="AO232" s="121"/>
    </row>
    <row r="233" spans="1:41">
      <c r="A233" s="119"/>
      <c r="B233" s="113"/>
      <c r="C233" s="114"/>
      <c r="D233" s="115"/>
      <c r="E233" s="112"/>
      <c r="F233" s="112"/>
      <c r="G233" s="116"/>
      <c r="H233" s="116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5"/>
      <c r="AN233" s="119"/>
      <c r="AO233" s="121"/>
    </row>
    <row r="234" spans="1:41">
      <c r="A234" s="119"/>
      <c r="B234" s="113"/>
      <c r="C234" s="114"/>
      <c r="D234" s="115"/>
      <c r="E234" s="112"/>
      <c r="F234" s="112"/>
      <c r="G234" s="116"/>
      <c r="H234" s="116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5"/>
      <c r="AN234" s="119"/>
      <c r="AO234" s="121"/>
    </row>
    <row r="235" spans="1:41">
      <c r="A235" s="119"/>
      <c r="B235" s="113"/>
      <c r="C235" s="114"/>
      <c r="D235" s="115"/>
      <c r="E235" s="112"/>
      <c r="F235" s="112"/>
      <c r="G235" s="116"/>
      <c r="H235" s="116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5"/>
      <c r="AN235" s="119"/>
      <c r="AO235" s="121"/>
    </row>
    <row r="236" spans="1:41">
      <c r="A236" s="119"/>
      <c r="B236" s="113"/>
      <c r="C236" s="114"/>
      <c r="D236" s="115"/>
      <c r="E236" s="112"/>
      <c r="F236" s="112"/>
      <c r="G236" s="116"/>
      <c r="H236" s="116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5"/>
      <c r="AN236" s="119"/>
      <c r="AO236" s="121"/>
    </row>
    <row r="237" spans="1:41">
      <c r="A237" s="119"/>
      <c r="B237" s="113"/>
      <c r="C237" s="114"/>
      <c r="D237" s="115"/>
      <c r="E237" s="112"/>
      <c r="F237" s="112"/>
      <c r="G237" s="116"/>
      <c r="H237" s="116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5"/>
      <c r="AN237" s="119"/>
      <c r="AO237" s="121"/>
    </row>
    <row r="238" spans="1:41">
      <c r="A238" s="119"/>
      <c r="B238" s="113"/>
      <c r="C238" s="114"/>
      <c r="D238" s="115"/>
      <c r="E238" s="112"/>
      <c r="F238" s="112"/>
      <c r="G238" s="116"/>
      <c r="H238" s="116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5"/>
      <c r="AN238" s="119"/>
      <c r="AO238" s="121"/>
    </row>
    <row r="239" spans="1:41">
      <c r="A239" s="119"/>
      <c r="B239" s="113"/>
      <c r="C239" s="114"/>
      <c r="D239" s="115"/>
      <c r="E239" s="112"/>
      <c r="F239" s="112"/>
      <c r="G239" s="116"/>
      <c r="H239" s="116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5"/>
      <c r="AN239" s="119"/>
      <c r="AO239" s="121"/>
    </row>
    <row r="240" spans="1:41">
      <c r="A240" s="119"/>
      <c r="B240" s="113"/>
      <c r="C240" s="114"/>
      <c r="D240" s="115"/>
      <c r="E240" s="112"/>
      <c r="F240" s="112"/>
      <c r="G240" s="116"/>
      <c r="H240" s="116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5"/>
      <c r="AN240" s="119"/>
      <c r="AO240" s="121"/>
    </row>
    <row r="241" spans="1:41">
      <c r="A241" s="119"/>
      <c r="B241" s="113"/>
      <c r="C241" s="114"/>
      <c r="D241" s="115"/>
      <c r="E241" s="112"/>
      <c r="F241" s="112"/>
      <c r="G241" s="116"/>
      <c r="H241" s="116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5"/>
      <c r="AN241" s="119"/>
      <c r="AO241" s="121"/>
    </row>
    <row r="242" spans="1:41">
      <c r="A242" s="119"/>
      <c r="B242" s="113"/>
      <c r="C242" s="114"/>
      <c r="D242" s="115"/>
      <c r="E242" s="112"/>
      <c r="F242" s="112"/>
      <c r="G242" s="116"/>
      <c r="H242" s="116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5"/>
      <c r="AN242" s="119"/>
      <c r="AO242" s="121"/>
    </row>
    <row r="243" spans="1:41">
      <c r="A243" s="119"/>
      <c r="B243" s="113"/>
      <c r="C243" s="114"/>
      <c r="D243" s="115"/>
      <c r="E243" s="112"/>
      <c r="F243" s="112"/>
      <c r="G243" s="116"/>
      <c r="H243" s="116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5"/>
      <c r="AN243" s="119"/>
      <c r="AO243" s="121"/>
    </row>
    <row r="244" spans="1:41">
      <c r="A244" s="119"/>
      <c r="B244" s="113"/>
      <c r="C244" s="114"/>
      <c r="D244" s="115"/>
      <c r="E244" s="112"/>
      <c r="F244" s="112"/>
      <c r="G244" s="116"/>
      <c r="H244" s="116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5"/>
      <c r="AN244" s="119"/>
      <c r="AO244" s="121"/>
    </row>
    <row r="245" spans="1:41">
      <c r="A245" s="119"/>
      <c r="B245" s="113"/>
      <c r="C245" s="114"/>
      <c r="D245" s="115"/>
      <c r="E245" s="112"/>
      <c r="F245" s="112"/>
      <c r="G245" s="116"/>
      <c r="H245" s="116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5"/>
      <c r="AN245" s="119"/>
      <c r="AO245" s="121"/>
    </row>
    <row r="246" spans="1:41">
      <c r="A246" s="119"/>
      <c r="B246" s="113"/>
      <c r="C246" s="114"/>
      <c r="D246" s="115"/>
      <c r="E246" s="112"/>
      <c r="F246" s="112"/>
      <c r="G246" s="116"/>
      <c r="H246" s="116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5"/>
      <c r="AN246" s="119"/>
      <c r="AO246" s="121"/>
    </row>
    <row r="247" spans="1:41">
      <c r="A247" s="119"/>
      <c r="B247" s="113"/>
      <c r="C247" s="114"/>
      <c r="D247" s="115"/>
      <c r="E247" s="112"/>
      <c r="F247" s="112"/>
      <c r="G247" s="116"/>
      <c r="H247" s="116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5"/>
      <c r="AN247" s="119"/>
      <c r="AO247" s="121"/>
    </row>
    <row r="248" spans="1:41">
      <c r="A248" s="119"/>
      <c r="B248" s="113"/>
      <c r="C248" s="114"/>
      <c r="D248" s="115"/>
      <c r="E248" s="112"/>
      <c r="F248" s="112"/>
      <c r="G248" s="116"/>
      <c r="H248" s="116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5"/>
      <c r="AN248" s="119"/>
      <c r="AO248" s="121"/>
    </row>
    <row r="249" spans="1:41">
      <c r="A249" s="119"/>
      <c r="B249" s="113"/>
      <c r="C249" s="114"/>
      <c r="D249" s="115"/>
      <c r="E249" s="112"/>
      <c r="F249" s="112"/>
      <c r="G249" s="116"/>
      <c r="H249" s="116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5"/>
      <c r="AN249" s="119"/>
      <c r="AO249" s="121"/>
    </row>
    <row r="250" spans="1:41">
      <c r="A250" s="119"/>
      <c r="B250" s="113"/>
      <c r="C250" s="114"/>
      <c r="D250" s="115"/>
      <c r="E250" s="112"/>
      <c r="F250" s="112"/>
      <c r="G250" s="116"/>
      <c r="H250" s="116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5"/>
      <c r="AN250" s="119"/>
      <c r="AO250" s="121"/>
    </row>
    <row r="251" spans="1:41">
      <c r="A251" s="119"/>
      <c r="B251" s="113"/>
      <c r="C251" s="114"/>
      <c r="D251" s="115"/>
      <c r="E251" s="112"/>
      <c r="F251" s="112"/>
      <c r="G251" s="116"/>
      <c r="H251" s="116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5"/>
      <c r="AN251" s="119"/>
      <c r="AO251" s="121"/>
    </row>
    <row r="252" spans="1:41">
      <c r="A252" s="119"/>
      <c r="B252" s="113"/>
      <c r="C252" s="114"/>
      <c r="D252" s="115"/>
      <c r="E252" s="112"/>
      <c r="F252" s="112"/>
      <c r="G252" s="116"/>
      <c r="H252" s="116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5"/>
      <c r="AN252" s="119"/>
      <c r="AO252" s="121"/>
    </row>
    <row r="253" spans="1:41">
      <c r="A253" s="119"/>
      <c r="B253" s="113"/>
      <c r="C253" s="114"/>
      <c r="D253" s="115"/>
      <c r="E253" s="112"/>
      <c r="F253" s="112"/>
      <c r="G253" s="116"/>
      <c r="H253" s="116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5"/>
      <c r="AN253" s="119"/>
      <c r="AO253" s="121"/>
    </row>
    <row r="254" spans="1:41">
      <c r="A254" s="119"/>
      <c r="B254" s="113"/>
      <c r="C254" s="114"/>
      <c r="D254" s="115"/>
      <c r="E254" s="112"/>
      <c r="F254" s="112"/>
      <c r="G254" s="116"/>
      <c r="H254" s="116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5"/>
      <c r="AN254" s="119"/>
      <c r="AO254" s="121"/>
    </row>
    <row r="255" spans="1:41">
      <c r="A255" s="119"/>
      <c r="B255" s="113"/>
      <c r="C255" s="114"/>
      <c r="D255" s="115"/>
      <c r="E255" s="112"/>
      <c r="F255" s="112"/>
      <c r="G255" s="116"/>
      <c r="H255" s="116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5"/>
      <c r="AN255" s="119"/>
      <c r="AO255" s="121"/>
    </row>
    <row r="256" spans="1:41">
      <c r="A256" s="119"/>
      <c r="B256" s="113"/>
      <c r="C256" s="114"/>
      <c r="D256" s="115"/>
      <c r="E256" s="112"/>
      <c r="F256" s="112"/>
      <c r="G256" s="116"/>
      <c r="H256" s="116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5"/>
      <c r="AN256" s="119"/>
      <c r="AO256" s="121"/>
    </row>
    <row r="257" spans="1:41">
      <c r="A257" s="119"/>
      <c r="B257" s="113"/>
      <c r="C257" s="114"/>
      <c r="D257" s="115"/>
      <c r="E257" s="112"/>
      <c r="F257" s="112"/>
      <c r="G257" s="116"/>
      <c r="H257" s="116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5"/>
      <c r="AN257" s="119"/>
      <c r="AO257" s="121"/>
    </row>
    <row r="258" spans="1:41">
      <c r="A258" s="119"/>
      <c r="B258" s="113"/>
      <c r="C258" s="114"/>
      <c r="D258" s="115"/>
      <c r="E258" s="112"/>
      <c r="F258" s="112"/>
      <c r="G258" s="116"/>
      <c r="H258" s="116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5"/>
      <c r="AN258" s="119"/>
      <c r="AO258" s="121"/>
    </row>
    <row r="259" spans="1:41">
      <c r="A259" s="119"/>
      <c r="B259" s="113"/>
      <c r="C259" s="114"/>
      <c r="D259" s="115"/>
      <c r="E259" s="112"/>
      <c r="F259" s="112"/>
      <c r="G259" s="116"/>
      <c r="H259" s="116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5"/>
      <c r="AN259" s="119"/>
      <c r="AO259" s="121"/>
    </row>
    <row r="260" spans="1:41">
      <c r="A260" s="119"/>
      <c r="B260" s="113"/>
      <c r="C260" s="114"/>
      <c r="D260" s="115"/>
      <c r="E260" s="112"/>
      <c r="F260" s="112"/>
      <c r="G260" s="116"/>
      <c r="H260" s="116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5"/>
      <c r="AN260" s="119"/>
      <c r="AO260" s="121"/>
    </row>
    <row r="261" spans="1:41">
      <c r="A261" s="119"/>
      <c r="B261" s="113"/>
      <c r="C261" s="114"/>
      <c r="D261" s="115"/>
      <c r="E261" s="112"/>
      <c r="F261" s="112"/>
      <c r="G261" s="116"/>
      <c r="H261" s="116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5"/>
      <c r="AN261" s="119"/>
      <c r="AO261" s="121"/>
    </row>
    <row r="262" spans="1:41">
      <c r="A262" s="119"/>
      <c r="B262" s="113"/>
      <c r="C262" s="114"/>
      <c r="D262" s="115"/>
      <c r="E262" s="112"/>
      <c r="F262" s="112"/>
      <c r="G262" s="116"/>
      <c r="H262" s="116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5"/>
      <c r="AN262" s="119"/>
      <c r="AO262" s="121"/>
    </row>
    <row r="263" spans="1:41">
      <c r="A263" s="119"/>
      <c r="B263" s="113"/>
      <c r="C263" s="114"/>
      <c r="D263" s="115"/>
      <c r="E263" s="112"/>
      <c r="F263" s="112"/>
      <c r="G263" s="116"/>
      <c r="H263" s="116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5"/>
      <c r="AN263" s="119"/>
      <c r="AO263" s="121"/>
    </row>
    <row r="264" spans="1:41">
      <c r="A264" s="119"/>
      <c r="B264" s="113"/>
      <c r="C264" s="114"/>
      <c r="D264" s="115"/>
      <c r="E264" s="112"/>
      <c r="F264" s="112"/>
      <c r="G264" s="116"/>
      <c r="H264" s="116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5"/>
      <c r="AN264" s="119"/>
      <c r="AO264" s="121"/>
    </row>
    <row r="265" spans="1:41">
      <c r="A265" s="119"/>
      <c r="B265" s="113"/>
      <c r="C265" s="114"/>
      <c r="D265" s="115"/>
      <c r="E265" s="112"/>
      <c r="F265" s="112"/>
      <c r="G265" s="116"/>
      <c r="H265" s="116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5"/>
      <c r="AN265" s="119"/>
      <c r="AO265" s="121"/>
    </row>
    <row r="266" spans="1:41">
      <c r="A266" s="119"/>
      <c r="B266" s="113"/>
      <c r="C266" s="114"/>
      <c r="D266" s="115"/>
      <c r="E266" s="112"/>
      <c r="F266" s="112"/>
      <c r="G266" s="116"/>
      <c r="H266" s="116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5"/>
      <c r="AN266" s="119"/>
      <c r="AO266" s="121"/>
    </row>
    <row r="267" spans="1:41">
      <c r="A267" s="119"/>
      <c r="B267" s="113"/>
      <c r="C267" s="114"/>
      <c r="D267" s="115"/>
      <c r="E267" s="112"/>
      <c r="F267" s="112"/>
      <c r="G267" s="116"/>
      <c r="H267" s="116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5"/>
      <c r="AN267" s="119"/>
      <c r="AO267" s="121"/>
    </row>
    <row r="268" spans="1:41">
      <c r="A268" s="119"/>
      <c r="B268" s="113"/>
      <c r="C268" s="114"/>
      <c r="D268" s="115"/>
      <c r="E268" s="112"/>
      <c r="F268" s="112"/>
      <c r="G268" s="116"/>
      <c r="H268" s="116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5"/>
      <c r="AN268" s="119"/>
      <c r="AO268" s="121"/>
    </row>
    <row r="269" spans="1:41">
      <c r="A269" s="119"/>
      <c r="B269" s="113"/>
      <c r="C269" s="114"/>
      <c r="D269" s="115"/>
      <c r="E269" s="112"/>
      <c r="F269" s="112"/>
      <c r="G269" s="116"/>
      <c r="H269" s="116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5"/>
      <c r="AN269" s="119"/>
      <c r="AO269" s="121"/>
    </row>
    <row r="270" spans="1:41">
      <c r="A270" s="119"/>
      <c r="B270" s="113"/>
      <c r="C270" s="114"/>
      <c r="D270" s="115"/>
      <c r="E270" s="112"/>
      <c r="F270" s="112"/>
      <c r="G270" s="116"/>
      <c r="H270" s="116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5"/>
      <c r="AN270" s="119"/>
      <c r="AO270" s="121"/>
    </row>
  </sheetData>
  <phoneticPr fontId="79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bottomRight" activeCell="N2" sqref="N2:N25"/>
      <selection pane="bottomLeft" activeCell="C1" sqref="C1"/>
      <selection pane="topRight" activeCell="C1" sqref="C1"/>
    </sheetView>
  </sheetViews>
  <sheetFormatPr defaultColWidth="8.875" defaultRowHeight="15"/>
  <cols>
    <col min="1" max="1" width="8.875" style="9"/>
    <col min="2" max="2" width="9.875" style="9" bestFit="1" customWidth="1"/>
    <col min="3" max="3" width="15.875" style="9" customWidth="1"/>
    <col min="4" max="6" width="8.875" style="9"/>
    <col min="7" max="7" width="20.375" style="9" customWidth="1"/>
    <col min="8" max="8" width="8.875" style="9"/>
    <col min="9" max="9" width="9.375" style="9" bestFit="1" customWidth="1"/>
    <col min="10" max="14" width="8.875" style="9"/>
    <col min="15" max="15" width="9.875" style="9" bestFit="1" customWidth="1"/>
    <col min="16" max="16" width="11" style="9" customWidth="1"/>
    <col min="17" max="17" width="15.125" style="9" customWidth="1"/>
    <col min="18" max="19" width="10.875" style="9" customWidth="1"/>
    <col min="20" max="20" width="13" style="9" customWidth="1"/>
    <col min="21" max="25" width="12.875" style="9" customWidth="1"/>
    <col min="26" max="27" width="14.375" style="9" customWidth="1"/>
    <col min="28" max="29" width="15.375" style="9" customWidth="1"/>
    <col min="30" max="38" width="9.875" style="9" customWidth="1"/>
    <col min="39" max="39" width="11.125" style="239" customWidth="1"/>
    <col min="40" max="40" width="12.375" style="239" bestFit="1" customWidth="1"/>
    <col min="41" max="16384" width="8.875" style="9"/>
  </cols>
  <sheetData>
    <row r="1" spans="1:44" ht="45">
      <c r="A1" s="207" t="s">
        <v>6</v>
      </c>
      <c r="B1" s="207" t="s">
        <v>1276</v>
      </c>
      <c r="C1" s="207" t="s">
        <v>1277</v>
      </c>
      <c r="D1" s="207" t="s">
        <v>60</v>
      </c>
      <c r="E1" s="207" t="s">
        <v>1278</v>
      </c>
      <c r="F1" s="207" t="s">
        <v>1279</v>
      </c>
      <c r="G1" s="207" t="s">
        <v>1280</v>
      </c>
      <c r="H1" s="207" t="s">
        <v>1281</v>
      </c>
      <c r="I1" s="207" t="s">
        <v>1282</v>
      </c>
      <c r="J1" s="207" t="s">
        <v>1283</v>
      </c>
      <c r="K1" s="207" t="s">
        <v>1284</v>
      </c>
      <c r="L1" s="207" t="s">
        <v>1285</v>
      </c>
      <c r="M1" s="207" t="s">
        <v>1286</v>
      </c>
      <c r="N1" s="207" t="s">
        <v>1287</v>
      </c>
      <c r="O1" s="207" t="s">
        <v>1288</v>
      </c>
      <c r="P1" s="207" t="s">
        <v>1289</v>
      </c>
      <c r="Q1" s="207" t="s">
        <v>1290</v>
      </c>
      <c r="R1" s="207" t="s">
        <v>1291</v>
      </c>
      <c r="S1" s="207" t="s">
        <v>1292</v>
      </c>
      <c r="T1" s="207" t="s">
        <v>1293</v>
      </c>
      <c r="U1" s="207" t="s">
        <v>1294</v>
      </c>
      <c r="V1" s="207" t="s">
        <v>1295</v>
      </c>
      <c r="W1" s="207" t="s">
        <v>1296</v>
      </c>
      <c r="X1" s="207" t="s">
        <v>1297</v>
      </c>
      <c r="Y1" s="207" t="s">
        <v>1298</v>
      </c>
      <c r="Z1" s="207" t="s">
        <v>1299</v>
      </c>
      <c r="AA1" s="207" t="s">
        <v>1300</v>
      </c>
      <c r="AB1" s="207" t="s">
        <v>1301</v>
      </c>
      <c r="AC1" s="207" t="s">
        <v>1302</v>
      </c>
      <c r="AD1" s="207" t="s">
        <v>1303</v>
      </c>
      <c r="AE1" s="207" t="s">
        <v>1304</v>
      </c>
      <c r="AF1" s="207" t="s">
        <v>1305</v>
      </c>
      <c r="AG1" s="207" t="s">
        <v>1306</v>
      </c>
      <c r="AH1" s="207" t="s">
        <v>1307</v>
      </c>
      <c r="AI1" s="207" t="s">
        <v>1308</v>
      </c>
      <c r="AJ1" s="207" t="s">
        <v>1309</v>
      </c>
      <c r="AK1" s="207" t="s">
        <v>1310</v>
      </c>
      <c r="AL1" s="207" t="s">
        <v>1311</v>
      </c>
      <c r="AM1" s="207" t="s">
        <v>13</v>
      </c>
      <c r="AN1" s="207" t="s">
        <v>14</v>
      </c>
      <c r="AQ1" s="9" t="s">
        <v>351</v>
      </c>
      <c r="AR1" s="186">
        <v>136.82</v>
      </c>
    </row>
    <row r="2" spans="1:44">
      <c r="A2" s="208">
        <v>1</v>
      </c>
      <c r="B2" s="209" t="s">
        <v>1312</v>
      </c>
      <c r="C2" s="208">
        <v>5</v>
      </c>
      <c r="D2" s="209">
        <v>45383</v>
      </c>
      <c r="E2" s="210">
        <f t="shared" ref="E2:E9" si="0">YEAR(D2)</f>
        <v>2024</v>
      </c>
      <c r="F2" s="260" t="s">
        <v>1313</v>
      </c>
      <c r="G2" s="211">
        <f t="shared" ref="G2:G9" si="1">DAY(EOMONTH(D2,0))</f>
        <v>30</v>
      </c>
      <c r="H2" s="212">
        <v>211.4</v>
      </c>
      <c r="I2" s="212">
        <v>214.2</v>
      </c>
      <c r="J2" s="213"/>
      <c r="K2" s="212"/>
      <c r="L2" s="211"/>
      <c r="M2" s="214">
        <v>0</v>
      </c>
      <c r="N2" s="214"/>
      <c r="O2" s="215" t="str">
        <f t="shared" ref="O2:O13" si="2">IFERROR(M2/I2/N2,"")</f>
        <v/>
      </c>
      <c r="P2" s="213">
        <f t="shared" ref="P2:P13" si="3">IFERROR(I2/G2,"")</f>
        <v>7.14</v>
      </c>
      <c r="Q2" s="211">
        <f>COUNTIFS('Daily KPI'!$D:$D,D2,'Daily KPI'!$K:$K,"&gt;0")</f>
        <v>0</v>
      </c>
      <c r="R2" s="214">
        <f t="shared" ref="R2:R13" si="4">I2/G2*Q2</f>
        <v>0</v>
      </c>
      <c r="S2" s="214">
        <f>SUMIF($F$2:F2,F2,$R$2:R2)</f>
        <v>0</v>
      </c>
      <c r="T2" s="213">
        <f t="shared" ref="T2:T13" si="5">M2/G2</f>
        <v>0</v>
      </c>
      <c r="U2" s="214">
        <f t="shared" ref="U2:U13" si="6">M2/G2*Q2</f>
        <v>0</v>
      </c>
      <c r="V2" s="214">
        <f>SUMIF($F$2:F2,F2,$U$2:U2)</f>
        <v>0</v>
      </c>
      <c r="W2" s="215" t="str">
        <f t="shared" ref="W2:W13" si="7">IFERROR(T2/(24*N2),"")</f>
        <v/>
      </c>
      <c r="X2" s="215" t="str">
        <f t="shared" ref="X2:X25" si="8">IFERROR(U2/(24*N2*Q2),"")</f>
        <v/>
      </c>
      <c r="Y2" s="215" t="str">
        <f t="shared" ref="Y2:Y19" si="9">IFERROR(V2/(24*N2*SUMIFS($Q:$Q,$F:$F,$F2,$D:$D,"&lt;="&amp;D2)),"")</f>
        <v/>
      </c>
      <c r="Z2" s="213">
        <f>IFERROR(AVERAGEIF('Daily KPI'!D:D,Table14[[#This Row],[Month]],'Daily KPI'!AB:AB),0)</f>
        <v>0</v>
      </c>
      <c r="AA2" s="212">
        <f>IFERROR(AVERAGEIF($F$2:F2,F2,$Z$2:Z2),"")</f>
        <v>0</v>
      </c>
      <c r="AB2" s="214"/>
      <c r="AC2" s="213"/>
      <c r="AD2" s="213"/>
      <c r="AE2" s="215">
        <v>0.995</v>
      </c>
      <c r="AF2" s="215">
        <v>0.995</v>
      </c>
      <c r="AG2" s="215"/>
      <c r="AH2" s="215"/>
      <c r="AI2" s="215"/>
      <c r="AJ2" s="215"/>
      <c r="AK2" s="215"/>
      <c r="AL2" s="215"/>
      <c r="AM2" s="236">
        <f>SUMIF('Daily KPI'!$D:$D,$D2,'Daily KPI'!AS:AS)</f>
        <v>0</v>
      </c>
      <c r="AN2" s="236">
        <f>SUMIF($F$2:F2,F2,$AM$2:AM2)</f>
        <v>0</v>
      </c>
    </row>
    <row r="3" spans="1:44">
      <c r="A3" s="208">
        <f t="shared" ref="A3:A25" si="10">A2+1</f>
        <v>2</v>
      </c>
      <c r="B3" s="216" t="s">
        <v>1314</v>
      </c>
      <c r="C3" s="208">
        <v>6</v>
      </c>
      <c r="D3" s="216">
        <v>45413</v>
      </c>
      <c r="E3" s="217">
        <f t="shared" si="0"/>
        <v>2024</v>
      </c>
      <c r="F3" s="260" t="s">
        <v>1313</v>
      </c>
      <c r="G3" s="208">
        <f t="shared" si="1"/>
        <v>31</v>
      </c>
      <c r="H3" s="218">
        <v>219.5</v>
      </c>
      <c r="I3" s="218">
        <v>213.6</v>
      </c>
      <c r="J3" s="219"/>
      <c r="K3" s="218"/>
      <c r="L3" s="208"/>
      <c r="M3" s="220">
        <v>8914.1690998165868</v>
      </c>
      <c r="N3" s="220">
        <v>50.959999999999994</v>
      </c>
      <c r="O3" s="221">
        <f t="shared" si="2"/>
        <v>0.81893644826600687</v>
      </c>
      <c r="P3" s="219">
        <f t="shared" si="3"/>
        <v>6.8903225806451607</v>
      </c>
      <c r="Q3" s="208">
        <f>COUNTIFS('Daily KPI'!$D:$D,D3,'Daily KPI'!$K:$K,"&gt;0")</f>
        <v>0</v>
      </c>
      <c r="R3" s="220">
        <f t="shared" si="4"/>
        <v>0</v>
      </c>
      <c r="S3" s="220">
        <f>SUMIF($F$2:F3,F3,$R$2:R3)</f>
        <v>0</v>
      </c>
      <c r="T3" s="219">
        <f t="shared" si="5"/>
        <v>287.55384192956734</v>
      </c>
      <c r="U3" s="220">
        <f t="shared" si="6"/>
        <v>0</v>
      </c>
      <c r="V3" s="220">
        <f>SUMIF($F$2:F3,F3,$U$2:U3)</f>
        <v>0</v>
      </c>
      <c r="W3" s="221">
        <f t="shared" si="7"/>
        <v>0.23511401256669229</v>
      </c>
      <c r="X3" s="221" t="str">
        <f t="shared" si="8"/>
        <v/>
      </c>
      <c r="Y3" s="221" t="str">
        <f t="shared" si="9"/>
        <v/>
      </c>
      <c r="Z3" s="219">
        <f>IFERROR(AVERAGEIF('Daily KPI'!D:D,Table14[[#This Row],[Month]],'Daily KPI'!AB:AB),0)</f>
        <v>0</v>
      </c>
      <c r="AA3" s="212">
        <f>IFERROR(AVERAGEIF($F$2:F3,F3,$Z$2:Z3),"")</f>
        <v>0</v>
      </c>
      <c r="AB3" s="220"/>
      <c r="AC3" s="219"/>
      <c r="AD3" s="219"/>
      <c r="AE3" s="215">
        <v>0.995</v>
      </c>
      <c r="AF3" s="215">
        <v>0.995</v>
      </c>
      <c r="AG3" s="221"/>
      <c r="AH3" s="221"/>
      <c r="AI3" s="221"/>
      <c r="AJ3" s="221"/>
      <c r="AK3" s="221"/>
      <c r="AL3" s="221"/>
      <c r="AM3" s="237">
        <f>SUMIF('Daily KPI'!$D:$D,$D3,'Daily KPI'!AS:AS)</f>
        <v>0</v>
      </c>
      <c r="AN3" s="237">
        <f>SUMIF($F$2:F3,F3,$AM$2:AM3)</f>
        <v>0</v>
      </c>
    </row>
    <row r="4" spans="1:44">
      <c r="A4" s="208">
        <f t="shared" si="10"/>
        <v>3</v>
      </c>
      <c r="B4" s="209" t="s">
        <v>1315</v>
      </c>
      <c r="C4" s="208">
        <v>7</v>
      </c>
      <c r="D4" s="209">
        <v>45444</v>
      </c>
      <c r="E4" s="210">
        <f t="shared" si="0"/>
        <v>2024</v>
      </c>
      <c r="F4" s="260" t="s">
        <v>1313</v>
      </c>
      <c r="G4" s="211">
        <f t="shared" si="1"/>
        <v>30</v>
      </c>
      <c r="H4" s="212">
        <v>155.19999999999999</v>
      </c>
      <c r="I4" s="212">
        <v>149.1</v>
      </c>
      <c r="J4" s="213"/>
      <c r="K4" s="212"/>
      <c r="L4" s="211"/>
      <c r="M4" s="214">
        <v>6430.6478172716343</v>
      </c>
      <c r="N4" s="214">
        <v>50.959999999999994</v>
      </c>
      <c r="O4" s="215">
        <f t="shared" si="2"/>
        <v>0.84634544805089507</v>
      </c>
      <c r="P4" s="213">
        <f t="shared" si="3"/>
        <v>4.97</v>
      </c>
      <c r="Q4" s="211">
        <f>COUNTIFS('Daily KPI'!$D:$D,D4,'Daily KPI'!$K:$K,"&gt;0")</f>
        <v>0</v>
      </c>
      <c r="R4" s="214">
        <f t="shared" si="4"/>
        <v>0</v>
      </c>
      <c r="S4" s="214">
        <f>SUMIF($F$2:F4,F4,$R$2:R4)</f>
        <v>0</v>
      </c>
      <c r="T4" s="213">
        <f t="shared" si="5"/>
        <v>214.35492724238782</v>
      </c>
      <c r="U4" s="214">
        <f t="shared" si="6"/>
        <v>0</v>
      </c>
      <c r="V4" s="214">
        <f>SUMIF($F$2:F4,F4,$U$2:U4)</f>
        <v>0</v>
      </c>
      <c r="W4" s="215">
        <f t="shared" si="7"/>
        <v>0.17526403653387282</v>
      </c>
      <c r="X4" s="215" t="str">
        <f t="shared" si="8"/>
        <v/>
      </c>
      <c r="Y4" s="215" t="str">
        <f t="shared" si="9"/>
        <v/>
      </c>
      <c r="Z4" s="213">
        <f>IFERROR(AVERAGEIF('Daily KPI'!D:D,Table14[[#This Row],[Month]],'Daily KPI'!AB:AB),0)</f>
        <v>0</v>
      </c>
      <c r="AA4" s="212">
        <f>IFERROR(AVERAGEIF($F$2:F4,F4,$Z$2:Z4),"")</f>
        <v>0</v>
      </c>
      <c r="AB4" s="214"/>
      <c r="AC4" s="213"/>
      <c r="AD4" s="213"/>
      <c r="AE4" s="215">
        <v>0.995</v>
      </c>
      <c r="AF4" s="215">
        <v>0.995</v>
      </c>
      <c r="AG4" s="215"/>
      <c r="AH4" s="215"/>
      <c r="AI4" s="215"/>
      <c r="AJ4" s="215"/>
      <c r="AK4" s="215"/>
      <c r="AL4" s="215"/>
      <c r="AM4" s="237">
        <f>SUMIF('Daily KPI'!$D:$D,$D4,'Daily KPI'!AS:AS)</f>
        <v>0</v>
      </c>
      <c r="AN4" s="237">
        <f>SUMIF($F$2:F4,F4,$AM$2:AM4)</f>
        <v>0</v>
      </c>
    </row>
    <row r="5" spans="1:44">
      <c r="A5" s="208">
        <f t="shared" si="10"/>
        <v>4</v>
      </c>
      <c r="B5" s="216" t="s">
        <v>1316</v>
      </c>
      <c r="C5" s="208">
        <v>8</v>
      </c>
      <c r="D5" s="216">
        <v>45474</v>
      </c>
      <c r="E5" s="217">
        <f t="shared" si="0"/>
        <v>2024</v>
      </c>
      <c r="F5" s="260" t="s">
        <v>1313</v>
      </c>
      <c r="G5" s="208">
        <f t="shared" si="1"/>
        <v>31</v>
      </c>
      <c r="H5" s="218">
        <v>121.5</v>
      </c>
      <c r="I5" s="218">
        <v>117.7</v>
      </c>
      <c r="J5" s="219"/>
      <c r="K5" s="218"/>
      <c r="L5" s="208"/>
      <c r="M5" s="220">
        <v>7423.9879048760449</v>
      </c>
      <c r="N5" s="220">
        <v>83.157499999999999</v>
      </c>
      <c r="O5" s="221">
        <f t="shared" si="2"/>
        <v>0.75850660746777687</v>
      </c>
      <c r="P5" s="219">
        <f t="shared" si="3"/>
        <v>3.7967741935483872</v>
      </c>
      <c r="Q5" s="208">
        <f>COUNTIFS('Daily KPI'!$D:$D,D5,'Daily KPI'!$K:$K,"&gt;0")</f>
        <v>0</v>
      </c>
      <c r="R5" s="220">
        <f t="shared" si="4"/>
        <v>0</v>
      </c>
      <c r="S5" s="220">
        <f>SUMIF($F$2:F5,F5,$R$2:R5)</f>
        <v>0</v>
      </c>
      <c r="T5" s="219">
        <f t="shared" si="5"/>
        <v>239.48348080245307</v>
      </c>
      <c r="U5" s="220">
        <f t="shared" si="6"/>
        <v>0</v>
      </c>
      <c r="V5" s="220">
        <f>SUMIF($F$2:F5,F5,$U$2:U5)</f>
        <v>0</v>
      </c>
      <c r="W5" s="221">
        <f t="shared" si="7"/>
        <v>0.11999492970289966</v>
      </c>
      <c r="X5" s="221" t="str">
        <f t="shared" si="8"/>
        <v/>
      </c>
      <c r="Y5" s="221" t="str">
        <f t="shared" si="9"/>
        <v/>
      </c>
      <c r="Z5" s="219">
        <f>IFERROR(AVERAGEIF('Daily KPI'!D:D,Table14[[#This Row],[Month]],'Daily KPI'!AB:AB),0)</f>
        <v>0</v>
      </c>
      <c r="AA5" s="212">
        <f>IFERROR(AVERAGEIF($F$2:F5,F5,$Z$2:Z5),"")</f>
        <v>0</v>
      </c>
      <c r="AB5" s="220"/>
      <c r="AC5" s="219"/>
      <c r="AD5" s="219"/>
      <c r="AE5" s="215">
        <v>0.995</v>
      </c>
      <c r="AF5" s="215">
        <v>0.995</v>
      </c>
      <c r="AG5" s="221"/>
      <c r="AH5" s="221"/>
      <c r="AI5" s="221"/>
      <c r="AJ5" s="221"/>
      <c r="AK5" s="221"/>
      <c r="AL5" s="221"/>
      <c r="AM5" s="237">
        <f>SUMIF('Daily KPI'!$D:$D,$D5,'Daily KPI'!AS:AS)</f>
        <v>0</v>
      </c>
      <c r="AN5" s="237">
        <f>SUMIF($F$2:F5,F5,$AM$2:AM5)</f>
        <v>0</v>
      </c>
    </row>
    <row r="6" spans="1:44">
      <c r="A6" s="208">
        <f t="shared" si="10"/>
        <v>5</v>
      </c>
      <c r="B6" s="209" t="s">
        <v>1317</v>
      </c>
      <c r="C6" s="208">
        <v>9</v>
      </c>
      <c r="D6" s="209">
        <v>45505</v>
      </c>
      <c r="E6" s="210">
        <f t="shared" si="0"/>
        <v>2024</v>
      </c>
      <c r="F6" s="260" t="s">
        <v>1313</v>
      </c>
      <c r="G6" s="211">
        <f t="shared" si="1"/>
        <v>31</v>
      </c>
      <c r="H6" s="212">
        <v>124.7</v>
      </c>
      <c r="I6" s="212">
        <v>123.5</v>
      </c>
      <c r="J6" s="213"/>
      <c r="K6" s="212"/>
      <c r="L6" s="211"/>
      <c r="M6" s="214">
        <v>8136.5382675204819</v>
      </c>
      <c r="N6" s="214">
        <v>83.157499999999999</v>
      </c>
      <c r="O6" s="215">
        <f t="shared" si="2"/>
        <v>0.79226649372074509</v>
      </c>
      <c r="P6" s="213">
        <f t="shared" si="3"/>
        <v>3.9838709677419355</v>
      </c>
      <c r="Q6" s="211">
        <f>COUNTIFS('Daily KPI'!$D:$D,D6,'Daily KPI'!$K:$K,"&gt;0")</f>
        <v>0</v>
      </c>
      <c r="R6" s="214">
        <f t="shared" si="4"/>
        <v>0</v>
      </c>
      <c r="S6" s="214">
        <f>SUMIF($F$2:F6,F6,$R$2:R6)</f>
        <v>0</v>
      </c>
      <c r="T6" s="213">
        <f t="shared" si="5"/>
        <v>262.46897637162846</v>
      </c>
      <c r="U6" s="214">
        <f t="shared" si="6"/>
        <v>0</v>
      </c>
      <c r="V6" s="214">
        <f>SUMIF($F$2:F6,F6,$U$2:U6)</f>
        <v>0</v>
      </c>
      <c r="W6" s="215">
        <f t="shared" si="7"/>
        <v>0.13151197846036561</v>
      </c>
      <c r="X6" s="215" t="str">
        <f t="shared" si="8"/>
        <v/>
      </c>
      <c r="Y6" s="215" t="str">
        <f t="shared" si="9"/>
        <v/>
      </c>
      <c r="Z6" s="213">
        <f>IFERROR(AVERAGEIF('Daily KPI'!D:D,Table14[[#This Row],[Month]],'Daily KPI'!AB:AB),0)</f>
        <v>0</v>
      </c>
      <c r="AA6" s="212">
        <f>IFERROR(AVERAGEIF($F$2:F6,F6,$Z$2:Z6),"")</f>
        <v>0</v>
      </c>
      <c r="AB6" s="214"/>
      <c r="AC6" s="213"/>
      <c r="AD6" s="213"/>
      <c r="AE6" s="215">
        <v>0.995</v>
      </c>
      <c r="AF6" s="215">
        <v>0.995</v>
      </c>
      <c r="AG6" s="215"/>
      <c r="AH6" s="215"/>
      <c r="AI6" s="215"/>
      <c r="AJ6" s="215"/>
      <c r="AK6" s="215"/>
      <c r="AL6" s="215"/>
      <c r="AM6" s="237">
        <f>SUMIF('Daily KPI'!$D:$D,$D6,'Daily KPI'!AS:AS)</f>
        <v>0</v>
      </c>
      <c r="AN6" s="237">
        <f>SUMIF($F$2:F6,F6,$AM$2:AM6)</f>
        <v>0</v>
      </c>
    </row>
    <row r="7" spans="1:44">
      <c r="A7" s="208">
        <f t="shared" si="10"/>
        <v>6</v>
      </c>
      <c r="B7" s="216" t="s">
        <v>1318</v>
      </c>
      <c r="C7" s="208">
        <v>10</v>
      </c>
      <c r="D7" s="216">
        <v>45536</v>
      </c>
      <c r="E7" s="217">
        <f t="shared" si="0"/>
        <v>2024</v>
      </c>
      <c r="F7" s="260" t="s">
        <v>1313</v>
      </c>
      <c r="G7" s="208">
        <f t="shared" si="1"/>
        <v>30</v>
      </c>
      <c r="H7" s="218">
        <v>146.30000000000001</v>
      </c>
      <c r="I7" s="218">
        <v>150.5</v>
      </c>
      <c r="J7" s="219"/>
      <c r="K7" s="218"/>
      <c r="L7" s="208"/>
      <c r="M7" s="220">
        <v>10149.158824836317</v>
      </c>
      <c r="N7" s="220">
        <v>83.157499999999999</v>
      </c>
      <c r="O7" s="221">
        <f t="shared" si="2"/>
        <v>0.81094635193904185</v>
      </c>
      <c r="P7" s="219">
        <f t="shared" si="3"/>
        <v>5.0166666666666666</v>
      </c>
      <c r="Q7" s="208">
        <f>COUNTIFS('Daily KPI'!$D:$D,D7,'Daily KPI'!$K:$K,"&gt;0")</f>
        <v>0</v>
      </c>
      <c r="R7" s="220">
        <f t="shared" si="4"/>
        <v>0</v>
      </c>
      <c r="S7" s="220">
        <f>SUMIF($F$2:F7,F7,$R$2:R7)</f>
        <v>0</v>
      </c>
      <c r="T7" s="219">
        <f t="shared" si="5"/>
        <v>338.30529416121055</v>
      </c>
      <c r="U7" s="220">
        <f t="shared" si="6"/>
        <v>0</v>
      </c>
      <c r="V7" s="220">
        <f>SUMIF($F$2:F7,F7,$U$2:U7)</f>
        <v>0</v>
      </c>
      <c r="W7" s="221">
        <f t="shared" si="7"/>
        <v>0.16951031384281362</v>
      </c>
      <c r="X7" s="221" t="str">
        <f t="shared" si="8"/>
        <v/>
      </c>
      <c r="Y7" s="221" t="str">
        <f t="shared" si="9"/>
        <v/>
      </c>
      <c r="Z7" s="219">
        <f>IFERROR(AVERAGEIF('Daily KPI'!D:D,Table14[[#This Row],[Month]],'Daily KPI'!AB:AB),0)</f>
        <v>0</v>
      </c>
      <c r="AA7" s="212">
        <f>IFERROR(AVERAGEIF($F$2:F7,F7,$Z$2:Z7),"")</f>
        <v>0</v>
      </c>
      <c r="AB7" s="220"/>
      <c r="AC7" s="219"/>
      <c r="AD7" s="219"/>
      <c r="AE7" s="215">
        <v>0.995</v>
      </c>
      <c r="AF7" s="215">
        <v>0.995</v>
      </c>
      <c r="AG7" s="221"/>
      <c r="AH7" s="221"/>
      <c r="AI7" s="221"/>
      <c r="AJ7" s="221"/>
      <c r="AK7" s="221"/>
      <c r="AL7" s="221"/>
      <c r="AM7" s="237">
        <f>SUMIF('Daily KPI'!$D:$D,$D7,'Daily KPI'!AS:AS)</f>
        <v>0</v>
      </c>
      <c r="AN7" s="237">
        <f>SUMIF($F$2:F7,F7,$AM$2:AM7)</f>
        <v>0</v>
      </c>
    </row>
    <row r="8" spans="1:44">
      <c r="A8" s="208">
        <f t="shared" si="10"/>
        <v>7</v>
      </c>
      <c r="B8" s="209" t="s">
        <v>1319</v>
      </c>
      <c r="C8" s="208">
        <v>11</v>
      </c>
      <c r="D8" s="209">
        <v>45566</v>
      </c>
      <c r="E8" s="210">
        <f t="shared" si="0"/>
        <v>2024</v>
      </c>
      <c r="F8" s="260" t="s">
        <v>1313</v>
      </c>
      <c r="G8" s="211">
        <f t="shared" si="1"/>
        <v>31</v>
      </c>
      <c r="H8" s="212">
        <v>165.6</v>
      </c>
      <c r="I8" s="212">
        <v>180.6</v>
      </c>
      <c r="J8" s="213"/>
      <c r="K8" s="212"/>
      <c r="L8" s="211"/>
      <c r="M8" s="214">
        <v>17354.208132459316</v>
      </c>
      <c r="N8" s="214">
        <v>136.82</v>
      </c>
      <c r="O8" s="215">
        <f t="shared" si="2"/>
        <v>0.70232393558201034</v>
      </c>
      <c r="P8" s="213">
        <f t="shared" si="3"/>
        <v>5.8258064516129027</v>
      </c>
      <c r="Q8" s="211">
        <f>COUNTIFS('Daily KPI'!$D:$D,D8,'Daily KPI'!$K:$K,"&gt;0")</f>
        <v>0</v>
      </c>
      <c r="R8" s="214">
        <f t="shared" si="4"/>
        <v>0</v>
      </c>
      <c r="S8" s="214">
        <f>SUMIF($F$2:F8,F8,$R$2:R8)</f>
        <v>0</v>
      </c>
      <c r="T8" s="213">
        <f t="shared" si="5"/>
        <v>559.81316556320371</v>
      </c>
      <c r="U8" s="214">
        <f t="shared" si="6"/>
        <v>0</v>
      </c>
      <c r="V8" s="214">
        <f>SUMIF($F$2:F8,F8,$U$2:U8)</f>
        <v>0</v>
      </c>
      <c r="W8" s="215">
        <f t="shared" si="7"/>
        <v>0.1704834714598267</v>
      </c>
      <c r="X8" s="215" t="str">
        <f t="shared" si="8"/>
        <v/>
      </c>
      <c r="Y8" s="215" t="str">
        <f t="shared" si="9"/>
        <v/>
      </c>
      <c r="Z8" s="213">
        <f>IFERROR(AVERAGEIF('Daily KPI'!D:D,Table14[[#This Row],[Month]],'Daily KPI'!AB:AB),0)</f>
        <v>0</v>
      </c>
      <c r="AA8" s="212">
        <f>IFERROR(AVERAGEIF($F$2:F8,F8,$Z$2:Z8),"")</f>
        <v>0</v>
      </c>
      <c r="AB8" s="214"/>
      <c r="AC8" s="213"/>
      <c r="AD8" s="213"/>
      <c r="AE8" s="215">
        <v>0.995</v>
      </c>
      <c r="AF8" s="215">
        <v>0.995</v>
      </c>
      <c r="AG8" s="215"/>
      <c r="AH8" s="215"/>
      <c r="AI8" s="215"/>
      <c r="AJ8" s="215"/>
      <c r="AK8" s="215"/>
      <c r="AL8" s="215"/>
      <c r="AM8" s="237">
        <f>SUMIF('Daily KPI'!$D:$D,$D8,'Daily KPI'!AS:AS)</f>
        <v>0</v>
      </c>
      <c r="AN8" s="237">
        <f>SUMIF($F$2:F8,F8,$AM$2:AM8)</f>
        <v>0</v>
      </c>
    </row>
    <row r="9" spans="1:44">
      <c r="A9" s="208">
        <f t="shared" si="10"/>
        <v>8</v>
      </c>
      <c r="B9" s="216" t="s">
        <v>1320</v>
      </c>
      <c r="C9" s="208">
        <v>12</v>
      </c>
      <c r="D9" s="216">
        <v>45597</v>
      </c>
      <c r="E9" s="217">
        <f t="shared" si="0"/>
        <v>2024</v>
      </c>
      <c r="F9" s="260" t="s">
        <v>1313</v>
      </c>
      <c r="G9" s="208">
        <f t="shared" si="1"/>
        <v>30</v>
      </c>
      <c r="H9" s="218">
        <v>146.1</v>
      </c>
      <c r="I9" s="218">
        <v>167.5</v>
      </c>
      <c r="J9" s="219"/>
      <c r="K9" s="218"/>
      <c r="L9" s="208"/>
      <c r="M9" s="220">
        <v>17240.823729184125</v>
      </c>
      <c r="N9" s="214">
        <v>136.82</v>
      </c>
      <c r="O9" s="221">
        <f t="shared" si="2"/>
        <v>0.75230442128710895</v>
      </c>
      <c r="P9" s="219">
        <f t="shared" si="3"/>
        <v>5.583333333333333</v>
      </c>
      <c r="Q9" s="208">
        <f>COUNTIFS('Daily KPI'!$D:$D,D9,'Daily KPI'!$K:$K,"&gt;0")</f>
        <v>0</v>
      </c>
      <c r="R9" s="220">
        <f t="shared" si="4"/>
        <v>0</v>
      </c>
      <c r="S9" s="220">
        <f>SUMIF($F$2:F9,F9,$R$2:R9)</f>
        <v>0</v>
      </c>
      <c r="T9" s="219">
        <f t="shared" si="5"/>
        <v>574.6941243061375</v>
      </c>
      <c r="U9" s="220">
        <f t="shared" si="6"/>
        <v>0</v>
      </c>
      <c r="V9" s="220">
        <f>SUMIF($F$2:F9,F9,$U$2:U9)</f>
        <v>0</v>
      </c>
      <c r="W9" s="221">
        <f t="shared" si="7"/>
        <v>0.1750152646744316</v>
      </c>
      <c r="X9" s="221" t="str">
        <f t="shared" si="8"/>
        <v/>
      </c>
      <c r="Y9" s="221" t="str">
        <f t="shared" si="9"/>
        <v/>
      </c>
      <c r="Z9" s="219">
        <f>IFERROR(AVERAGEIF('Daily KPI'!D:D,Table14[[#This Row],[Month]],'Daily KPI'!AB:AB),0)</f>
        <v>0</v>
      </c>
      <c r="AA9" s="212">
        <f>IFERROR(AVERAGEIF($F$2:F9,F9,$Z$2:Z9),"")</f>
        <v>0</v>
      </c>
      <c r="AB9" s="220"/>
      <c r="AC9" s="219"/>
      <c r="AD9" s="219"/>
      <c r="AE9" s="215">
        <v>0.995</v>
      </c>
      <c r="AF9" s="215">
        <v>0.995</v>
      </c>
      <c r="AG9" s="221"/>
      <c r="AH9" s="221"/>
      <c r="AI9" s="221"/>
      <c r="AJ9" s="221"/>
      <c r="AK9" s="221"/>
      <c r="AL9" s="221"/>
      <c r="AM9" s="237">
        <f>SUMIF('Daily KPI'!$D:$D,$D9,'Daily KPI'!AS:AS)</f>
        <v>0</v>
      </c>
      <c r="AN9" s="237">
        <f>SUMIF($F$2:F9,F9,$AM$2:AM9)</f>
        <v>0</v>
      </c>
    </row>
    <row r="10" spans="1:44">
      <c r="A10" s="208">
        <f t="shared" si="10"/>
        <v>9</v>
      </c>
      <c r="B10" s="209" t="s">
        <v>1321</v>
      </c>
      <c r="C10" s="208">
        <v>2</v>
      </c>
      <c r="D10" s="209">
        <v>45627</v>
      </c>
      <c r="E10" s="210">
        <f>YEAR(D10)</f>
        <v>2024</v>
      </c>
      <c r="F10" s="260" t="s">
        <v>1313</v>
      </c>
      <c r="G10" s="211">
        <f>DAY(EOMONTH(D10,0))</f>
        <v>31</v>
      </c>
      <c r="H10" s="212">
        <v>140.30000000000001</v>
      </c>
      <c r="I10" s="212">
        <v>165.2</v>
      </c>
      <c r="J10" s="213"/>
      <c r="K10" s="212"/>
      <c r="L10" s="211"/>
      <c r="M10" s="214">
        <v>18551.291339325668</v>
      </c>
      <c r="N10" s="214">
        <v>136.82</v>
      </c>
      <c r="O10" s="215">
        <f t="shared" si="2"/>
        <v>0.82075685146342348</v>
      </c>
      <c r="P10" s="213">
        <f t="shared" si="3"/>
        <v>5.3290322580645162</v>
      </c>
      <c r="Q10" s="211">
        <f>COUNTIFS('Daily KPI'!$D:$D,D10,'Daily KPI'!$K:$K,"&gt;0")</f>
        <v>0</v>
      </c>
      <c r="R10" s="214">
        <f t="shared" si="4"/>
        <v>0</v>
      </c>
      <c r="S10" s="214">
        <f>SUMIF($F$2:F10,F10,$R$2:R10)</f>
        <v>0</v>
      </c>
      <c r="T10" s="213">
        <f t="shared" si="5"/>
        <v>598.4287528814732</v>
      </c>
      <c r="U10" s="214">
        <f t="shared" si="6"/>
        <v>0</v>
      </c>
      <c r="V10" s="214">
        <f>SUMIF($F$2:F10,F10,$U$2:U10)</f>
        <v>0</v>
      </c>
      <c r="W10" s="215">
        <f t="shared" si="7"/>
        <v>0.18224332239483543</v>
      </c>
      <c r="X10" s="215" t="str">
        <f t="shared" si="8"/>
        <v/>
      </c>
      <c r="Y10" s="215" t="str">
        <f t="shared" si="9"/>
        <v/>
      </c>
      <c r="Z10" s="213">
        <f>IFERROR(AVERAGEIF('Daily KPI'!D:D,Table14[[#This Row],[Month]],'Daily KPI'!AB:AB),0)</f>
        <v>0</v>
      </c>
      <c r="AA10" s="212">
        <f>IFERROR(AVERAGEIF($F$2:F10,F10,$Z$2:Z10),"")</f>
        <v>0</v>
      </c>
      <c r="AB10" s="214"/>
      <c r="AC10" s="213"/>
      <c r="AD10" s="213"/>
      <c r="AE10" s="215">
        <v>0.995</v>
      </c>
      <c r="AF10" s="215">
        <v>0.995</v>
      </c>
      <c r="AG10" s="215"/>
      <c r="AH10" s="215"/>
      <c r="AI10" s="215"/>
      <c r="AJ10" s="215"/>
      <c r="AK10" s="215"/>
      <c r="AL10" s="215"/>
      <c r="AM10" s="237">
        <f>SUMIF('Daily KPI'!$D:$D,$D10,'Daily KPI'!AS:AS)</f>
        <v>0</v>
      </c>
      <c r="AN10" s="237">
        <f>SUMIF($F$2:F10,F10,$AM$2:AM10)</f>
        <v>0</v>
      </c>
    </row>
    <row r="11" spans="1:44">
      <c r="A11" s="208">
        <f t="shared" si="10"/>
        <v>10</v>
      </c>
      <c r="B11" s="216" t="s">
        <v>1322</v>
      </c>
      <c r="C11" s="208">
        <v>3</v>
      </c>
      <c r="D11" s="216">
        <v>45658</v>
      </c>
      <c r="E11" s="217">
        <f>YEAR(D11)</f>
        <v>2025</v>
      </c>
      <c r="F11" s="260" t="s">
        <v>1313</v>
      </c>
      <c r="G11" s="208">
        <f>DAY(EOMONTH(D11,0))</f>
        <v>31</v>
      </c>
      <c r="H11" s="218">
        <v>147.30000000000001</v>
      </c>
      <c r="I11" s="218">
        <v>171</v>
      </c>
      <c r="J11" s="219"/>
      <c r="K11" s="218"/>
      <c r="L11" s="208"/>
      <c r="M11" s="220">
        <v>20347.6286237573</v>
      </c>
      <c r="N11" s="214">
        <v>136.82</v>
      </c>
      <c r="O11" s="221">
        <f t="shared" si="2"/>
        <v>0.86969726835178085</v>
      </c>
      <c r="P11" s="219">
        <f t="shared" si="3"/>
        <v>5.5161290322580649</v>
      </c>
      <c r="Q11" s="208">
        <f>COUNTIFS('Daily KPI'!$D:$D,D11,'Daily KPI'!$K:$K,"&gt;0")</f>
        <v>0</v>
      </c>
      <c r="R11" s="220">
        <f t="shared" si="4"/>
        <v>0</v>
      </c>
      <c r="S11" s="220">
        <f>SUMIF($F$2:F11,F11,$R$2:R11)</f>
        <v>0</v>
      </c>
      <c r="T11" s="219">
        <f t="shared" si="5"/>
        <v>656.37511689539679</v>
      </c>
      <c r="U11" s="220">
        <f t="shared" si="6"/>
        <v>0</v>
      </c>
      <c r="V11" s="220">
        <f>SUMIF($F$2:F11,F11,$U$2:U11)</f>
        <v>0</v>
      </c>
      <c r="W11" s="221">
        <f t="shared" si="7"/>
        <v>0.19989009796794963</v>
      </c>
      <c r="X11" s="221" t="str">
        <f t="shared" si="8"/>
        <v/>
      </c>
      <c r="Y11" s="221" t="str">
        <f t="shared" si="9"/>
        <v/>
      </c>
      <c r="Z11" s="219">
        <f>IFERROR(AVERAGEIF('Daily KPI'!D:D,Table14[[#This Row],[Month]],'Daily KPI'!AB:AB),0)</f>
        <v>0</v>
      </c>
      <c r="AA11" s="212">
        <f>IFERROR(AVERAGEIF($F$2:F11,F11,$Z$2:Z11),"")</f>
        <v>0</v>
      </c>
      <c r="AB11" s="220"/>
      <c r="AC11" s="219"/>
      <c r="AD11" s="219"/>
      <c r="AE11" s="215">
        <v>0.995</v>
      </c>
      <c r="AF11" s="215">
        <v>0.995</v>
      </c>
      <c r="AG11" s="221"/>
      <c r="AH11" s="221"/>
      <c r="AI11" s="221"/>
      <c r="AJ11" s="221"/>
      <c r="AK11" s="221"/>
      <c r="AL11" s="221"/>
      <c r="AM11" s="237">
        <f>SUMIF('Daily KPI'!$D:$D,$D11,'Daily KPI'!AS:AS)</f>
        <v>0</v>
      </c>
      <c r="AN11" s="237">
        <f>SUMIF($F$2:F11,F11,$AM$2:AM11)</f>
        <v>0</v>
      </c>
    </row>
    <row r="12" spans="1:44">
      <c r="A12" s="208">
        <f t="shared" si="10"/>
        <v>11</v>
      </c>
      <c r="B12" s="216" t="s">
        <v>1323</v>
      </c>
      <c r="C12" s="208">
        <v>4</v>
      </c>
      <c r="D12" s="216">
        <v>45689</v>
      </c>
      <c r="E12" s="217">
        <f t="shared" ref="E12:E13" si="11">YEAR(D12)</f>
        <v>2025</v>
      </c>
      <c r="F12" s="260" t="s">
        <v>1313</v>
      </c>
      <c r="G12" s="208">
        <f t="shared" ref="G12:G13" si="12">DAY(EOMONTH(D12,0))</f>
        <v>28</v>
      </c>
      <c r="H12" s="218">
        <v>157.69999999999999</v>
      </c>
      <c r="I12" s="218">
        <v>176.7</v>
      </c>
      <c r="J12" s="219"/>
      <c r="K12" s="218"/>
      <c r="L12" s="208"/>
      <c r="M12" s="220">
        <v>19824.225523084078</v>
      </c>
      <c r="N12" s="214">
        <v>136.82</v>
      </c>
      <c r="O12" s="221">
        <f t="shared" si="2"/>
        <v>0.81999290386131363</v>
      </c>
      <c r="P12" s="219">
        <f t="shared" si="3"/>
        <v>6.3107142857142851</v>
      </c>
      <c r="Q12" s="208">
        <f>COUNTIFS('Daily KPI'!$D:$D,D12,'Daily KPI'!$K:$K,"&gt;0")</f>
        <v>0</v>
      </c>
      <c r="R12" s="220">
        <f t="shared" si="4"/>
        <v>0</v>
      </c>
      <c r="S12" s="220">
        <f>SUMIF($F$2:F12,F12,$R$2:R12)</f>
        <v>0</v>
      </c>
      <c r="T12" s="219">
        <f t="shared" si="5"/>
        <v>708.00805439585997</v>
      </c>
      <c r="U12" s="220">
        <f t="shared" si="6"/>
        <v>0</v>
      </c>
      <c r="V12" s="220">
        <f>SUMIF($F$2:F25,F12,$U$2:U25)</f>
        <v>2303.1033926514156</v>
      </c>
      <c r="W12" s="221">
        <f t="shared" si="7"/>
        <v>0.21561420552424718</v>
      </c>
      <c r="X12" s="221" t="str">
        <f t="shared" si="8"/>
        <v/>
      </c>
      <c r="Y12" s="221" t="str">
        <f t="shared" si="9"/>
        <v/>
      </c>
      <c r="Z12" s="219">
        <f>IFERROR(AVERAGEIF('Daily KPI'!D:D,Table14[[#This Row],[Month]],'Daily KPI'!AB:AB),0)</f>
        <v>0</v>
      </c>
      <c r="AA12" s="212">
        <f>IFERROR(AVERAGEIF($F$2:F12,F12,$Z$2:Z12),"")</f>
        <v>0</v>
      </c>
      <c r="AB12" s="220"/>
      <c r="AC12" s="219"/>
      <c r="AD12" s="219"/>
      <c r="AE12" s="215">
        <v>0.995</v>
      </c>
      <c r="AF12" s="215">
        <v>0.995</v>
      </c>
      <c r="AG12" s="221"/>
      <c r="AH12" s="221"/>
      <c r="AI12" s="221"/>
      <c r="AJ12" s="221"/>
      <c r="AK12" s="221"/>
      <c r="AL12" s="221"/>
      <c r="AM12" s="237">
        <f>SUMIF('Daily KPI'!$D:$D,$D12,'Daily KPI'!AS:AS)</f>
        <v>0</v>
      </c>
      <c r="AN12" s="237">
        <f>SUMIF($F$2:F12,F12,$AM$2:AM12)</f>
        <v>0</v>
      </c>
    </row>
    <row r="13" spans="1:44">
      <c r="A13" s="208">
        <f t="shared" si="10"/>
        <v>12</v>
      </c>
      <c r="B13" s="216" t="s">
        <v>1324</v>
      </c>
      <c r="C13" s="208">
        <v>5</v>
      </c>
      <c r="D13" s="216">
        <v>45717</v>
      </c>
      <c r="E13" s="217">
        <f t="shared" si="11"/>
        <v>2025</v>
      </c>
      <c r="F13" s="260" t="s">
        <v>1313</v>
      </c>
      <c r="G13" s="208">
        <f t="shared" si="12"/>
        <v>31</v>
      </c>
      <c r="H13" s="218">
        <v>201.5</v>
      </c>
      <c r="I13" s="218">
        <v>214.6</v>
      </c>
      <c r="J13" s="219"/>
      <c r="K13" s="218"/>
      <c r="L13" s="208"/>
      <c r="M13" s="220">
        <v>23798.73505739796</v>
      </c>
      <c r="N13" s="214">
        <v>136.82</v>
      </c>
      <c r="O13" s="221">
        <f t="shared" si="2"/>
        <v>0.81054022098673606</v>
      </c>
      <c r="P13" s="219">
        <f t="shared" si="3"/>
        <v>6.9225806451612906</v>
      </c>
      <c r="Q13" s="208">
        <f>COUNTIFS('Daily KPI'!$D:$D,D13,'Daily KPI'!$K:$K,"&gt;0")</f>
        <v>3</v>
      </c>
      <c r="R13" s="220">
        <f t="shared" si="4"/>
        <v>20.767741935483873</v>
      </c>
      <c r="S13" s="220">
        <f>SUMIF($F$2:F25,F13,$R$2:R25)</f>
        <v>20.767741935483873</v>
      </c>
      <c r="T13" s="219">
        <f t="shared" si="5"/>
        <v>767.70113088380515</v>
      </c>
      <c r="U13" s="220">
        <f t="shared" si="6"/>
        <v>2303.1033926514156</v>
      </c>
      <c r="V13" s="220">
        <f>SUMIF($F$2:F25,F13,$U$2:U25)</f>
        <v>2303.1033926514156</v>
      </c>
      <c r="W13" s="221">
        <f t="shared" si="7"/>
        <v>0.23379291858031392</v>
      </c>
      <c r="X13" s="221">
        <f t="shared" si="8"/>
        <v>0.23379291858031392</v>
      </c>
      <c r="Y13" s="221">
        <f t="shared" si="9"/>
        <v>0.23379291858031392</v>
      </c>
      <c r="Z13" s="219">
        <f>IFERROR(AVERAGEIF('Daily KPI'!D:D,Table14[[#This Row],[Month]],'Daily KPI'!AB:AB),0)</f>
        <v>97</v>
      </c>
      <c r="AA13" s="212">
        <f>IFERROR(AVERAGEIF($F$2:F13,F13,$Z$2:Z13),"")</f>
        <v>8.0833333333333339</v>
      </c>
      <c r="AB13" s="220"/>
      <c r="AC13" s="219"/>
      <c r="AD13" s="219"/>
      <c r="AE13" s="215">
        <v>0.995</v>
      </c>
      <c r="AF13" s="215">
        <v>0.995</v>
      </c>
      <c r="AG13" s="221"/>
      <c r="AH13" s="221"/>
      <c r="AI13" s="221"/>
      <c r="AJ13" s="221"/>
      <c r="AK13" s="221"/>
      <c r="AL13" s="221"/>
      <c r="AM13" s="237">
        <f>SUMIF('Daily KPI'!$D:$D,$D13,'Daily KPI'!AS:AS)</f>
        <v>1632809.7433649122</v>
      </c>
      <c r="AN13" s="237">
        <f>SUMIF($F$2:F13,F13,$AM$2:AM13)</f>
        <v>1632809.7433649122</v>
      </c>
    </row>
    <row r="14" spans="1:44">
      <c r="A14" s="208">
        <f t="shared" si="10"/>
        <v>13</v>
      </c>
      <c r="B14" s="216" t="str">
        <f>B2</f>
        <v>April</v>
      </c>
      <c r="C14" s="208">
        <f>C2</f>
        <v>5</v>
      </c>
      <c r="D14" s="216">
        <v>45748</v>
      </c>
      <c r="E14" s="217">
        <f t="shared" ref="E14:E16" si="13">YEAR(D14)</f>
        <v>2025</v>
      </c>
      <c r="F14" s="260" t="s">
        <v>1325</v>
      </c>
      <c r="G14" s="208">
        <f t="shared" ref="G14:G16" si="14">DAY(EOMONTH(D14,0))</f>
        <v>30</v>
      </c>
      <c r="H14" s="218">
        <f>H2</f>
        <v>211.4</v>
      </c>
      <c r="I14" s="218">
        <f>I2</f>
        <v>214.2</v>
      </c>
      <c r="J14" s="219"/>
      <c r="K14" s="218"/>
      <c r="L14" s="208"/>
      <c r="M14" s="220">
        <v>21288.830610900219</v>
      </c>
      <c r="N14" s="214">
        <v>130</v>
      </c>
      <c r="O14" s="221">
        <f t="shared" ref="O14:O16" si="15">IFERROR(M14/I14/N14,"")</f>
        <v>0.76452024028227472</v>
      </c>
      <c r="P14" s="219">
        <f t="shared" ref="P14:P16" si="16">IFERROR(I14/G14,"")</f>
        <v>7.14</v>
      </c>
      <c r="Q14" s="208">
        <f>COUNTIFS('Daily KPI'!$D:$D,D14,'Daily KPI'!$K:$K,"&gt;0")</f>
        <v>30</v>
      </c>
      <c r="R14" s="220">
        <f t="shared" ref="R14:R16" si="17">I14/G14*Q14</f>
        <v>214.2</v>
      </c>
      <c r="S14" s="220">
        <f>SUMIF($F$2:F14,F14,$R$2:R14)</f>
        <v>214.2</v>
      </c>
      <c r="T14" s="220">
        <f>M14/G14</f>
        <v>709.62768703000734</v>
      </c>
      <c r="U14" s="220">
        <f>M14/G14*Q14</f>
        <v>21288.830610900219</v>
      </c>
      <c r="V14" s="220">
        <f>SUMIF($F$2:F14,F14,$U$2:U14)</f>
        <v>21288.830610900219</v>
      </c>
      <c r="W14" s="221">
        <f>IFERROR(T14/(24*N14),"")</f>
        <v>0.22744477148397671</v>
      </c>
      <c r="X14" s="221">
        <f t="shared" si="8"/>
        <v>0.22744477148397671</v>
      </c>
      <c r="Y14" s="221">
        <f t="shared" si="9"/>
        <v>0.22744477148397671</v>
      </c>
      <c r="Z14" s="219">
        <f>IFERROR(AVERAGEIF('Daily KPI'!D:D,Table14[[#This Row],[Month]],'Daily KPI'!AB:AB),0)</f>
        <v>103.26666666666667</v>
      </c>
      <c r="AA14" s="212">
        <f>IFERROR(AVERAGEIF($F$2:F14,F14,$Z$2:Z14),"")</f>
        <v>103.26666666666667</v>
      </c>
      <c r="AB14" s="220"/>
      <c r="AC14" s="219"/>
      <c r="AD14" s="219"/>
      <c r="AE14" s="215">
        <v>0.995</v>
      </c>
      <c r="AF14" s="215">
        <v>0.995</v>
      </c>
      <c r="AG14" s="221"/>
      <c r="AH14" s="221"/>
      <c r="AI14" s="221"/>
      <c r="AJ14" s="221"/>
      <c r="AK14" s="221"/>
      <c r="AL14" s="221"/>
      <c r="AM14" s="237">
        <f>SUMIF('Daily KPI'!$D:$D,$D14,'Daily KPI'!AS:AS)</f>
        <v>16910973.649376631</v>
      </c>
      <c r="AN14" s="237">
        <f>SUMIF($F$2:F14,F14,$AM$2:AM14)</f>
        <v>16910973.649376631</v>
      </c>
    </row>
    <row r="15" spans="1:44">
      <c r="A15" s="208">
        <f t="shared" si="10"/>
        <v>14</v>
      </c>
      <c r="B15" s="216" t="str">
        <f t="shared" ref="B15:C25" si="18">B3</f>
        <v>May</v>
      </c>
      <c r="C15" s="208">
        <f t="shared" si="18"/>
        <v>6</v>
      </c>
      <c r="D15" s="216">
        <v>45778</v>
      </c>
      <c r="E15" s="217">
        <f t="shared" si="13"/>
        <v>2025</v>
      </c>
      <c r="F15" s="260" t="s">
        <v>1325</v>
      </c>
      <c r="G15" s="208">
        <f t="shared" si="14"/>
        <v>31</v>
      </c>
      <c r="H15" s="218">
        <f t="shared" ref="H15:I15" si="19">H3</f>
        <v>219.5</v>
      </c>
      <c r="I15" s="218">
        <f t="shared" si="19"/>
        <v>213.6</v>
      </c>
      <c r="J15" s="219"/>
      <c r="K15" s="218"/>
      <c r="L15" s="208"/>
      <c r="M15" s="220">
        <v>22397.613143379167</v>
      </c>
      <c r="N15" s="214">
        <v>130</v>
      </c>
      <c r="O15" s="221">
        <f t="shared" si="15"/>
        <v>0.806597995656121</v>
      </c>
      <c r="P15" s="219">
        <f t="shared" si="16"/>
        <v>6.8903225806451607</v>
      </c>
      <c r="Q15" s="208">
        <f>COUNTIFS('Daily KPI'!$D:$D,D15,'Daily KPI'!$K:$K,"&gt;0")</f>
        <v>31</v>
      </c>
      <c r="R15" s="220">
        <f t="shared" si="17"/>
        <v>213.6</v>
      </c>
      <c r="S15" s="220">
        <f>SUMIF($F$2:F15,F15,$R$2:R15)</f>
        <v>427.79999999999995</v>
      </c>
      <c r="T15" s="219">
        <f t="shared" ref="T15:T16" si="20">M15/G15</f>
        <v>722.50364978642472</v>
      </c>
      <c r="U15" s="220">
        <f t="shared" ref="U15:U16" si="21">M15/G15*Q15</f>
        <v>22397.613143379167</v>
      </c>
      <c r="V15" s="220">
        <f>SUMIF($F$2:F15,F15,$U$2:U15)</f>
        <v>43686.443754279389</v>
      </c>
      <c r="W15" s="221">
        <f t="shared" ref="W15:W16" si="22">IFERROR(T15/(24*N15),"")</f>
        <v>0.23157168262385408</v>
      </c>
      <c r="X15" s="221">
        <f t="shared" si="8"/>
        <v>0.23157168262385408</v>
      </c>
      <c r="Y15" s="221">
        <f t="shared" si="9"/>
        <v>0.22954205419440621</v>
      </c>
      <c r="Z15" s="219">
        <f>IFERROR(AVERAGEIF('Daily KPI'!D:D,Table14[[#This Row],[Month]],'Daily KPI'!AB:AB),0)</f>
        <v>113.89999999999996</v>
      </c>
      <c r="AA15" s="212">
        <f>IFERROR(AVERAGEIF($F$2:F15,F15,$Z$2:Z15),"")</f>
        <v>108.58333333333331</v>
      </c>
      <c r="AB15" s="220"/>
      <c r="AC15" s="219"/>
      <c r="AD15" s="219"/>
      <c r="AE15" s="215">
        <v>0.995</v>
      </c>
      <c r="AF15" s="215">
        <v>0.995</v>
      </c>
      <c r="AG15" s="221"/>
      <c r="AH15" s="221"/>
      <c r="AI15" s="221"/>
      <c r="AJ15" s="221"/>
      <c r="AK15" s="221"/>
      <c r="AL15" s="221"/>
      <c r="AM15" s="237">
        <f>SUMIF('Daily KPI'!$D:$D,$D15,'Daily KPI'!AS:AS)</f>
        <v>19623754.900237598</v>
      </c>
      <c r="AN15" s="237">
        <f>SUMIF($F$2:F15,F15,$AM$2:AM15)</f>
        <v>36534728.549614228</v>
      </c>
    </row>
    <row r="16" spans="1:44">
      <c r="A16" s="208">
        <f t="shared" si="10"/>
        <v>15</v>
      </c>
      <c r="B16" s="216" t="str">
        <f t="shared" si="18"/>
        <v>June</v>
      </c>
      <c r="C16" s="208">
        <f t="shared" si="18"/>
        <v>7</v>
      </c>
      <c r="D16" s="216">
        <v>45809</v>
      </c>
      <c r="E16" s="217">
        <f t="shared" si="13"/>
        <v>2025</v>
      </c>
      <c r="F16" s="260" t="s">
        <v>1325</v>
      </c>
      <c r="G16" s="208">
        <f t="shared" si="14"/>
        <v>30</v>
      </c>
      <c r="H16" s="218">
        <f t="shared" ref="H16:I16" si="23">H4</f>
        <v>155.19999999999999</v>
      </c>
      <c r="I16" s="218">
        <f t="shared" si="23"/>
        <v>149.1</v>
      </c>
      <c r="J16" s="219"/>
      <c r="K16" s="218"/>
      <c r="L16" s="208"/>
      <c r="M16" s="220">
        <v>16321.490274764539</v>
      </c>
      <c r="N16" s="214">
        <v>130</v>
      </c>
      <c r="O16" s="221">
        <f t="shared" si="15"/>
        <v>0.84205181214283342</v>
      </c>
      <c r="P16" s="219">
        <f t="shared" si="16"/>
        <v>4.97</v>
      </c>
      <c r="Q16" s="208">
        <f>COUNTIFS('Daily KPI'!$D:$D,D16,'Daily KPI'!$K:$K,"&gt;0")</f>
        <v>30</v>
      </c>
      <c r="R16" s="220">
        <f t="shared" si="17"/>
        <v>149.1</v>
      </c>
      <c r="S16" s="220">
        <f>SUMIF($F$2:F25,F16,$R$2:R25)</f>
        <v>656.63225806451612</v>
      </c>
      <c r="T16" s="219">
        <f t="shared" si="20"/>
        <v>544.04967582548466</v>
      </c>
      <c r="U16" s="220">
        <f t="shared" si="21"/>
        <v>16321.490274764539</v>
      </c>
      <c r="V16" s="220">
        <f>SUMIF($F$2:F25,F16,$U$2:U25)</f>
        <v>68850.232222754159</v>
      </c>
      <c r="W16" s="221">
        <f t="shared" si="22"/>
        <v>0.17437489609791174</v>
      </c>
      <c r="X16" s="221">
        <f t="shared" si="8"/>
        <v>0.17437489609791174</v>
      </c>
      <c r="Y16" s="221">
        <f t="shared" si="9"/>
        <v>0.24249870464480897</v>
      </c>
      <c r="Z16" s="219">
        <f>IFERROR(AVERAGEIF('Daily KPI'!D:D,Table14[[#This Row],[Month]],'Daily KPI'!AB:AB),0)</f>
        <v>123.42933333333333</v>
      </c>
      <c r="AA16" s="212">
        <f>IFERROR(AVERAGEIF($F$2:F16,F16,$Z$2:Z16),"")</f>
        <v>113.53199999999998</v>
      </c>
      <c r="AB16" s="220"/>
      <c r="AC16" s="219"/>
      <c r="AD16" s="219"/>
      <c r="AE16" s="215">
        <v>0.995</v>
      </c>
      <c r="AF16" s="215">
        <v>0.995</v>
      </c>
      <c r="AG16" s="221"/>
      <c r="AH16" s="221"/>
      <c r="AI16" s="221"/>
      <c r="AJ16" s="221"/>
      <c r="AK16" s="221"/>
      <c r="AL16" s="221"/>
      <c r="AM16" s="237">
        <f>SUMIF('Daily KPI'!$D:$D,$D16,'Daily KPI'!AS:AS)</f>
        <v>15496543.566312855</v>
      </c>
      <c r="AN16" s="237">
        <f>SUMIF($F$2:F16,F16,$AM$2:AM16)</f>
        <v>52031272.115927085</v>
      </c>
    </row>
    <row r="17" spans="1:40">
      <c r="A17" s="208">
        <f t="shared" si="10"/>
        <v>16</v>
      </c>
      <c r="B17" s="216" t="str">
        <f t="shared" si="18"/>
        <v>July</v>
      </c>
      <c r="C17" s="208">
        <f t="shared" si="18"/>
        <v>8</v>
      </c>
      <c r="D17" s="216">
        <v>45839</v>
      </c>
      <c r="E17" s="217">
        <f t="shared" ref="E17:E19" si="24">YEAR(D17)</f>
        <v>2025</v>
      </c>
      <c r="F17" s="260" t="s">
        <v>1325</v>
      </c>
      <c r="G17" s="208">
        <f t="shared" ref="G17:G19" si="25">DAY(EOMONTH(D17,0))</f>
        <v>31</v>
      </c>
      <c r="H17" s="218">
        <f t="shared" ref="H17:I17" si="26">H5</f>
        <v>121.5</v>
      </c>
      <c r="I17" s="218">
        <f t="shared" si="26"/>
        <v>117.7</v>
      </c>
      <c r="J17" s="219"/>
      <c r="K17" s="218"/>
      <c r="L17" s="208"/>
      <c r="M17" s="220">
        <v>13052.916381191299</v>
      </c>
      <c r="N17" s="214">
        <v>130</v>
      </c>
      <c r="O17" s="221">
        <f t="shared" ref="O17:O19" si="27">IFERROR(M17/I17/N17,"")</f>
        <v>0.85307603301688106</v>
      </c>
      <c r="P17" s="219">
        <f t="shared" ref="P17:P19" si="28">IFERROR(I17/G17,"")</f>
        <v>3.7967741935483872</v>
      </c>
      <c r="Q17" s="208">
        <f>COUNTIFS('Daily KPI'!$D:$D,D17,'Daily KPI'!$K:$K,"&gt;0")</f>
        <v>21</v>
      </c>
      <c r="R17" s="220">
        <f t="shared" ref="R17:R19" si="29">I17/G17*Q17</f>
        <v>79.732258064516131</v>
      </c>
      <c r="S17" s="220">
        <f>SUMIF($F$2:F17,F17,$R$2:R17)</f>
        <v>656.63225806451612</v>
      </c>
      <c r="T17" s="219">
        <f t="shared" ref="T17:T19" si="30">M17/G17</f>
        <v>421.06181874810642</v>
      </c>
      <c r="U17" s="220">
        <f t="shared" ref="U17:U19" si="31">M17/G17*Q17</f>
        <v>8842.298193710234</v>
      </c>
      <c r="V17" s="220">
        <f>SUMIF($F$2:F17,F17,$U$2:U17)</f>
        <v>68850.232222754159</v>
      </c>
      <c r="W17" s="221">
        <f t="shared" ref="W17:W19" si="32">IFERROR(T17/(24*N17),"")</f>
        <v>0.13495571113721361</v>
      </c>
      <c r="X17" s="221">
        <f t="shared" si="8"/>
        <v>0.13495571113721358</v>
      </c>
      <c r="Y17" s="221">
        <f t="shared" si="9"/>
        <v>0.19703019752390727</v>
      </c>
      <c r="Z17" s="219">
        <f>IFERROR(AVERAGEIF('Daily KPI'!D:D,Table14[[#This Row],[Month]],'Daily KPI'!AB:AB),0)</f>
        <v>86.763870967741909</v>
      </c>
      <c r="AA17" s="212">
        <f>IFERROR(AVERAGEIF($F$2:F17,F17,$Z$2:Z17),"")</f>
        <v>106.83996774193547</v>
      </c>
      <c r="AB17" s="220"/>
      <c r="AC17" s="219"/>
      <c r="AD17" s="219"/>
      <c r="AE17" s="215">
        <v>0.995</v>
      </c>
      <c r="AF17" s="215">
        <v>0.995</v>
      </c>
      <c r="AG17" s="221"/>
      <c r="AH17" s="221"/>
      <c r="AI17" s="221"/>
      <c r="AJ17" s="221"/>
      <c r="AK17" s="221"/>
      <c r="AL17" s="221"/>
      <c r="AM17" s="237">
        <f>SUMIF('Daily KPI'!$D:$D,$D17,'Daily KPI'!AS:AS)</f>
        <v>8711704.2511569783</v>
      </c>
      <c r="AN17" s="237">
        <f>SUMIF($F$2:F17,F17,$AM$2:AM17)</f>
        <v>60742976.367084064</v>
      </c>
    </row>
    <row r="18" spans="1:40">
      <c r="A18" s="208">
        <f t="shared" si="10"/>
        <v>17</v>
      </c>
      <c r="B18" s="216" t="str">
        <f t="shared" si="18"/>
        <v>August</v>
      </c>
      <c r="C18" s="208">
        <f t="shared" si="18"/>
        <v>9</v>
      </c>
      <c r="D18" s="216">
        <v>45870</v>
      </c>
      <c r="E18" s="217">
        <f t="shared" si="24"/>
        <v>2025</v>
      </c>
      <c r="F18" s="260" t="s">
        <v>1325</v>
      </c>
      <c r="G18" s="208">
        <f t="shared" si="25"/>
        <v>31</v>
      </c>
      <c r="H18" s="218">
        <f t="shared" ref="H18:I18" si="33">H6</f>
        <v>124.7</v>
      </c>
      <c r="I18" s="218">
        <f t="shared" si="33"/>
        <v>123.5</v>
      </c>
      <c r="J18" s="219"/>
      <c r="K18" s="218"/>
      <c r="L18" s="208"/>
      <c r="M18" s="220">
        <v>13717.566878477022</v>
      </c>
      <c r="N18" s="214">
        <v>130</v>
      </c>
      <c r="O18" s="221">
        <f t="shared" si="27"/>
        <v>0.85441089246197577</v>
      </c>
      <c r="P18" s="219">
        <f t="shared" si="28"/>
        <v>3.9838709677419355</v>
      </c>
      <c r="Q18" s="208">
        <f>COUNTIFS('Daily KPI'!$D:$D,D18,'Daily KPI'!$K:$K,"&gt;0")</f>
        <v>0</v>
      </c>
      <c r="R18" s="220">
        <f t="shared" si="29"/>
        <v>0</v>
      </c>
      <c r="S18" s="220">
        <f>SUMIF($F$2:F18,F18,$R$2:R18)</f>
        <v>656.63225806451612</v>
      </c>
      <c r="T18" s="219">
        <f t="shared" si="30"/>
        <v>442.50215737022654</v>
      </c>
      <c r="U18" s="220">
        <f t="shared" si="31"/>
        <v>0</v>
      </c>
      <c r="V18" s="220">
        <f>SUMIF($F$2:F18,F18,$U$2:U18)</f>
        <v>68850.232222754159</v>
      </c>
      <c r="W18" s="221">
        <f t="shared" si="32"/>
        <v>0.14182761454173928</v>
      </c>
      <c r="X18" s="221" t="str">
        <f t="shared" si="8"/>
        <v/>
      </c>
      <c r="Y18" s="221">
        <f t="shared" si="9"/>
        <v>0.19703019752390727</v>
      </c>
      <c r="Z18" s="219">
        <f>IFERROR(AVERAGEIF('Daily KPI'!D:D,Table14[[#This Row],[Month]],'Daily KPI'!AB:AB),0)</f>
        <v>0</v>
      </c>
      <c r="AA18" s="212">
        <f>IFERROR(AVERAGEIF($F$2:F18,F18,$Z$2:Z18),"")</f>
        <v>85.471974193548377</v>
      </c>
      <c r="AB18" s="220"/>
      <c r="AC18" s="219"/>
      <c r="AD18" s="219"/>
      <c r="AE18" s="215">
        <v>0.995</v>
      </c>
      <c r="AF18" s="215">
        <v>0.995</v>
      </c>
      <c r="AG18" s="221"/>
      <c r="AH18" s="221"/>
      <c r="AI18" s="221"/>
      <c r="AJ18" s="221"/>
      <c r="AK18" s="221"/>
      <c r="AL18" s="221"/>
      <c r="AM18" s="237">
        <f>SUMIF('Daily KPI'!$D:$D,$D18,'Daily KPI'!AS:AS)</f>
        <v>0</v>
      </c>
      <c r="AN18" s="237">
        <f>SUMIF($F$2:F18,F18,$AM$2:AM18)</f>
        <v>60742976.367084064</v>
      </c>
    </row>
    <row r="19" spans="1:40">
      <c r="A19" s="208">
        <f t="shared" si="10"/>
        <v>18</v>
      </c>
      <c r="B19" s="216" t="str">
        <f t="shared" si="18"/>
        <v>September</v>
      </c>
      <c r="C19" s="208">
        <f t="shared" si="18"/>
        <v>10</v>
      </c>
      <c r="D19" s="216">
        <v>45901</v>
      </c>
      <c r="E19" s="217">
        <f t="shared" si="24"/>
        <v>2025</v>
      </c>
      <c r="F19" s="260" t="s">
        <v>1325</v>
      </c>
      <c r="G19" s="208">
        <f t="shared" si="25"/>
        <v>30</v>
      </c>
      <c r="H19" s="218">
        <f t="shared" ref="H19:I19" si="34">H7</f>
        <v>146.30000000000001</v>
      </c>
      <c r="I19" s="218">
        <f t="shared" si="34"/>
        <v>150.5</v>
      </c>
      <c r="J19" s="219"/>
      <c r="K19" s="218"/>
      <c r="L19" s="208"/>
      <c r="M19" s="220">
        <v>16496.079732519654</v>
      </c>
      <c r="N19" s="214">
        <v>130</v>
      </c>
      <c r="O19" s="221">
        <f t="shared" si="27"/>
        <v>0.84314233235469738</v>
      </c>
      <c r="P19" s="219">
        <f t="shared" si="28"/>
        <v>5.0166666666666666</v>
      </c>
      <c r="Q19" s="208">
        <f>COUNTIFS('Daily KPI'!$D:$D,D19,'Daily KPI'!$K:$K,"&gt;0")</f>
        <v>0</v>
      </c>
      <c r="R19" s="220">
        <f t="shared" si="29"/>
        <v>0</v>
      </c>
      <c r="S19" s="220">
        <f>SUMIF($F$2:F25,F19,$R$2:R25)</f>
        <v>656.63225806451612</v>
      </c>
      <c r="T19" s="219">
        <f t="shared" si="30"/>
        <v>549.86932441732176</v>
      </c>
      <c r="U19" s="220">
        <f t="shared" si="31"/>
        <v>0</v>
      </c>
      <c r="V19" s="220">
        <f>SUMIF($F$2:F25,F19,$U$2:U25)</f>
        <v>68850.232222754159</v>
      </c>
      <c r="W19" s="221">
        <f t="shared" si="32"/>
        <v>0.17624016808247492</v>
      </c>
      <c r="X19" s="221" t="str">
        <f t="shared" si="8"/>
        <v/>
      </c>
      <c r="Y19" s="221">
        <f t="shared" si="9"/>
        <v>0.19703019752390727</v>
      </c>
      <c r="Z19" s="219">
        <f>IFERROR(AVERAGEIF('Daily KPI'!D:D,Table14[[#This Row],[Month]],'Daily KPI'!AB:AB),0)</f>
        <v>0</v>
      </c>
      <c r="AA19" s="212">
        <f>IFERROR(AVERAGEIF($F$2:F19,F19,$Z$2:Z19),"")</f>
        <v>71.226645161290307</v>
      </c>
      <c r="AB19" s="220"/>
      <c r="AC19" s="219"/>
      <c r="AD19" s="219"/>
      <c r="AE19" s="215">
        <v>0.995</v>
      </c>
      <c r="AF19" s="215">
        <v>0.995</v>
      </c>
      <c r="AG19" s="221"/>
      <c r="AH19" s="221"/>
      <c r="AI19" s="221"/>
      <c r="AJ19" s="221"/>
      <c r="AK19" s="221"/>
      <c r="AL19" s="221"/>
      <c r="AM19" s="237">
        <f>SUMIF('Daily KPI'!$D:$D,$D19,'Daily KPI'!AS:AS)</f>
        <v>0</v>
      </c>
      <c r="AN19" s="237">
        <f>SUMIF($F$2:F19,F19,$AM$2:AM19)</f>
        <v>60742976.367084064</v>
      </c>
    </row>
    <row r="20" spans="1:40">
      <c r="A20" s="208">
        <f t="shared" si="10"/>
        <v>19</v>
      </c>
      <c r="B20" s="216" t="str">
        <f>B8</f>
        <v>October</v>
      </c>
      <c r="C20" s="208">
        <f t="shared" ref="C20:C25" si="35">C8</f>
        <v>11</v>
      </c>
      <c r="D20" s="216">
        <v>45931</v>
      </c>
      <c r="E20" s="217">
        <f t="shared" ref="E20:E25" si="36">YEAR(D20)</f>
        <v>2025</v>
      </c>
      <c r="F20" s="260" t="s">
        <v>1325</v>
      </c>
      <c r="G20" s="208">
        <f t="shared" ref="G20:G25" si="37">DAY(EOMONTH(D20,0))</f>
        <v>31</v>
      </c>
      <c r="H20" s="218">
        <f t="shared" ref="H20:I20" si="38">H8</f>
        <v>165.6</v>
      </c>
      <c r="I20" s="218">
        <f t="shared" si="38"/>
        <v>180.6</v>
      </c>
      <c r="J20" s="219"/>
      <c r="K20" s="218"/>
      <c r="L20" s="208"/>
      <c r="M20" s="220">
        <v>19695.672558805851</v>
      </c>
      <c r="N20" s="214">
        <v>130</v>
      </c>
      <c r="O20" s="221">
        <f t="shared" ref="O20:O25" si="39">IFERROR(M20/I20/N20,"")</f>
        <v>0.83889907823519261</v>
      </c>
      <c r="P20" s="219">
        <f t="shared" ref="P20:P25" si="40">IFERROR(I20/G20,"")</f>
        <v>5.8258064516129027</v>
      </c>
      <c r="Q20" s="208">
        <f>COUNTIFS('Daily KPI'!$D:$D,D20,'Daily KPI'!$K:$K,"&gt;0")</f>
        <v>0</v>
      </c>
      <c r="R20" s="220">
        <f t="shared" ref="R20:R25" si="41">I20/G20*Q20</f>
        <v>0</v>
      </c>
      <c r="S20" s="220">
        <f>SUMIF($F$2:F20,F20,$R$2:R20)</f>
        <v>656.63225806451612</v>
      </c>
      <c r="T20" s="219">
        <f t="shared" ref="T20:T25" si="42">M20/G20</f>
        <v>635.34427609051136</v>
      </c>
      <c r="U20" s="220">
        <f t="shared" ref="U20:U25" si="43">M20/G20*Q20</f>
        <v>0</v>
      </c>
      <c r="V20" s="220">
        <f>SUMIF($F$2:F20,F20,$U$2:U20)</f>
        <v>68850.232222754159</v>
      </c>
      <c r="W20" s="221">
        <f t="shared" ref="W20:W25" si="44">IFERROR(T20/(24*N20),"")</f>
        <v>0.20363598592644594</v>
      </c>
      <c r="X20" s="221" t="str">
        <f t="shared" si="8"/>
        <v/>
      </c>
      <c r="Y20" s="221">
        <f t="shared" ref="Y20:Y25" si="45">IFERROR(V20/(24*N20*SUMIFS($Q:$Q,$F:$F,$F20,$D:$D,"&lt;="&amp;D20)),"")</f>
        <v>0.19703019752390727</v>
      </c>
      <c r="Z20" s="219">
        <f>IFERROR(AVERAGEIF('Daily KPI'!D:D,Table14[[#This Row],[Month]],'Daily KPI'!AB:AB),0)</f>
        <v>0</v>
      </c>
      <c r="AA20" s="212">
        <f>IFERROR(AVERAGEIF($F$2:F20,F20,$Z$2:Z20),"")</f>
        <v>61.051410138248841</v>
      </c>
      <c r="AB20" s="220"/>
      <c r="AC20" s="219"/>
      <c r="AD20" s="219"/>
      <c r="AE20" s="215">
        <v>0.995</v>
      </c>
      <c r="AF20" s="215">
        <v>0.995</v>
      </c>
      <c r="AG20" s="221"/>
      <c r="AH20" s="221"/>
      <c r="AI20" s="221"/>
      <c r="AJ20" s="221"/>
      <c r="AK20" s="221"/>
      <c r="AL20" s="221"/>
      <c r="AM20" s="237">
        <f>SUMIF('Daily KPI'!$D:$D,$D20,'Daily KPI'!AS:AS)</f>
        <v>0</v>
      </c>
      <c r="AN20" s="237">
        <f>SUMIF($F$2:F20,F20,$AM$2:AM20)</f>
        <v>60742976.367084064</v>
      </c>
    </row>
    <row r="21" spans="1:40">
      <c r="A21" s="208">
        <f t="shared" si="10"/>
        <v>20</v>
      </c>
      <c r="B21" s="216" t="str">
        <f t="shared" si="18"/>
        <v>November</v>
      </c>
      <c r="C21" s="208">
        <f t="shared" si="35"/>
        <v>12</v>
      </c>
      <c r="D21" s="216">
        <v>45962</v>
      </c>
      <c r="E21" s="217">
        <f t="shared" si="36"/>
        <v>2025</v>
      </c>
      <c r="F21" s="260" t="s">
        <v>1325</v>
      </c>
      <c r="G21" s="208">
        <f t="shared" si="37"/>
        <v>30</v>
      </c>
      <c r="H21" s="218">
        <f t="shared" ref="H21:I21" si="46">H9</f>
        <v>146.1</v>
      </c>
      <c r="I21" s="218">
        <f t="shared" si="46"/>
        <v>167.5</v>
      </c>
      <c r="J21" s="219"/>
      <c r="K21" s="218"/>
      <c r="L21" s="208"/>
      <c r="M21" s="220">
        <v>18545.39626237359</v>
      </c>
      <c r="N21" s="214">
        <v>130</v>
      </c>
      <c r="O21" s="221">
        <f t="shared" si="39"/>
        <v>0.85168295119970561</v>
      </c>
      <c r="P21" s="219">
        <f t="shared" si="40"/>
        <v>5.583333333333333</v>
      </c>
      <c r="Q21" s="208">
        <f>COUNTIFS('Daily KPI'!$D:$D,D21,'Daily KPI'!$K:$K,"&gt;0")</f>
        <v>0</v>
      </c>
      <c r="R21" s="220">
        <f t="shared" si="41"/>
        <v>0</v>
      </c>
      <c r="S21" s="220">
        <f>SUMIF($F$2:F21,F21,$R$2:R21)</f>
        <v>656.63225806451612</v>
      </c>
      <c r="T21" s="219">
        <f t="shared" si="42"/>
        <v>618.17987541245304</v>
      </c>
      <c r="U21" s="220">
        <f t="shared" si="43"/>
        <v>0</v>
      </c>
      <c r="V21" s="220">
        <f>SUMIF($F$2:F21,F21,$U$2:U21)</f>
        <v>68850.232222754159</v>
      </c>
      <c r="W21" s="221">
        <f t="shared" si="44"/>
        <v>0.19813457545270932</v>
      </c>
      <c r="X21" s="221" t="str">
        <f t="shared" si="8"/>
        <v/>
      </c>
      <c r="Y21" s="221">
        <f t="shared" si="45"/>
        <v>0.19703019752390727</v>
      </c>
      <c r="Z21" s="219">
        <f>IFERROR(AVERAGEIF('Daily KPI'!D:D,Table14[[#This Row],[Month]],'Daily KPI'!AB:AB),0)</f>
        <v>0</v>
      </c>
      <c r="AA21" s="212">
        <f>IFERROR(AVERAGEIF($F$2:F21,F21,$Z$2:Z21),"")</f>
        <v>53.419983870967734</v>
      </c>
      <c r="AB21" s="220"/>
      <c r="AC21" s="219"/>
      <c r="AD21" s="219"/>
      <c r="AE21" s="215">
        <v>0.995</v>
      </c>
      <c r="AF21" s="215">
        <v>0.995</v>
      </c>
      <c r="AG21" s="221"/>
      <c r="AH21" s="221"/>
      <c r="AI21" s="221"/>
      <c r="AJ21" s="221"/>
      <c r="AK21" s="221"/>
      <c r="AL21" s="221"/>
      <c r="AM21" s="237">
        <f>SUMIF('Daily KPI'!$D:$D,$D21,'Daily KPI'!AS:AS)</f>
        <v>0</v>
      </c>
      <c r="AN21" s="237">
        <f>SUMIF($F$2:F21,F21,$AM$2:AM21)</f>
        <v>60742976.367084064</v>
      </c>
    </row>
    <row r="22" spans="1:40">
      <c r="A22" s="208">
        <f t="shared" si="10"/>
        <v>21</v>
      </c>
      <c r="B22" s="216" t="str">
        <f t="shared" si="18"/>
        <v>December</v>
      </c>
      <c r="C22" s="208">
        <f t="shared" si="35"/>
        <v>2</v>
      </c>
      <c r="D22" s="216">
        <v>45992</v>
      </c>
      <c r="E22" s="217">
        <f t="shared" si="36"/>
        <v>2025</v>
      </c>
      <c r="F22" s="260" t="s">
        <v>1325</v>
      </c>
      <c r="G22" s="208">
        <f t="shared" si="37"/>
        <v>31</v>
      </c>
      <c r="H22" s="218">
        <f t="shared" ref="H22:I22" si="47">H10</f>
        <v>140.30000000000001</v>
      </c>
      <c r="I22" s="218">
        <f t="shared" si="47"/>
        <v>165.2</v>
      </c>
      <c r="J22" s="219"/>
      <c r="K22" s="218"/>
      <c r="L22" s="208"/>
      <c r="M22" s="220">
        <v>18457.393547743763</v>
      </c>
      <c r="N22" s="214">
        <v>130</v>
      </c>
      <c r="O22" s="221">
        <f t="shared" si="39"/>
        <v>0.85944279883329133</v>
      </c>
      <c r="P22" s="219">
        <f t="shared" si="40"/>
        <v>5.3290322580645162</v>
      </c>
      <c r="Q22" s="208">
        <f>COUNTIFS('Daily KPI'!$D:$D,D22,'Daily KPI'!$K:$K,"&gt;0")</f>
        <v>0</v>
      </c>
      <c r="R22" s="220">
        <f t="shared" si="41"/>
        <v>0</v>
      </c>
      <c r="S22" s="220">
        <f>SUMIF($F$2:F22,F22,$R$2:R22)</f>
        <v>656.63225806451612</v>
      </c>
      <c r="T22" s="219">
        <f t="shared" si="42"/>
        <v>595.39979186270205</v>
      </c>
      <c r="U22" s="220">
        <f t="shared" si="43"/>
        <v>0</v>
      </c>
      <c r="V22" s="220">
        <f>SUMIF($F$2:F22,F22,$U$2:U22)</f>
        <v>68850.232222754159</v>
      </c>
      <c r="W22" s="221">
        <f t="shared" si="44"/>
        <v>0.19083326662266092</v>
      </c>
      <c r="X22" s="221" t="str">
        <f t="shared" si="8"/>
        <v/>
      </c>
      <c r="Y22" s="221">
        <f t="shared" si="45"/>
        <v>0.19703019752390727</v>
      </c>
      <c r="Z22" s="219">
        <f>IFERROR(AVERAGEIF('Daily KPI'!D:D,Table14[[#This Row],[Month]],'Daily KPI'!AB:AB),0)</f>
        <v>0</v>
      </c>
      <c r="AA22" s="212">
        <f>IFERROR(AVERAGEIF($F$2:F22,F22,$Z$2:Z22),"")</f>
        <v>47.484430107526876</v>
      </c>
      <c r="AB22" s="220"/>
      <c r="AC22" s="219"/>
      <c r="AD22" s="219"/>
      <c r="AE22" s="215">
        <v>0.995</v>
      </c>
      <c r="AF22" s="215">
        <v>0.995</v>
      </c>
      <c r="AG22" s="221"/>
      <c r="AH22" s="221"/>
      <c r="AI22" s="221"/>
      <c r="AJ22" s="221"/>
      <c r="AK22" s="221"/>
      <c r="AL22" s="221"/>
      <c r="AM22" s="237">
        <f>SUMIF('Daily KPI'!$D:$D,$D22,'Daily KPI'!AS:AS)</f>
        <v>0</v>
      </c>
      <c r="AN22" s="237">
        <f>SUMIF($F$2:F22,F22,$AM$2:AM22)</f>
        <v>60742976.367084064</v>
      </c>
    </row>
    <row r="23" spans="1:40">
      <c r="A23" s="208">
        <f t="shared" si="10"/>
        <v>22</v>
      </c>
      <c r="B23" s="216" t="str">
        <f t="shared" si="18"/>
        <v>January</v>
      </c>
      <c r="C23" s="208">
        <f t="shared" si="35"/>
        <v>3</v>
      </c>
      <c r="D23" s="216">
        <v>46023</v>
      </c>
      <c r="E23" s="217">
        <f t="shared" si="36"/>
        <v>2026</v>
      </c>
      <c r="F23" s="260" t="s">
        <v>1325</v>
      </c>
      <c r="G23" s="208">
        <f t="shared" si="37"/>
        <v>31</v>
      </c>
      <c r="H23" s="218">
        <f t="shared" ref="H23:I23" si="48">H11</f>
        <v>147.30000000000001</v>
      </c>
      <c r="I23" s="218">
        <f t="shared" si="48"/>
        <v>171</v>
      </c>
      <c r="J23" s="219"/>
      <c r="K23" s="218"/>
      <c r="L23" s="208"/>
      <c r="M23" s="220">
        <v>19032.124258899839</v>
      </c>
      <c r="N23" s="214">
        <v>130</v>
      </c>
      <c r="O23" s="221">
        <f t="shared" si="39"/>
        <v>0.85614594057129279</v>
      </c>
      <c r="P23" s="219">
        <f t="shared" si="40"/>
        <v>5.5161290322580649</v>
      </c>
      <c r="Q23" s="208">
        <f>COUNTIFS('Daily KPI'!$D:$D,D23,'Daily KPI'!$K:$K,"&gt;0")</f>
        <v>0</v>
      </c>
      <c r="R23" s="220">
        <f t="shared" si="41"/>
        <v>0</v>
      </c>
      <c r="S23" s="220">
        <f>SUMIF($F$2:F23,F23,$R$2:R23)</f>
        <v>656.63225806451612</v>
      </c>
      <c r="T23" s="219">
        <f t="shared" si="42"/>
        <v>613.9394922225755</v>
      </c>
      <c r="U23" s="220">
        <f t="shared" si="43"/>
        <v>0</v>
      </c>
      <c r="V23" s="220">
        <f>SUMIF($F$2:F23,F23,$U$2:U23)</f>
        <v>68850.232222754159</v>
      </c>
      <c r="W23" s="221">
        <f t="shared" si="44"/>
        <v>0.19677547827646649</v>
      </c>
      <c r="X23" s="221" t="str">
        <f t="shared" si="8"/>
        <v/>
      </c>
      <c r="Y23" s="221">
        <f t="shared" si="45"/>
        <v>0.19703019752390727</v>
      </c>
      <c r="Z23" s="219">
        <f>IFERROR(AVERAGEIF('Daily KPI'!D:D,Table14[[#This Row],[Month]],'Daily KPI'!AB:AB),0)</f>
        <v>0</v>
      </c>
      <c r="AA23" s="212">
        <f>IFERROR(AVERAGEIF($F$2:F23,F23,$Z$2:Z23),"")</f>
        <v>42.735987096774188</v>
      </c>
      <c r="AB23" s="220"/>
      <c r="AC23" s="219"/>
      <c r="AD23" s="219"/>
      <c r="AE23" s="215">
        <v>0.995</v>
      </c>
      <c r="AF23" s="215">
        <v>0.995</v>
      </c>
      <c r="AG23" s="221"/>
      <c r="AH23" s="221"/>
      <c r="AI23" s="221"/>
      <c r="AJ23" s="221"/>
      <c r="AK23" s="221"/>
      <c r="AL23" s="221"/>
      <c r="AM23" s="237">
        <f>SUMIF('Daily KPI'!$D:$D,$D23,'Daily KPI'!AS:AS)</f>
        <v>0</v>
      </c>
      <c r="AN23" s="237">
        <f>SUMIF($F$2:F23,F23,$AM$2:AM23)</f>
        <v>60742976.367084064</v>
      </c>
    </row>
    <row r="24" spans="1:40">
      <c r="A24" s="208">
        <f t="shared" si="10"/>
        <v>23</v>
      </c>
      <c r="B24" s="216" t="str">
        <f t="shared" si="18"/>
        <v>February</v>
      </c>
      <c r="C24" s="208">
        <f t="shared" si="35"/>
        <v>4</v>
      </c>
      <c r="D24" s="216">
        <v>46054</v>
      </c>
      <c r="E24" s="217">
        <f t="shared" si="36"/>
        <v>2026</v>
      </c>
      <c r="F24" s="260" t="s">
        <v>1325</v>
      </c>
      <c r="G24" s="208">
        <f t="shared" si="37"/>
        <v>28</v>
      </c>
      <c r="H24" s="218">
        <f t="shared" ref="H24:I24" si="49">H12</f>
        <v>157.69999999999999</v>
      </c>
      <c r="I24" s="218">
        <f t="shared" si="49"/>
        <v>176.7</v>
      </c>
      <c r="J24" s="219"/>
      <c r="K24" s="218"/>
      <c r="L24" s="208"/>
      <c r="M24" s="220">
        <v>19102.934485482692</v>
      </c>
      <c r="N24" s="214">
        <v>130</v>
      </c>
      <c r="O24" s="221">
        <f t="shared" si="39"/>
        <v>0.8316109218354748</v>
      </c>
      <c r="P24" s="219">
        <f t="shared" si="40"/>
        <v>6.3107142857142851</v>
      </c>
      <c r="Q24" s="208">
        <f>COUNTIFS('Daily KPI'!$D:$D,D24,'Daily KPI'!$K:$K,"&gt;0")</f>
        <v>0</v>
      </c>
      <c r="R24" s="220">
        <f t="shared" si="41"/>
        <v>0</v>
      </c>
      <c r="S24" s="220">
        <f>SUMIF($F$2:F24,F24,$R$2:R24)</f>
        <v>656.63225806451612</v>
      </c>
      <c r="T24" s="219">
        <f t="shared" si="42"/>
        <v>682.24766019581045</v>
      </c>
      <c r="U24" s="220">
        <f t="shared" si="43"/>
        <v>0</v>
      </c>
      <c r="V24" s="220">
        <f>SUMIF($F$2:F24,F24,$U$2:U24)</f>
        <v>68850.232222754159</v>
      </c>
      <c r="W24" s="221">
        <f t="shared" si="44"/>
        <v>0.21866912185763154</v>
      </c>
      <c r="X24" s="221" t="str">
        <f t="shared" si="8"/>
        <v/>
      </c>
      <c r="Y24" s="221">
        <f t="shared" si="45"/>
        <v>0.19703019752390727</v>
      </c>
      <c r="Z24" s="219">
        <f>IFERROR(AVERAGEIF('Daily KPI'!D:D,Table14[[#This Row],[Month]],'Daily KPI'!AB:AB),0)</f>
        <v>0</v>
      </c>
      <c r="AA24" s="212">
        <f>IFERROR(AVERAGEIF($F$2:F24,F24,$Z$2:Z24),"")</f>
        <v>38.850897360703804</v>
      </c>
      <c r="AB24" s="220"/>
      <c r="AC24" s="219"/>
      <c r="AD24" s="219"/>
      <c r="AE24" s="215">
        <v>0.995</v>
      </c>
      <c r="AF24" s="215">
        <v>0.995</v>
      </c>
      <c r="AG24" s="221"/>
      <c r="AH24" s="221"/>
      <c r="AI24" s="221"/>
      <c r="AJ24" s="221"/>
      <c r="AK24" s="221"/>
      <c r="AL24" s="221"/>
      <c r="AM24" s="237">
        <f>SUMIF('Daily KPI'!$D:$D,$D24,'Daily KPI'!AS:AS)</f>
        <v>0</v>
      </c>
      <c r="AN24" s="237">
        <f>SUMIF($F$2:F24,F24,$AM$2:AM24)</f>
        <v>60742976.367084064</v>
      </c>
    </row>
    <row r="25" spans="1:40">
      <c r="A25" s="208">
        <f t="shared" si="10"/>
        <v>24</v>
      </c>
      <c r="B25" s="216" t="str">
        <f t="shared" si="18"/>
        <v>March</v>
      </c>
      <c r="C25" s="208">
        <f t="shared" si="35"/>
        <v>5</v>
      </c>
      <c r="D25" s="216">
        <v>46082</v>
      </c>
      <c r="E25" s="217">
        <f t="shared" si="36"/>
        <v>2026</v>
      </c>
      <c r="F25" s="260" t="s">
        <v>1325</v>
      </c>
      <c r="G25" s="208">
        <f t="shared" si="37"/>
        <v>31</v>
      </c>
      <c r="H25" s="218">
        <f t="shared" ref="H25:I25" si="50">H13</f>
        <v>201.5</v>
      </c>
      <c r="I25" s="218">
        <f t="shared" si="50"/>
        <v>214.6</v>
      </c>
      <c r="J25" s="219"/>
      <c r="K25" s="218"/>
      <c r="L25" s="208"/>
      <c r="M25" s="220">
        <v>22483.298594922213</v>
      </c>
      <c r="N25" s="214">
        <v>130</v>
      </c>
      <c r="O25" s="221">
        <f t="shared" si="39"/>
        <v>0.80591076761496216</v>
      </c>
      <c r="P25" s="219">
        <f t="shared" si="40"/>
        <v>6.9225806451612906</v>
      </c>
      <c r="Q25" s="208">
        <f>COUNTIFS('Daily KPI'!$D:$D,D25,'Daily KPI'!$K:$K,"&gt;0")</f>
        <v>0</v>
      </c>
      <c r="R25" s="220">
        <f t="shared" si="41"/>
        <v>0</v>
      </c>
      <c r="S25" s="220">
        <f>SUMIF($F$2:F25,F25,$R$2:R25)</f>
        <v>656.63225806451612</v>
      </c>
      <c r="T25" s="219">
        <f t="shared" si="42"/>
        <v>725.26769661039395</v>
      </c>
      <c r="U25" s="220">
        <f t="shared" si="43"/>
        <v>0</v>
      </c>
      <c r="V25" s="220">
        <f>SUMIF($F$2:F25,F25,$U$2:U25)</f>
        <v>68850.232222754159</v>
      </c>
      <c r="W25" s="221">
        <f t="shared" si="44"/>
        <v>0.23245759506743396</v>
      </c>
      <c r="X25" s="221" t="str">
        <f t="shared" si="8"/>
        <v/>
      </c>
      <c r="Y25" s="221">
        <f t="shared" si="45"/>
        <v>0.19703019752390727</v>
      </c>
      <c r="Z25" s="219">
        <f>IFERROR(AVERAGEIF('Daily KPI'!D:D,Table14[[#This Row],[Month]],'Daily KPI'!AB:AB),0)</f>
        <v>0</v>
      </c>
      <c r="AA25" s="212">
        <f>IFERROR(AVERAGEIF($F$2:F25,F25,$Z$2:Z25),"")</f>
        <v>35.613322580645153</v>
      </c>
      <c r="AB25" s="220"/>
      <c r="AC25" s="219"/>
      <c r="AD25" s="219"/>
      <c r="AE25" s="215">
        <v>0.995</v>
      </c>
      <c r="AF25" s="215">
        <v>0.995</v>
      </c>
      <c r="AG25" s="221"/>
      <c r="AH25" s="221"/>
      <c r="AI25" s="221"/>
      <c r="AJ25" s="221"/>
      <c r="AK25" s="221"/>
      <c r="AL25" s="221"/>
      <c r="AM25" s="237">
        <f>SUMIF('Daily KPI'!$D:$D,$D25,'Daily KPI'!AS:AS)</f>
        <v>0</v>
      </c>
      <c r="AN25" s="237">
        <f>SUMIF($F$2:F25,F25,$AM$2:AM25)</f>
        <v>60742976.367084064</v>
      </c>
    </row>
    <row r="26" spans="1:40">
      <c r="A26" s="208"/>
      <c r="B26" s="222"/>
      <c r="C26" s="208"/>
      <c r="D26" s="222"/>
      <c r="E26" s="208"/>
      <c r="F26" s="208"/>
      <c r="G26" s="208"/>
      <c r="H26" s="218"/>
      <c r="I26" s="218"/>
      <c r="J26" s="219"/>
      <c r="K26" s="218"/>
      <c r="L26" s="208"/>
      <c r="M26" s="220"/>
      <c r="N26" s="220"/>
      <c r="O26" s="223"/>
      <c r="P26" s="219"/>
      <c r="Q26" s="208"/>
      <c r="R26" s="220"/>
      <c r="S26" s="220"/>
      <c r="T26" s="219"/>
      <c r="U26" s="220"/>
      <c r="V26" s="220"/>
      <c r="W26" s="223"/>
      <c r="X26" s="223"/>
      <c r="Y26" s="223"/>
      <c r="Z26" s="219"/>
      <c r="AA26" s="218"/>
      <c r="AB26" s="220"/>
      <c r="AC26" s="219"/>
      <c r="AD26" s="219"/>
      <c r="AE26" s="223"/>
      <c r="AF26" s="223"/>
      <c r="AG26" s="223"/>
      <c r="AH26" s="223"/>
      <c r="AI26" s="223"/>
      <c r="AJ26" s="223"/>
      <c r="AK26" s="223"/>
      <c r="AL26" s="223"/>
      <c r="AM26" s="259"/>
      <c r="AN26" s="259"/>
    </row>
    <row r="27" spans="1:40">
      <c r="AM27" s="238"/>
      <c r="AN27" s="238"/>
    </row>
    <row r="28" spans="1:40">
      <c r="AM28" s="238"/>
      <c r="AN28" s="238"/>
    </row>
    <row r="29" spans="1:40">
      <c r="AM29" s="238"/>
      <c r="AN29" s="238"/>
    </row>
    <row r="30" spans="1:40">
      <c r="AM30" s="238"/>
      <c r="AN30" s="238"/>
    </row>
    <row r="31" spans="1:40">
      <c r="AM31" s="238"/>
      <c r="AN31" s="238"/>
    </row>
    <row r="32" spans="1:40">
      <c r="AM32" s="238"/>
      <c r="AN32" s="238"/>
    </row>
    <row r="33" spans="39:40">
      <c r="AM33" s="238"/>
      <c r="AN33" s="238"/>
    </row>
    <row r="34" spans="39:40">
      <c r="AM34" s="238"/>
      <c r="AN34" s="238"/>
    </row>
    <row r="35" spans="39:40">
      <c r="AM35" s="238"/>
      <c r="AN35" s="238"/>
    </row>
    <row r="36" spans="39:40">
      <c r="AM36" s="238"/>
      <c r="AN36" s="238"/>
    </row>
    <row r="37" spans="39:40">
      <c r="AM37" s="238"/>
      <c r="AN37" s="238"/>
    </row>
  </sheetData>
  <phoneticPr fontId="85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Props1.xml><?xml version="1.0" encoding="utf-8"?>
<ds:datastoreItem xmlns:ds="http://schemas.openxmlformats.org/officeDocument/2006/customXml" ds:itemID="{01A14321-6456-4D9E-8119-255CCB043E99}"/>
</file>

<file path=customXml/itemProps2.xml><?xml version="1.0" encoding="utf-8"?>
<ds:datastoreItem xmlns:ds="http://schemas.openxmlformats.org/officeDocument/2006/customXml" ds:itemID="{CF464D8B-5073-456B-ABD6-85662900DA90}"/>
</file>

<file path=customXml/itemProps3.xml><?xml version="1.0" encoding="utf-8"?>
<ds:datastoreItem xmlns:ds="http://schemas.openxmlformats.org/officeDocument/2006/customXml" ds:itemID="{3C1CDFF9-3EC9-4963-90C2-FF6FAC10FA6B}"/>
</file>

<file path=customXml/itemProps4.xml><?xml version="1.0" encoding="utf-8"?>
<ds:datastoreItem xmlns:ds="http://schemas.openxmlformats.org/officeDocument/2006/customXml" ds:itemID="{5A5607D9-04D2-4DE1-AC0E-A7772F01B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Amol Uttamrao Dhorekar</cp:lastModifiedBy>
  <cp:revision/>
  <dcterms:created xsi:type="dcterms:W3CDTF">2022-12-28T09:03:00Z</dcterms:created>
  <dcterms:modified xsi:type="dcterms:W3CDTF">2025-07-22T05:36:21Z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