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akram.najmi\Documents\"/>
    </mc:Choice>
  </mc:AlternateContent>
  <xr:revisionPtr revIDLastSave="0" documentId="13_ncr:1_{7A939D47-7AE1-4101-9A91-2D93217A1CAA}" xr6:coauthVersionLast="47" xr6:coauthVersionMax="47" xr10:uidLastSave="{00000000-0000-0000-0000-000000000000}"/>
  <bookViews>
    <workbookView xWindow="-110" yWindow="-110" windowWidth="19420" windowHeight="10300"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0"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7" i="19" l="1"/>
  <c r="X156" i="19"/>
  <c r="B119" i="1"/>
  <c r="C119" i="1"/>
  <c r="D119" i="1"/>
  <c r="E119" i="1"/>
  <c r="BF119" i="1"/>
  <c r="BM119" i="1" s="1"/>
  <c r="BG119" i="1"/>
  <c r="BL119" i="1"/>
  <c r="BN119" i="1" l="1"/>
  <c r="C155" i="19" l="1"/>
  <c r="C156" i="19"/>
  <c r="C157" i="19"/>
  <c r="B155" i="19"/>
  <c r="B156" i="19"/>
  <c r="B157" i="19"/>
  <c r="E156" i="19"/>
  <c r="E157" i="19"/>
  <c r="H156" i="19"/>
  <c r="H157" i="19"/>
  <c r="I156" i="19"/>
  <c r="I157" i="19"/>
  <c r="J156" i="19"/>
  <c r="J157" i="19"/>
  <c r="O156" i="19"/>
  <c r="O157" i="19"/>
  <c r="P156" i="19"/>
  <c r="P157" i="19"/>
  <c r="Q156" i="19"/>
  <c r="Q157" i="19"/>
  <c r="E155" i="19"/>
  <c r="H155" i="19"/>
  <c r="I155" i="19"/>
  <c r="J155" i="19"/>
  <c r="O155" i="19"/>
  <c r="P155" i="19"/>
  <c r="Q155" i="19"/>
  <c r="X155" i="19" s="1"/>
  <c r="T155" i="19"/>
  <c r="B1598" i="18"/>
  <c r="C1598" i="18"/>
  <c r="E1598" i="18"/>
  <c r="H1598" i="18"/>
  <c r="I1598" i="18"/>
  <c r="J1598" i="18"/>
  <c r="L1598" i="18"/>
  <c r="R1598" i="18"/>
  <c r="S1598" i="18"/>
  <c r="T1598" i="18"/>
  <c r="AA1598" i="18"/>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T154" i="19" s="1"/>
  <c r="O154" i="19"/>
  <c r="P154" i="19"/>
  <c r="Q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7" i="19" l="1"/>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B47" i="1" l="1"/>
  <c r="C47" i="1"/>
  <c r="D47" i="1"/>
  <c r="E47" i="1"/>
  <c r="BF47" i="1"/>
  <c r="BM47" i="1" s="1"/>
  <c r="BG47" i="1"/>
  <c r="BL47" i="1"/>
  <c r="BN47" i="1" l="1"/>
  <c r="B46" i="1" l="1"/>
  <c r="C46" i="1"/>
  <c r="D46" i="1"/>
  <c r="E46" i="1"/>
  <c r="BF46" i="1"/>
  <c r="BM46" i="1" s="1"/>
  <c r="BG46" i="1"/>
  <c r="BL46" i="1"/>
  <c r="B45" i="1"/>
  <c r="C45" i="1"/>
  <c r="D45" i="1"/>
  <c r="E45" i="1"/>
  <c r="BF45" i="1"/>
  <c r="BM45" i="1" s="1"/>
  <c r="BG45" i="1"/>
  <c r="BL45" i="1"/>
  <c r="BN46" i="1" l="1"/>
  <c r="BN45" i="1"/>
  <c r="B44" i="1" l="1"/>
  <c r="C44" i="1"/>
  <c r="D44" i="1"/>
  <c r="E44" i="1"/>
  <c r="BF44" i="1"/>
  <c r="BM44" i="1" s="1"/>
  <c r="BG44" i="1"/>
  <c r="BL44" i="1"/>
  <c r="BN44" i="1" l="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<sst xmlns="http://schemas.openxmlformats.org/spreadsheetml/2006/main" count="17359" uniqueCount="2110">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</sst>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59">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59">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envionwindtechnologypvtltd-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19"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598" totalsRowShown="0" headerRowDxfId="157">
  <autoFilter ref="A1:AD1598"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7" totalsRowShown="0" headerRowDxfId="126" dataDxfId="124" headerRowBorderDxfId="125" headerRowCellStyle="Normal 26 2 2">
  <autoFilter ref="A1:AA157"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H19" sqref="H19"/>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45859</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25">
        <v>1</v>
      </c>
      <c r="B10" s="56" t="s">
        <v>13</v>
      </c>
      <c r="C10" s="57">
        <f>_xlfn.XLOOKUP($B$4,'Daily KPI'!$A:$A,'Daily KPI'!$AD:$AD)/1000</f>
        <v>963.88316796059144</v>
      </c>
      <c r="D10" s="58">
        <f>_xlfn.XLOOKUP($B$4,'Daily KPI'!$A:$A,'Daily KPI'!$AA:$AA)/1000</f>
        <v>291.14999999999998</v>
      </c>
      <c r="E10" s="59">
        <f>D10/C10-1</f>
        <v>-0.69794057031204049</v>
      </c>
      <c r="F10" s="234"/>
    </row>
    <row r="11" spans="1:18">
      <c r="A11" s="626"/>
      <c r="B11" s="60" t="s">
        <v>14</v>
      </c>
      <c r="C11" s="61">
        <f>MonthlyKPI!$E$4</f>
        <v>20241.546527172421</v>
      </c>
      <c r="D11" s="62">
        <f>MonthlyKPI!F4</f>
        <v>12677.85</v>
      </c>
      <c r="E11" s="63">
        <f>D11/C11-1</f>
        <v>-0.37367186924274043</v>
      </c>
      <c r="F11" s="235"/>
    </row>
    <row r="12" spans="1:18" ht="15" thickBot="1">
      <c r="A12" s="627"/>
      <c r="B12" s="64" t="s">
        <v>15</v>
      </c>
      <c r="C12" s="65">
        <f>AnnualKPI!$E$4</f>
        <v>93392.814560275889</v>
      </c>
      <c r="D12" s="66">
        <f>AnnualKPI!F4</f>
        <v>76608.899999999994</v>
      </c>
      <c r="E12" s="67">
        <f>D12/C12-1</f>
        <v>-0.17971312503322756</v>
      </c>
      <c r="F12" s="236"/>
    </row>
    <row r="13" spans="1:18">
      <c r="A13" s="625">
        <v>2</v>
      </c>
      <c r="B13" s="56" t="s">
        <v>16</v>
      </c>
      <c r="C13" s="68">
        <f>_xlfn.XLOOKUP($B$3,'Modelling New'!$D:$D,'Modelling New'!$J:$J)</f>
        <v>8.18</v>
      </c>
      <c r="D13" s="69">
        <f>_xlfn.XLOOKUP($B$4,'Daily KPI'!$A:$A,'Daily KPI'!$M:$M)</f>
        <v>4.9553846153846166</v>
      </c>
      <c r="E13" s="59">
        <f t="shared" ref="E13:E39" si="0">(D13-C13)/(C13)</f>
        <v>-0.39420725973293191</v>
      </c>
      <c r="F13" s="234"/>
    </row>
    <row r="14" spans="1:18">
      <c r="A14" s="626"/>
      <c r="B14" s="60" t="s">
        <v>17</v>
      </c>
      <c r="C14" s="70">
        <f>MonthlyKPI!C4</f>
        <v>8.18</v>
      </c>
      <c r="D14" s="71">
        <f>MonthlyKPI!D4</f>
        <v>6.5338899311541336</v>
      </c>
      <c r="E14" s="63">
        <f t="shared" si="0"/>
        <v>-0.20123594973665845</v>
      </c>
      <c r="F14" s="235"/>
    </row>
    <row r="15" spans="1:18" ht="15" thickBot="1">
      <c r="A15" s="627"/>
      <c r="B15" s="64" t="s">
        <v>18</v>
      </c>
      <c r="C15" s="72">
        <f>AnnualKPI!C4</f>
        <v>7.2925000000000004</v>
      </c>
      <c r="D15" s="73">
        <f>AnnualKPI!D4</f>
        <v>6.7874026662418725</v>
      </c>
      <c r="E15" s="67">
        <f t="shared" si="0"/>
        <v>-6.9262575763884532E-2</v>
      </c>
      <c r="F15" s="236"/>
    </row>
    <row r="16" spans="1:18">
      <c r="A16" s="625">
        <v>3</v>
      </c>
      <c r="B16" s="56" t="s">
        <v>19</v>
      </c>
      <c r="C16" s="74">
        <f>_xlfn.XLOOKUP($B$3,'Modelling New'!$D:$D,'Modelling New'!$AE:$AE)</f>
        <v>0.96029999999999993</v>
      </c>
      <c r="D16" s="75">
        <f>_xlfn.XLOOKUP($B$4,'Daily KPI'!$A:$A,'Daily KPI'!$O:$O)</f>
        <v>0.97351443666287341</v>
      </c>
      <c r="E16" s="59">
        <f t="shared" si="0"/>
        <v>1.3760737959880741E-2</v>
      </c>
      <c r="F16" s="234"/>
      <c r="H16" s="100"/>
    </row>
    <row r="17" spans="1:6">
      <c r="A17" s="626"/>
      <c r="B17" s="60" t="s">
        <v>20</v>
      </c>
      <c r="C17" s="76">
        <f>_xlfn.XLOOKUP($B$3,'Modelling New'!$D:$D,'Modelling New'!$AE:$AE)</f>
        <v>0.96029999999999993</v>
      </c>
      <c r="D17" s="77">
        <f>MonthlyKPI!P4</f>
        <v>0.96388265097767956</v>
      </c>
      <c r="E17" s="63">
        <f t="shared" si="0"/>
        <v>3.7307622385500624E-3</v>
      </c>
      <c r="F17" s="235"/>
    </row>
    <row r="18" spans="1:6" ht="15" thickBot="1">
      <c r="A18" s="627"/>
      <c r="B18" s="64" t="s">
        <v>21</v>
      </c>
      <c r="C18" s="78">
        <f>_xlfn.XLOOKUP($B$3,'Modelling New'!$D:$D,'Modelling New'!$AE:$AE)</f>
        <v>0.96029999999999993</v>
      </c>
      <c r="D18" s="79">
        <f>AnnualKPI!P4</f>
        <v>0.94419481574165265</v>
      </c>
      <c r="E18" s="67">
        <f t="shared" si="0"/>
        <v>-1.6770992667236577E-2</v>
      </c>
      <c r="F18" s="236"/>
    </row>
    <row r="19" spans="1:6">
      <c r="A19" s="625">
        <v>4</v>
      </c>
      <c r="B19" s="56" t="s">
        <v>22</v>
      </c>
      <c r="C19" s="74">
        <f>_xlfn.XLOOKUP($B$3,'Modelling New'!$D:$D,'Modelling New'!$AF:$AF)</f>
        <v>0.995</v>
      </c>
      <c r="D19" s="75">
        <f>_xlfn.XLOOKUP($B$4,'Daily KPI'!$A:$A,'Daily KPI'!$R:$R)</f>
        <v>1</v>
      </c>
      <c r="E19" s="59">
        <f t="shared" si="0"/>
        <v>5.0251256281407079E-3</v>
      </c>
      <c r="F19" s="234"/>
    </row>
    <row r="20" spans="1:6">
      <c r="A20" s="626"/>
      <c r="B20" s="60" t="s">
        <v>23</v>
      </c>
      <c r="C20" s="76">
        <f>_xlfn.XLOOKUP($B$3,'Modelling New'!$D:$D,'Modelling New'!$AF:$AF)</f>
        <v>0.995</v>
      </c>
      <c r="D20" s="77">
        <f>MonthlyKPI!J4</f>
        <v>1</v>
      </c>
      <c r="E20" s="63">
        <f t="shared" si="0"/>
        <v>5.0251256281407079E-3</v>
      </c>
      <c r="F20" s="235"/>
    </row>
    <row r="21" spans="1:6" ht="15" thickBot="1">
      <c r="A21" s="627"/>
      <c r="B21" s="64" t="s">
        <v>24</v>
      </c>
      <c r="C21" s="78">
        <f>_xlfn.XLOOKUP($B$3,'Modelling New'!$D:$D,'Modelling New'!$AF:$AF)</f>
        <v>0.995</v>
      </c>
      <c r="D21" s="79">
        <f>AnnualKPI!J4</f>
        <v>1</v>
      </c>
      <c r="E21" s="67">
        <f t="shared" si="0"/>
        <v>5.0251256281407079E-3</v>
      </c>
      <c r="F21" s="236"/>
    </row>
    <row r="22" spans="1:6">
      <c r="A22" s="625">
        <v>5</v>
      </c>
      <c r="B22" s="56" t="s">
        <v>25</v>
      </c>
      <c r="C22" s="74">
        <f>_xlfn.XLOOKUP($B$3,'Modelling New'!$D:$D,'Modelling New'!$AI:$AI)</f>
        <v>0.99</v>
      </c>
      <c r="D22" s="75">
        <f>_xlfn.XLOOKUP($B$4,'Daily KPI'!$A:$A,'Daily KPI'!$Q:$Q)</f>
        <v>0.98753732307682918</v>
      </c>
      <c r="E22" s="59">
        <f t="shared" si="0"/>
        <v>-2.4875524476472874E-3</v>
      </c>
      <c r="F22" s="234"/>
    </row>
    <row r="23" spans="1:6">
      <c r="A23" s="626"/>
      <c r="B23" s="60" t="s">
        <v>26</v>
      </c>
      <c r="C23" s="76">
        <f>_xlfn.XLOOKUP($B$3,'Modelling New'!$D:$D,'Modelling New'!$AI:$AI)</f>
        <v>0.99</v>
      </c>
      <c r="D23" s="77">
        <f>MonthlyKPI!N4</f>
        <v>0.99506121627529676</v>
      </c>
      <c r="E23" s="63">
        <f t="shared" si="0"/>
        <v>5.1123396720169339E-3</v>
      </c>
      <c r="F23" s="235"/>
    </row>
    <row r="24" spans="1:6" ht="15" thickBot="1">
      <c r="A24" s="627"/>
      <c r="B24" s="64" t="s">
        <v>27</v>
      </c>
      <c r="C24" s="78">
        <f>_xlfn.XLOOKUP($B$3,'Modelling New'!$D:$D,'Modelling New'!$AI:$AI)</f>
        <v>0.99</v>
      </c>
      <c r="D24" s="79">
        <f>AnnualKPI!N4</f>
        <v>0.97351376745573448</v>
      </c>
      <c r="E24" s="67">
        <f t="shared" si="0"/>
        <v>-1.6652760145722739E-2</v>
      </c>
      <c r="F24" s="236"/>
    </row>
    <row r="25" spans="1:6">
      <c r="A25" s="625">
        <v>6</v>
      </c>
      <c r="B25" s="56" t="s">
        <v>28</v>
      </c>
      <c r="C25" s="75">
        <f>_xlfn.XLOOKUP($B$3,'Modelling New'!$D:$D,'Modelling New'!$AH:$AH)</f>
        <v>0.97</v>
      </c>
      <c r="D25" s="75">
        <f>_xlfn.XLOOKUP($B$4,'Daily KPI'!$A:$A,'Daily KPI'!$P:$P)</f>
        <v>0.98580014538562932</v>
      </c>
      <c r="E25" s="59">
        <f t="shared" ref="E25:E27" si="1">(D25-C25)/(C25)</f>
        <v>1.6288809675906547E-2</v>
      </c>
      <c r="F25" s="234"/>
    </row>
    <row r="26" spans="1:6">
      <c r="A26" s="626"/>
      <c r="B26" s="60" t="s">
        <v>29</v>
      </c>
      <c r="C26" s="77">
        <f>_xlfn.XLOOKUP($B$3,'Modelling New'!$D:$D,'Modelling New'!$AH:$AH)</f>
        <v>0.97</v>
      </c>
      <c r="D26" s="77">
        <f>MonthlyKPI!$L$4</f>
        <v>0.96866668624235552</v>
      </c>
      <c r="E26" s="63">
        <f t="shared" si="1"/>
        <v>-1.3745502656128349E-3</v>
      </c>
      <c r="F26" s="235"/>
    </row>
    <row r="27" spans="1:6" ht="15" thickBot="1">
      <c r="A27" s="627"/>
      <c r="B27" s="64" t="s">
        <v>30</v>
      </c>
      <c r="C27" s="79">
        <f>_xlfn.XLOOKUP($B$3,'Modelling New'!$D:$D,'Modelling New'!$AH:$AH)</f>
        <v>0.97</v>
      </c>
      <c r="D27" s="79">
        <f>AnnualKPI!$L$4</f>
        <v>0.96988337228069565</v>
      </c>
      <c r="E27" s="67">
        <f t="shared" si="1"/>
        <v>-1.202347621694006E-4</v>
      </c>
      <c r="F27" s="236"/>
    </row>
    <row r="28" spans="1:6">
      <c r="A28" s="625">
        <v>7</v>
      </c>
      <c r="B28" s="56" t="s">
        <v>31</v>
      </c>
      <c r="C28" s="74">
        <f>_xlfn.XLOOKUP($B$4,'Daily KPI'!$A:$A,'Daily KPI'!$AF:$AF)</f>
        <v>0.57210539408867012</v>
      </c>
      <c r="D28" s="75">
        <f>_xlfn.XLOOKUP($B$4,'Daily KPI'!$A:$A,'Daily KPI'!$W:$W)</f>
        <v>0.17280982905982903</v>
      </c>
      <c r="E28" s="59">
        <f t="shared" si="0"/>
        <v>-0.69794057031204049</v>
      </c>
      <c r="F28" s="234"/>
    </row>
    <row r="29" spans="1:6">
      <c r="A29" s="626"/>
      <c r="B29" s="60" t="s">
        <v>32</v>
      </c>
      <c r="C29" s="76">
        <f>MonthlyKPI!$G$4</f>
        <v>0.57210539408867012</v>
      </c>
      <c r="D29" s="77">
        <f>MonthlyKPI!H4</f>
        <v>0.35832570207570208</v>
      </c>
      <c r="E29" s="63">
        <f t="shared" si="0"/>
        <v>-0.37367186924274043</v>
      </c>
      <c r="F29" s="235"/>
    </row>
    <row r="30" spans="1:6" ht="15" thickBot="1">
      <c r="A30" s="627"/>
      <c r="B30" s="64" t="s">
        <v>33</v>
      </c>
      <c r="C30" s="78">
        <f>AnnualKPI!$G$4</f>
        <v>0.49493377001231531</v>
      </c>
      <c r="D30" s="79">
        <f>AnnualKPI!H4</f>
        <v>0.40598767551892545</v>
      </c>
      <c r="E30" s="67">
        <f t="shared" si="0"/>
        <v>-0.17971312503322745</v>
      </c>
      <c r="F30" s="236"/>
    </row>
    <row r="31" spans="1:6">
      <c r="A31" s="625">
        <v>8</v>
      </c>
      <c r="B31" s="56" t="s">
        <v>34</v>
      </c>
      <c r="C31" s="210">
        <f>_xlfn.XLOOKUP($B$4,'Daily KPI'!$A:$A,'Daily KPI'!$AP:$AP)</f>
        <v>0.05</v>
      </c>
      <c r="D31" s="211">
        <f>_xlfn.XLOOKUP($B$4,'Daily KPI'!$A:$A,'Daily KPI'!$AN:$AN)</f>
        <v>2.8907633656530485E-2</v>
      </c>
      <c r="E31" s="59">
        <f>-(D31-C31)/(C31)</f>
        <v>0.42184732686939036</v>
      </c>
      <c r="F31" s="237"/>
    </row>
    <row r="32" spans="1:6">
      <c r="A32" s="626"/>
      <c r="B32" s="60" t="s">
        <v>35</v>
      </c>
      <c r="C32" s="212">
        <f>_xlfn.XLOOKUP($B$3,'Modelling New'!$D:$D,'Modelling New'!$AK:$AK)</f>
        <v>0.05</v>
      </c>
      <c r="D32" s="213">
        <f>MonthlyKPI!$U$4</f>
        <v>2.5863657704113422E-2</v>
      </c>
      <c r="E32" s="63">
        <f t="shared" ref="E32:E33" si="2">-(D32-C32)/(C32)</f>
        <v>0.48272684591773157</v>
      </c>
      <c r="F32" s="238"/>
    </row>
    <row r="33" spans="1:7" ht="15" thickBot="1">
      <c r="A33" s="627"/>
      <c r="B33" s="64" t="s">
        <v>36</v>
      </c>
      <c r="C33" s="214">
        <f>_xlfn.XLOOKUP($B$3,'Modelling New'!$D:$D,'Modelling New'!$AK:$AK)</f>
        <v>0.05</v>
      </c>
      <c r="D33" s="215">
        <f>AnnualKPI!$R$4</f>
        <v>3.43142594698315E-2</v>
      </c>
      <c r="E33" s="67">
        <f t="shared" si="2"/>
        <v>0.31371481060337003</v>
      </c>
      <c r="F33" s="239"/>
      <c r="G33" s="209"/>
    </row>
    <row r="34" spans="1:7">
      <c r="A34" s="625">
        <v>9</v>
      </c>
      <c r="B34" s="56" t="s">
        <v>37</v>
      </c>
      <c r="C34" s="74">
        <f>_xlfn.XLOOKUP($B$4,'Daily KPI'!$A:$A,'Daily KPI'!$AQ:$AQ)</f>
        <v>0.05</v>
      </c>
      <c r="D34" s="211">
        <f>_xlfn.XLOOKUP($B$4,'Daily KPI'!$A:$A,'Daily KPI'!$AO:$AO)</f>
        <v>1.5008555218683399E-2</v>
      </c>
      <c r="E34" s="59">
        <f>-(D34-C34)/(C34)</f>
        <v>0.6998288956263321</v>
      </c>
      <c r="F34" s="237"/>
      <c r="G34" s="209"/>
    </row>
    <row r="35" spans="1:7">
      <c r="A35" s="626"/>
      <c r="B35" s="60" t="s">
        <v>38</v>
      </c>
      <c r="C35" s="76">
        <f>_xlfn.XLOOKUP($B$3,'Modelling New'!$D:$D,'Modelling New'!$AL:$AL)</f>
        <v>0.05</v>
      </c>
      <c r="D35" s="217">
        <f>MonthlyKPI!$V$4</f>
        <v>9.0736198947347774E-3</v>
      </c>
      <c r="E35" s="63">
        <f>-(D35-C35)/(C35)</f>
        <v>0.81852760210530451</v>
      </c>
      <c r="F35" s="238"/>
      <c r="G35" s="209"/>
    </row>
    <row r="36" spans="1:7" ht="15" thickBot="1">
      <c r="A36" s="627"/>
      <c r="B36" s="64" t="s">
        <v>39</v>
      </c>
      <c r="C36" s="78">
        <f>_xlfn.XLOOKUP($B$3,'Modelling New'!$D:$D,'Modelling New'!$AL:$AL)</f>
        <v>0.05</v>
      </c>
      <c r="D36" s="215">
        <f>AnnualKPI!$S$4</f>
        <v>7.9531023515452947E-3</v>
      </c>
      <c r="E36" s="67">
        <f>-(D36-C36)/(C36)</f>
        <v>0.84093795296909413</v>
      </c>
      <c r="F36" s="239"/>
      <c r="G36" s="209"/>
    </row>
    <row r="37" spans="1:7">
      <c r="A37" s="625">
        <v>10</v>
      </c>
      <c r="B37" s="56" t="s">
        <v>40</v>
      </c>
      <c r="C37" s="201">
        <f>IFERROR(_xlfn.XLOOKUP($B$4,'Daily KPI'!$A:$A,'Daily KPI'!$AI:$AI),"")</f>
        <v>309.17</v>
      </c>
      <c r="D37" s="202">
        <f>IFERROR(_xlfn.XLOOKUP($B$4,'Daily KPI'!A:A,'Daily KPI'!$X:$X)/1000,"")</f>
        <v>299.81700000000001</v>
      </c>
      <c r="E37" s="59">
        <f t="shared" si="0"/>
        <v>-3.025196493838344E-2</v>
      </c>
      <c r="F37" s="237"/>
      <c r="G37" s="209"/>
    </row>
    <row r="38" spans="1:7">
      <c r="A38" s="626"/>
      <c r="B38" s="60" t="s">
        <v>41</v>
      </c>
      <c r="C38" s="203">
        <f>MonthlyKPI!$T$4</f>
        <v>13859.720000000001</v>
      </c>
      <c r="D38" s="204">
        <f>IFERROR(SUMIF('Daily KPI'!D:D,$B$3,'Daily KPI'!$X:$X)/1000,"")</f>
        <v>13015.429</v>
      </c>
      <c r="E38" s="63">
        <f t="shared" si="0"/>
        <v>-6.0916887209842695E-2</v>
      </c>
      <c r="F38" s="238"/>
      <c r="G38" s="209"/>
    </row>
    <row r="39" spans="1:7" ht="15" thickBot="1">
      <c r="A39" s="627"/>
      <c r="B39" s="64" t="s">
        <v>42</v>
      </c>
      <c r="C39" s="205">
        <f>AnnualKPI!$Q$4</f>
        <v>83283.924499999994</v>
      </c>
      <c r="D39" s="206">
        <f>IFERROR(SUMIFS('Daily KPI'!$X:$X,'Daily KPI'!$A:$A,"&gt;="&amp;O2Summary!$B$6,'Daily KPI'!$A:$A,"&lt;="&amp;O2Summary!$B$4)/1000,"")</f>
        <v>79155.356</v>
      </c>
      <c r="E39" s="67">
        <f t="shared" si="0"/>
        <v>-4.9572213662913957E-2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45859</v>
      </c>
      <c r="C1" s="34">
        <v>0</v>
      </c>
      <c r="D1" s="34">
        <v>0</v>
      </c>
      <c r="E1" s="34">
        <v>0</v>
      </c>
      <c r="F1" s="34">
        <v>0</v>
      </c>
    </row>
    <row r="2" spans="1:22" ht="29.25" customHeight="1">
      <c r="A2" s="628" t="s">
        <v>64</v>
      </c>
      <c r="B2" s="629"/>
      <c r="C2" s="629"/>
      <c r="D2" s="629"/>
      <c r="E2" s="629"/>
      <c r="F2" s="629"/>
      <c r="G2" s="629"/>
      <c r="H2" s="629"/>
      <c r="I2" s="629"/>
      <c r="J2" s="629"/>
      <c r="K2" s="629"/>
      <c r="L2" s="629"/>
      <c r="M2" s="629"/>
      <c r="N2" s="629"/>
      <c r="O2" s="629"/>
      <c r="P2" s="629"/>
      <c r="Q2" s="629"/>
      <c r="R2" s="629"/>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21</v>
      </c>
      <c r="C4" s="117">
        <f>IFERROR(_xlfn.XLOOKUP($A$4,'Modelling New'!$D:$D,'Modelling New'!$AC:$AC),"")</f>
        <v>8.18</v>
      </c>
      <c r="D4" s="118">
        <f>AVERAGEIF('Daily KPI'!$D:$D,$A$4,'Daily KPI'!$M:$M)</f>
        <v>6.5338899311541336</v>
      </c>
      <c r="E4" s="116">
        <f>IFERROR(_xlfn.XLOOKUP($A$4,'Modelling New'!$D:$D,'Modelling New'!$U:$U),"")</f>
        <v>20241.546527172421</v>
      </c>
      <c r="F4" s="119">
        <f>SUMIFS('Daily KPI'!$AA:$AA,'Daily KPI'!$D:$D,$A$4)/1000</f>
        <v>12677.85</v>
      </c>
      <c r="G4" s="120">
        <f>IFERROR(_xlfn.XLOOKUP($A$4,'Modelling New'!$D:$D,'Modelling New'!$X:$X),"")</f>
        <v>0.57210539408867012</v>
      </c>
      <c r="H4" s="121">
        <f>F4/(24*B4*(_xlfn.XLOOKUP($B$1,'Daily KPI'!$A:$A,'Daily KPI'!$AR:$AR)))</f>
        <v>0.35832570207570208</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0.96866668624235552</v>
      </c>
      <c r="M4" s="120">
        <f>_xlfn.XLOOKUP($A$4,'Modelling New'!$D:$D,'Modelling New'!$AI:$AI)</f>
        <v>0.99</v>
      </c>
      <c r="N4" s="121">
        <f>AVERAGEIFS('Daily KPI'!$Q:$Q,'Daily KPI'!$A:$A,"&lt;="&amp;MonthlyKPI!$B$1,'Daily KPI'!$D:$D,$A$4)</f>
        <v>0.99506121627529676</v>
      </c>
      <c r="O4" s="120">
        <f>K4*M4</f>
        <v>0.96029999999999993</v>
      </c>
      <c r="P4" s="122">
        <f>L4*N4</f>
        <v>0.96388265097767956</v>
      </c>
      <c r="Q4" s="116">
        <f>SUMIFS('Daily KPI'!$X:$X,'Daily KPI'!$D:$D,$A$4)/1000</f>
        <v>13015.429</v>
      </c>
      <c r="R4" s="122">
        <f>Q4/F4-1</f>
        <v>2.66274644360045E-2</v>
      </c>
      <c r="S4" s="116">
        <f>SUMIFS(Input_Raw!BQ:BQ,Input_Raw!A:A,"&gt;="&amp;A4,Input_Raw!A:A,"&lt;="&amp;B1)</f>
        <v>13859.720000000001</v>
      </c>
      <c r="T4" s="119">
        <f>SUMIFS('Daily KPI'!$AI:$AI,'Daily KPI'!$D:$D,$A$4)</f>
        <v>13859.720000000001</v>
      </c>
      <c r="U4" s="200">
        <f>IFERROR(AVERAGEIFS('Daily KPI'!$AN:$AN,'Daily KPI'!$D:$D,MonthlyKPI!$A$4,'Daily KPI'!$A:$A,"&lt;="&amp;MonthlyKPI!$B$1),"")</f>
        <v>2.5863657704113422E-2</v>
      </c>
      <c r="V4" s="199">
        <f>AVERAGEIFS('Daily KPI'!$AO:$AO,'Daily KPI'!$A:$A,"&lt;="&amp;MonthlyKPI!$B$1,'Daily KPI'!$D:$D,$A$4)</f>
        <v>9.0736198947347774E-3</v>
      </c>
    </row>
    <row r="6" spans="1:22" ht="29.25" customHeight="1">
      <c r="Q6" s="2"/>
    </row>
    <row r="7" spans="1:22" ht="29.25" customHeight="1">
      <c r="A7" s="32" t="s">
        <v>69</v>
      </c>
      <c r="B7" s="33">
        <f>B8-6</f>
        <v>45853</v>
      </c>
      <c r="D7" s="36"/>
      <c r="F7" s="36"/>
    </row>
    <row r="8" spans="1:22" ht="29.25" customHeight="1">
      <c r="A8" s="32" t="s">
        <v>70</v>
      </c>
      <c r="B8" s="33">
        <f>B1</f>
        <v>45859</v>
      </c>
    </row>
    <row r="9" spans="1:22" ht="29.25" customHeight="1">
      <c r="A9" s="628" t="s">
        <v>71</v>
      </c>
      <c r="B9" s="629"/>
      <c r="C9" s="629"/>
      <c r="D9" s="629"/>
      <c r="E9" s="629"/>
      <c r="F9" s="629"/>
      <c r="G9" s="629"/>
      <c r="H9" s="629"/>
      <c r="I9" s="629"/>
      <c r="J9" s="629"/>
      <c r="K9" s="629"/>
      <c r="L9" s="629"/>
      <c r="M9" s="629"/>
      <c r="N9" s="629"/>
      <c r="O9" s="629"/>
      <c r="P9" s="629"/>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6.0049816345046825</v>
      </c>
      <c r="E11" s="116">
        <f>SUMIFS('Daily KPI'!$AD:$AD,'Daily KPI'!$A:$A,"&gt;="&amp;$B$7,'Daily KPI'!$A:$A,"&lt;="&amp;$B$8)/1000</f>
        <v>6747.1821757241405</v>
      </c>
      <c r="F11" s="119">
        <f>SUMIFS('Daily KPI'!$AA:$AA,'Daily KPI'!$A:$A,"&gt;="&amp;$B$7,'Daily KPI'!$A:$A,"&lt;="&amp;$B$8)/1000</f>
        <v>3547.8</v>
      </c>
      <c r="G11" s="120">
        <f>E11/(24*$B$11*'Basic Data'!$K$3)</f>
        <v>0.57210539408866989</v>
      </c>
      <c r="H11" s="121">
        <f>F11/(24*B11*'Basic Data'!$K$3)</f>
        <v>0.3008241758241757</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0.99146981079611851</v>
      </c>
      <c r="M11" s="120">
        <f>_xlfn.XLOOKUP($A$4,'Modelling New'!$D:$D,'Modelling New'!$AI:$AI)</f>
        <v>0.99</v>
      </c>
      <c r="N11" s="121">
        <f>AVERAGEIFS('Daily KPI'!$Q:$Q,'Daily KPI'!$A:$A,"&gt;="&amp;$B$7,'Daily KPI'!$A:$A,"&lt;="&amp;$B$8)</f>
        <v>0.99766863844210119</v>
      </c>
      <c r="O11" s="120">
        <f>K11*M11</f>
        <v>0.96029999999999993</v>
      </c>
      <c r="P11" s="122">
        <f>L11*N11</f>
        <v>0.9891583361934112</v>
      </c>
      <c r="Q11" s="116">
        <f>SUMIFS(Input_Raw!BQ:BQ,Input_Raw!A:A,"&gt;="&amp;B7,Input_Raw!A:A,"&lt;="&amp;B8)</f>
        <v>3777.57</v>
      </c>
    </row>
    <row r="14" spans="1:22" ht="29.25" customHeight="1">
      <c r="A14" s="32" t="s">
        <v>69</v>
      </c>
      <c r="B14" s="33">
        <f>B15-29</f>
        <v>45830</v>
      </c>
      <c r="D14" s="36"/>
      <c r="F14" s="36"/>
    </row>
    <row r="15" spans="1:22" ht="29.25" customHeight="1">
      <c r="A15" s="32" t="s">
        <v>70</v>
      </c>
      <c r="B15" s="33">
        <f>B8</f>
        <v>45859</v>
      </c>
    </row>
    <row r="16" spans="1:22" ht="29.25" customHeight="1">
      <c r="A16" s="628" t="s">
        <v>72</v>
      </c>
      <c r="B16" s="629"/>
      <c r="C16" s="629"/>
      <c r="D16" s="629"/>
      <c r="E16" s="629"/>
      <c r="F16" s="629"/>
      <c r="G16" s="629"/>
      <c r="H16" s="629"/>
      <c r="I16" s="629"/>
      <c r="J16" s="629"/>
      <c r="K16" s="629"/>
      <c r="L16" s="629"/>
      <c r="M16" s="629"/>
      <c r="N16" s="629"/>
      <c r="O16" s="629"/>
      <c r="P16" s="629"/>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6.8452469706822736</v>
      </c>
      <c r="E18" s="116">
        <f>SUMIFS('Daily KPI'!$AD:$AD,'Daily KPI'!$A:$A,"&gt;="&amp;$B$14,'Daily KPI'!$A:$A,"&lt;="&amp;$B$15)/1000</f>
        <v>27456.06599645321</v>
      </c>
      <c r="F18" s="119">
        <f>SUMIFS('Daily KPI'!$X:$X,'Daily KPI'!$A:$A,"&gt;="&amp;$B$14,'Daily KPI'!$A:$A,"&lt;="&amp;$B$15)/1000</f>
        <v>21090.028999999999</v>
      </c>
      <c r="G18" s="120">
        <f>E18/(24*$B$18*'Basic Data'!$K$3)</f>
        <v>0.54321118226600973</v>
      </c>
      <c r="H18" s="121">
        <f>F18/(24*B18*'Basic Data'!$K$3)</f>
        <v>0.41726078268439359</v>
      </c>
      <c r="I18" s="120">
        <v>0.997</v>
      </c>
      <c r="J18" s="121">
        <f>AVERAGEIFS('Daily KPI'!$R:$R,'Daily KPI'!$A:$A,"&gt;="&amp;$B$14,'Daily KPI'!$A:$A,"&lt;="&amp;$B$15)</f>
        <v>1</v>
      </c>
      <c r="K18" s="120">
        <v>0.98599999999999999</v>
      </c>
      <c r="L18" s="121">
        <f>AVERAGEIFS('Daily KPI'!$P:$P,'Daily KPI'!$A:$A,"&gt;="&amp;$B$14,'Daily KPI'!$A:$A,"&lt;="&amp;$B$15)</f>
        <v>0.96374438784059513</v>
      </c>
      <c r="M18" s="120">
        <v>0.995</v>
      </c>
      <c r="N18" s="121">
        <f>AVERAGEIFS('Daily KPI'!$Q:$Q,'Daily KPI'!$A:$A,"&gt;="&amp;$B$14,'Daily KPI'!$A:$A,"&lt;="&amp;$B$15)</f>
        <v>0.99654285139270771</v>
      </c>
      <c r="O18" s="120">
        <f>K18*M18</f>
        <v>0.98107</v>
      </c>
      <c r="P18" s="122">
        <f>L18*N18</f>
        <v>0.9604125802723863</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M101" sqref="M101"/>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t="str">
        <f>IFERROR(_xlfn.XLOOKUP($A117,Input_Raw!$A:$A,Input_Raw!BG:BG),"")</f>
        <v/>
      </c>
      <c r="N117" s="170" t="str">
        <f>IFERROR(_xlfn.XLOOKUP($A117,Input_Raw!$A:$A,Input_Raw!BH:BH),"")</f>
        <v/>
      </c>
      <c r="O117" s="173" t="str">
        <f t="shared" si="9"/>
        <v/>
      </c>
      <c r="P117" s="173" t="str">
        <f>IFERROR(1-SUMIF(WTG_BD!$F:$F,$A117,WTG_BD!$AA:$AA)/($AA117+SUMIF(WTG_BD!$F:$F,$A117,WTG_BD!$AA:$AA)),"")</f>
        <v/>
      </c>
      <c r="Q117" s="173" t="str">
        <f>IFERROR(1-SUMIF(IGA_BD!$F:$F,$A117,IGA_BD!$X:$X)/($AA117+SUMIF(IGA_BD!$F:$F,$A117,IGA_BD!$X:$X)),"")</f>
        <v/>
      </c>
      <c r="R117" s="173" t="str">
        <f>IFERROR(1-SUMIF(Grid_BD!$F:$F,$A117,Grid_BD!$Y:$Y)/($AA117+SUMIF(Grid_BD!$F:$F,$A117,Grid_BD!$Y:$Y)),"")</f>
        <v/>
      </c>
      <c r="S117" s="167"/>
      <c r="T117" s="172"/>
      <c r="U117" s="173"/>
      <c r="V117" s="167"/>
      <c r="W117" s="174" t="str">
        <f t="shared" si="10"/>
        <v/>
      </c>
      <c r="X117" s="167" t="str">
        <f>IFERROR(_xlfn.XLOOKUP($A117,Input_Raw!$A:$A,Input_Raw!$BF:$BF),"")</f>
        <v/>
      </c>
      <c r="Y117" s="167" t="str">
        <f>IFERROR(_xlfn.XLOOKUP($A117,Input_Raw!$A:$A,Input_Raw!BJ:BJ),"")</f>
        <v/>
      </c>
      <c r="Z117" s="167" t="str">
        <f>IFERROR(_xlfn.XLOOKUP($A117,Input_Raw!$A:$A,Input_Raw!BK:BK),"")</f>
        <v/>
      </c>
      <c r="AA117" s="167" t="str">
        <f>IFERROR(_xlfn.XLOOKUP($A117,Input_Raw!$A:$A,Input_Raw!BL:BL),"")</f>
        <v/>
      </c>
      <c r="AB117" s="167" t="str">
        <f>IFERROR(_xlfn.XLOOKUP($A117,Input_Raw!$A:$A,Input_Raw!$BO:$BO),"")</f>
        <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t="str">
        <f>IFERROR(_xlfn.XLOOKUP($A117,Input_Raw!$A:$A,Input_Raw!$BQ:$BQ),"")</f>
        <v/>
      </c>
      <c r="AJ117" s="167"/>
      <c r="AK117" s="167"/>
      <c r="AL117" s="167"/>
      <c r="AM117" s="167"/>
      <c r="AN117" s="175" t="str">
        <f>IFERROR(_xlfn.XLOOKUP($A117,Input_Raw!$A:$A,Input_Raw!$BN:$BN),"")</f>
        <v/>
      </c>
      <c r="AO117" s="174" t="str">
        <f>IFERROR((_xlfn.XLOOKUP($A117,'WTG Reactive Power'!$A:$A,'WTG Reactive Power'!$AE:$AE))/Table13[[#This Row],[Gen_Exp (kWh)]],"")</f>
        <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t="str">
        <f>IFERROR(_xlfn.XLOOKUP($A118,Input_Raw!$A:$A,Input_Raw!BG:BG),"")</f>
        <v/>
      </c>
      <c r="N118" s="170" t="str">
        <f>IFERROR(_xlfn.XLOOKUP($A118,Input_Raw!$A:$A,Input_Raw!BH:BH),"")</f>
        <v/>
      </c>
      <c r="O118" s="173" t="str">
        <f t="shared" si="9"/>
        <v/>
      </c>
      <c r="P118" s="173" t="str">
        <f>IFERROR(1-SUMIF(WTG_BD!$F:$F,$A118,WTG_BD!$AA:$AA)/($AA118+SUMIF(WTG_BD!$F:$F,$A118,WTG_BD!$AA:$AA)),"")</f>
        <v/>
      </c>
      <c r="Q118" s="173" t="str">
        <f>IFERROR(1-SUMIF(IGA_BD!$F:$F,$A118,IGA_BD!$X:$X)/($AA118+SUMIF(IGA_BD!$F:$F,$A118,IGA_BD!$X:$X)),"")</f>
        <v/>
      </c>
      <c r="R118" s="173" t="str">
        <f>IFERROR(1-SUMIF(Grid_BD!$F:$F,$A118,Grid_BD!$Y:$Y)/($AA118+SUMIF(Grid_BD!$F:$F,$A118,Grid_BD!$Y:$Y)),"")</f>
        <v/>
      </c>
      <c r="S118" s="167"/>
      <c r="T118" s="172"/>
      <c r="U118" s="173"/>
      <c r="V118" s="167"/>
      <c r="W118" s="174" t="str">
        <f t="shared" si="10"/>
        <v/>
      </c>
      <c r="X118" s="167" t="str">
        <f>IFERROR(_xlfn.XLOOKUP($A118,Input_Raw!$A:$A,Input_Raw!$BF:$BF),"")</f>
        <v/>
      </c>
      <c r="Y118" s="167" t="str">
        <f>IFERROR(_xlfn.XLOOKUP($A118,Input_Raw!$A:$A,Input_Raw!BJ:BJ),"")</f>
        <v/>
      </c>
      <c r="Z118" s="167" t="str">
        <f>IFERROR(_xlfn.XLOOKUP($A118,Input_Raw!$A:$A,Input_Raw!BK:BK),"")</f>
        <v/>
      </c>
      <c r="AA118" s="167" t="str">
        <f>IFERROR(_xlfn.XLOOKUP($A118,Input_Raw!$A:$A,Input_Raw!BL:BL),"")</f>
        <v/>
      </c>
      <c r="AB118" s="167" t="str">
        <f>IFERROR(_xlfn.XLOOKUP($A118,Input_Raw!$A:$A,Input_Raw!$BO:$BO),"")</f>
        <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t="str">
        <f>IFERROR(_xlfn.XLOOKUP($A118,Input_Raw!$A:$A,Input_Raw!$BQ:$BQ),"")</f>
        <v/>
      </c>
      <c r="AJ118" s="167"/>
      <c r="AK118" s="167"/>
      <c r="AL118" s="167"/>
      <c r="AM118" s="167"/>
      <c r="AN118" s="175" t="str">
        <f>IFERROR(_xlfn.XLOOKUP($A118,Input_Raw!$A:$A,Input_Raw!$BN:$BN),"")</f>
        <v/>
      </c>
      <c r="AO118" s="174" t="str">
        <f>IFERROR((_xlfn.XLOOKUP($A118,'WTG Reactive Power'!$A:$A,'WTG Reactive Power'!$AE:$AE))/Table13[[#This Row],[Gen_Exp (kWh)]],"")</f>
        <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t="str">
        <f>IFERROR(_xlfn.XLOOKUP($A119,Input_Raw!$A:$A,Input_Raw!BG:BG),"")</f>
        <v/>
      </c>
      <c r="N119" s="170" t="str">
        <f>IFERROR(_xlfn.XLOOKUP($A119,Input_Raw!$A:$A,Input_Raw!BH:BH),"")</f>
        <v/>
      </c>
      <c r="O119" s="173" t="str">
        <f t="shared" si="9"/>
        <v/>
      </c>
      <c r="P119" s="173" t="str">
        <f>IFERROR(1-SUMIF(WTG_BD!$F:$F,$A119,WTG_BD!$AA:$AA)/($AA119+SUMIF(WTG_BD!$F:$F,$A119,WTG_BD!$AA:$AA)),"")</f>
        <v/>
      </c>
      <c r="Q119" s="173" t="str">
        <f>IFERROR(1-SUMIF(IGA_BD!$F:$F,$A119,IGA_BD!$X:$X)/($AA119+SUMIF(IGA_BD!$F:$F,$A119,IGA_BD!$X:$X)),"")</f>
        <v/>
      </c>
      <c r="R119" s="173" t="str">
        <f>IFERROR(1-SUMIF(Grid_BD!$F:$F,$A119,Grid_BD!$Y:$Y)/($AA119+SUMIF(Grid_BD!$F:$F,$A119,Grid_BD!$Y:$Y)),"")</f>
        <v/>
      </c>
      <c r="S119" s="167"/>
      <c r="T119" s="172"/>
      <c r="U119" s="173"/>
      <c r="V119" s="167"/>
      <c r="W119" s="174" t="str">
        <f t="shared" si="10"/>
        <v/>
      </c>
      <c r="X119" s="167" t="str">
        <f>IFERROR(_xlfn.XLOOKUP($A119,Input_Raw!$A:$A,Input_Raw!$BF:$BF),"")</f>
        <v/>
      </c>
      <c r="Y119" s="167" t="str">
        <f>IFERROR(_xlfn.XLOOKUP($A119,Input_Raw!$A:$A,Input_Raw!BJ:BJ),"")</f>
        <v/>
      </c>
      <c r="Z119" s="167" t="str">
        <f>IFERROR(_xlfn.XLOOKUP($A119,Input_Raw!$A:$A,Input_Raw!BK:BK),"")</f>
        <v/>
      </c>
      <c r="AA119" s="167" t="str">
        <f>IFERROR(_xlfn.XLOOKUP($A119,Input_Raw!$A:$A,Input_Raw!BL:BL),"")</f>
        <v/>
      </c>
      <c r="AB119" s="167" t="str">
        <f>IFERROR(_xlfn.XLOOKUP($A119,Input_Raw!$A:$A,Input_Raw!$BO:$BO),"")</f>
        <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t="str">
        <f>IFERROR(_xlfn.XLOOKUP($A119,Input_Raw!$A:$A,Input_Raw!$BQ:$BQ),"")</f>
        <v/>
      </c>
      <c r="AJ119" s="167"/>
      <c r="AK119" s="167"/>
      <c r="AL119" s="167"/>
      <c r="AM119" s="167"/>
      <c r="AN119" s="175" t="str">
        <f>IFERROR(_xlfn.XLOOKUP($A119,Input_Raw!$A:$A,Input_Raw!$BN:$BN),"")</f>
        <v/>
      </c>
      <c r="AO119" s="174" t="str">
        <f>IFERROR((_xlfn.XLOOKUP($A119,'WTG Reactive Power'!$A:$A,'WTG Reactive Power'!$AE:$AE))/Table13[[#This Row],[Gen_Exp (kWh)]],"")</f>
        <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t="str">
        <f>IFERROR(_xlfn.XLOOKUP($A120,Input_Raw!$A:$A,Input_Raw!BG:BG),"")</f>
        <v/>
      </c>
      <c r="N120" s="170" t="str">
        <f>IFERROR(_xlfn.XLOOKUP($A120,Input_Raw!$A:$A,Input_Raw!BH:BH),"")</f>
        <v/>
      </c>
      <c r="O120" s="173" t="str">
        <f t="shared" si="9"/>
        <v/>
      </c>
      <c r="P120" s="173" t="str">
        <f>IFERROR(1-SUMIF(WTG_BD!$F:$F,$A120,WTG_BD!$AA:$AA)/($AA120+SUMIF(WTG_BD!$F:$F,$A120,WTG_BD!$AA:$AA)),"")</f>
        <v/>
      </c>
      <c r="Q120" s="173" t="str">
        <f>IFERROR(1-SUMIF(IGA_BD!$F:$F,$A120,IGA_BD!$X:$X)/($AA120+SUMIF(IGA_BD!$F:$F,$A120,IGA_BD!$X:$X)),"")</f>
        <v/>
      </c>
      <c r="R120" s="173" t="str">
        <f>IFERROR(1-SUMIF(Grid_BD!$F:$F,$A120,Grid_BD!$Y:$Y)/($AA120+SUMIF(Grid_BD!$F:$F,$A120,Grid_BD!$Y:$Y)),"")</f>
        <v/>
      </c>
      <c r="S120" s="167"/>
      <c r="T120" s="172"/>
      <c r="U120" s="173"/>
      <c r="V120" s="167"/>
      <c r="W120" s="174" t="str">
        <f t="shared" si="10"/>
        <v/>
      </c>
      <c r="X120" s="167" t="str">
        <f>IFERROR(_xlfn.XLOOKUP($A120,Input_Raw!$A:$A,Input_Raw!$BF:$BF),"")</f>
        <v/>
      </c>
      <c r="Y120" s="167" t="str">
        <f>IFERROR(_xlfn.XLOOKUP($A120,Input_Raw!$A:$A,Input_Raw!BJ:BJ),"")</f>
        <v/>
      </c>
      <c r="Z120" s="167" t="str">
        <f>IFERROR(_xlfn.XLOOKUP($A120,Input_Raw!$A:$A,Input_Raw!BK:BK),"")</f>
        <v/>
      </c>
      <c r="AA120" s="167" t="str">
        <f>IFERROR(_xlfn.XLOOKUP($A120,Input_Raw!$A:$A,Input_Raw!BL:BL),"")</f>
        <v/>
      </c>
      <c r="AB120" s="167" t="str">
        <f>IFERROR(_xlfn.XLOOKUP($A120,Input_Raw!$A:$A,Input_Raw!$BO:$BO),"")</f>
        <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t="str">
        <f>IFERROR(_xlfn.XLOOKUP($A120,Input_Raw!$A:$A,Input_Raw!$BQ:$BQ),"")</f>
        <v/>
      </c>
      <c r="AJ120" s="167"/>
      <c r="AK120" s="167"/>
      <c r="AL120" s="167"/>
      <c r="AM120" s="167"/>
      <c r="AN120" s="175" t="str">
        <f>IFERROR(_xlfn.XLOOKUP($A120,Input_Raw!$A:$A,Input_Raw!$BN:$BN),"")</f>
        <v/>
      </c>
      <c r="AO120" s="174" t="str">
        <f>IFERROR((_xlfn.XLOOKUP($A120,'WTG Reactive Power'!$A:$A,'WTG Reactive Power'!$AE:$AE))/Table13[[#This Row],[Gen_Exp (kWh)]],"")</f>
        <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t="str">
        <f>IFERROR(_xlfn.XLOOKUP($A121,Input_Raw!$A:$A,Input_Raw!BG:BG),"")</f>
        <v/>
      </c>
      <c r="N121" s="170" t="str">
        <f>IFERROR(_xlfn.XLOOKUP($A121,Input_Raw!$A:$A,Input_Raw!BH:BH),"")</f>
        <v/>
      </c>
      <c r="O121" s="173" t="str">
        <f t="shared" si="9"/>
        <v/>
      </c>
      <c r="P121" s="173" t="str">
        <f>IFERROR(1-SUMIF(WTG_BD!$F:$F,$A121,WTG_BD!$AA:$AA)/($AA121+SUMIF(WTG_BD!$F:$F,$A121,WTG_BD!$AA:$AA)),"")</f>
        <v/>
      </c>
      <c r="Q121" s="173" t="str">
        <f>IFERROR(1-SUMIF(IGA_BD!$F:$F,$A121,IGA_BD!$X:$X)/($AA121+SUMIF(IGA_BD!$F:$F,$A121,IGA_BD!$X:$X)),"")</f>
        <v/>
      </c>
      <c r="R121" s="173" t="str">
        <f>IFERROR(1-SUMIF(Grid_BD!$F:$F,$A121,Grid_BD!$Y:$Y)/($AA121+SUMIF(Grid_BD!$F:$F,$A121,Grid_BD!$Y:$Y)),"")</f>
        <v/>
      </c>
      <c r="S121" s="167"/>
      <c r="T121" s="172"/>
      <c r="U121" s="173"/>
      <c r="V121" s="167"/>
      <c r="W121" s="174" t="str">
        <f t="shared" si="10"/>
        <v/>
      </c>
      <c r="X121" s="167" t="str">
        <f>IFERROR(_xlfn.XLOOKUP($A121,Input_Raw!$A:$A,Input_Raw!$BF:$BF),"")</f>
        <v/>
      </c>
      <c r="Y121" s="167" t="str">
        <f>IFERROR(_xlfn.XLOOKUP($A121,Input_Raw!$A:$A,Input_Raw!BJ:BJ),"")</f>
        <v/>
      </c>
      <c r="Z121" s="167" t="str">
        <f>IFERROR(_xlfn.XLOOKUP($A121,Input_Raw!$A:$A,Input_Raw!BK:BK),"")</f>
        <v/>
      </c>
      <c r="AA121" s="167" t="str">
        <f>IFERROR(_xlfn.XLOOKUP($A121,Input_Raw!$A:$A,Input_Raw!BL:BL),"")</f>
        <v/>
      </c>
      <c r="AB121" s="167" t="str">
        <f>IFERROR(_xlfn.XLOOKUP($A121,Input_Raw!$A:$A,Input_Raw!$BO:$BO),"")</f>
        <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t="str">
        <f>IFERROR(_xlfn.XLOOKUP($A121,Input_Raw!$A:$A,Input_Raw!$BQ:$BQ),"")</f>
        <v/>
      </c>
      <c r="AJ121" s="167"/>
      <c r="AK121" s="167"/>
      <c r="AL121" s="167"/>
      <c r="AM121" s="167"/>
      <c r="AN121" s="175" t="str">
        <f>IFERROR(_xlfn.XLOOKUP($A121,Input_Raw!$A:$A,Input_Raw!$BN:$BN),"")</f>
        <v/>
      </c>
      <c r="AO121" s="174" t="str">
        <f>IFERROR((_xlfn.XLOOKUP($A121,'WTG Reactive Power'!$A:$A,'WTG Reactive Power'!$AE:$AE))/Table13[[#This Row],[Gen_Exp (kWh)]],"")</f>
        <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t="str">
        <f>IFERROR(_xlfn.XLOOKUP($A122,Input_Raw!$A:$A,Input_Raw!BG:BG),"")</f>
        <v/>
      </c>
      <c r="N122" s="170" t="str">
        <f>IFERROR(_xlfn.XLOOKUP($A122,Input_Raw!$A:$A,Input_Raw!BH:BH),"")</f>
        <v/>
      </c>
      <c r="O122" s="173" t="str">
        <f t="shared" si="9"/>
        <v/>
      </c>
      <c r="P122" s="173" t="str">
        <f>IFERROR(1-SUMIF(WTG_BD!$F:$F,$A122,WTG_BD!$AA:$AA)/($AA122+SUMIF(WTG_BD!$F:$F,$A122,WTG_BD!$AA:$AA)),"")</f>
        <v/>
      </c>
      <c r="Q122" s="173" t="str">
        <f>IFERROR(1-SUMIF(IGA_BD!$F:$F,$A122,IGA_BD!$X:$X)/($AA122+SUMIF(IGA_BD!$F:$F,$A122,IGA_BD!$X:$X)),"")</f>
        <v/>
      </c>
      <c r="R122" s="173" t="str">
        <f>IFERROR(1-SUMIF(Grid_BD!$F:$F,$A122,Grid_BD!$Y:$Y)/($AA122+SUMIF(Grid_BD!$F:$F,$A122,Grid_BD!$Y:$Y)),"")</f>
        <v/>
      </c>
      <c r="S122" s="167"/>
      <c r="T122" s="172"/>
      <c r="U122" s="173"/>
      <c r="V122" s="167"/>
      <c r="W122" s="174" t="str">
        <f t="shared" si="10"/>
        <v/>
      </c>
      <c r="X122" s="167" t="str">
        <f>IFERROR(_xlfn.XLOOKUP($A122,Input_Raw!$A:$A,Input_Raw!$BF:$BF),"")</f>
        <v/>
      </c>
      <c r="Y122" s="167" t="str">
        <f>IFERROR(_xlfn.XLOOKUP($A122,Input_Raw!$A:$A,Input_Raw!BJ:BJ),"")</f>
        <v/>
      </c>
      <c r="Z122" s="167" t="str">
        <f>IFERROR(_xlfn.XLOOKUP($A122,Input_Raw!$A:$A,Input_Raw!BK:BK),"")</f>
        <v/>
      </c>
      <c r="AA122" s="167" t="str">
        <f>IFERROR(_xlfn.XLOOKUP($A122,Input_Raw!$A:$A,Input_Raw!BL:BL),"")</f>
        <v/>
      </c>
      <c r="AB122" s="167" t="str">
        <f>IFERROR(_xlfn.XLOOKUP($A122,Input_Raw!$A:$A,Input_Raw!$BO:$BO),"")</f>
        <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t="str">
        <f>IFERROR(_xlfn.XLOOKUP($A122,Input_Raw!$A:$A,Input_Raw!$BQ:$BQ),"")</f>
        <v/>
      </c>
      <c r="AJ122" s="167"/>
      <c r="AK122" s="167"/>
      <c r="AL122" s="167"/>
      <c r="AM122" s="167"/>
      <c r="AN122" s="175" t="str">
        <f>IFERROR(_xlfn.XLOOKUP($A122,Input_Raw!$A:$A,Input_Raw!$BN:$BN),"")</f>
        <v/>
      </c>
      <c r="AO122" s="174" t="str">
        <f>IFERROR((_xlfn.XLOOKUP($A122,'WTG Reactive Power'!$A:$A,'WTG Reactive Power'!$AE:$AE))/Table13[[#This Row],[Gen_Exp (kWh)]],"")</f>
        <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45859</v>
      </c>
      <c r="C1" s="115">
        <f>O2Summary!$B$3</f>
        <v>45839</v>
      </c>
    </row>
    <row r="2" spans="1:19" ht="21">
      <c r="A2" s="628" t="s">
        <v>44</v>
      </c>
      <c r="B2" s="629"/>
      <c r="C2" s="629"/>
      <c r="D2" s="629"/>
      <c r="E2" s="629"/>
      <c r="F2" s="629"/>
      <c r="G2" s="629"/>
      <c r="H2" s="629"/>
      <c r="I2" s="629"/>
      <c r="J2" s="629"/>
      <c r="K2" s="629"/>
      <c r="L2" s="629"/>
      <c r="M2" s="629"/>
      <c r="N2" s="629"/>
      <c r="O2" s="629"/>
      <c r="P2" s="629"/>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112</v>
      </c>
      <c r="C4" s="117">
        <f>_xlfn.XLOOKUP($C$1,'Modelling New'!$D:$D,'Modelling New'!$AD:$AD)</f>
        <v>7.2925000000000004</v>
      </c>
      <c r="D4" s="118">
        <f>AVERAGEIFS('Daily KPI'!$M:$M,'Daily KPI'!$A:$A,"&gt;="&amp;O2Summary!$B$6,'Daily KPI'!$A:$A,"&lt;="&amp;AnnualKPI!$B$1)</f>
        <v>6.7874026662418725</v>
      </c>
      <c r="E4" s="116">
        <f>_xlfn.XLOOKUP($C$1,'Modelling New'!$D:$D,'Modelling New'!$V:$V)</f>
        <v>93392.814560275889</v>
      </c>
      <c r="F4" s="119">
        <f>SUMIFS('Daily KPI'!$AA:$AA,'Daily KPI'!$A:$A,"&gt;="&amp;O2Summary!$B$6,'Daily KPI'!$A:$A,"&lt;="&amp;AnnualKPI!$B$1)/1000</f>
        <v>76608.899999999994</v>
      </c>
      <c r="G4" s="120">
        <f>_xlfn.XLOOKUP($C$1,'Modelling New'!$D:$D,'Modelling New'!$Y:$Y)</f>
        <v>0.49493377001231531</v>
      </c>
      <c r="H4" s="121">
        <f>IFERROR(F4/(B4*24*(_xlfn.XLOOKUP($B$1,'Daily KPI'!$A:$A,'Daily KPI'!$AR:$AR))),"")</f>
        <v>0.40598767551892545</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0.96988337228069565</v>
      </c>
      <c r="M4" s="120">
        <f>_xlfn.XLOOKUP($C$1,'Modelling New'!$D:$D,'Modelling New'!$AI:$AI)</f>
        <v>0.99</v>
      </c>
      <c r="N4" s="122">
        <f>AVERAGEIFS('Daily KPI'!$Q:$Q,'Daily KPI'!$A:$A,"&gt;="&amp;O2Summary!$B$6,'Daily KPI'!$A:$A,"&lt;="&amp;AnnualKPI!$B$1)</f>
        <v>0.97351376745573448</v>
      </c>
      <c r="O4" s="120">
        <f>K4*M4</f>
        <v>0.96029999999999993</v>
      </c>
      <c r="P4" s="122">
        <f>L4*N4</f>
        <v>0.94419481574165265</v>
      </c>
      <c r="Q4" s="119">
        <f>SUMIFS('Daily KPI'!$AI:$AI,'Daily KPI'!$D:$D,"&gt;="&amp;O2Summary!$B$6,'Daily KPI'!$A:$A,"&lt;="&amp;AnnualKPI!$B$1)</f>
        <v>83283.924499999994</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I15" sqref="I15"/>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45839</v>
      </c>
    </row>
    <row r="3" spans="1:27" ht="29.25" customHeight="1">
      <c r="A3" s="82" t="s">
        <v>70</v>
      </c>
      <c r="B3" s="83">
        <f>O2Summary!B4</f>
        <v>45859</v>
      </c>
      <c r="C3">
        <f>((B3-B2)+1)*24</f>
        <v>504</v>
      </c>
      <c r="D3" s="81">
        <f>MEDIAN(B21:AA21)</f>
        <v>6.5</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0.99976851851851856</v>
      </c>
      <c r="C5" s="155">
        <f>IFERROR(($C$3-C6)/$C$3,1)</f>
        <v>0.99976851851851856</v>
      </c>
      <c r="D5" s="155">
        <f t="shared" ref="D5:AA5" si="0">IFERROR(($C$3-D6)/$C$3,1)</f>
        <v>0.99976851851851856</v>
      </c>
      <c r="E5" s="155">
        <f t="shared" si="0"/>
        <v>0.99976851851851856</v>
      </c>
      <c r="F5" s="155">
        <f t="shared" si="0"/>
        <v>0.99976851851851856</v>
      </c>
      <c r="G5" s="155">
        <f t="shared" si="0"/>
        <v>0.99976851851851856</v>
      </c>
      <c r="H5" s="155">
        <f t="shared" si="0"/>
        <v>0.99976851851851856</v>
      </c>
      <c r="I5" s="155">
        <f t="shared" si="0"/>
        <v>0.99976851851851856</v>
      </c>
      <c r="J5" s="155">
        <f t="shared" si="0"/>
        <v>0.99976851851851856</v>
      </c>
      <c r="K5" s="155">
        <f t="shared" si="0"/>
        <v>0.99976851851851856</v>
      </c>
      <c r="L5" s="155">
        <f t="shared" si="0"/>
        <v>0.99976851851851856</v>
      </c>
      <c r="M5" s="155">
        <f t="shared" si="0"/>
        <v>0.99976851851851856</v>
      </c>
      <c r="N5" s="155">
        <f t="shared" si="0"/>
        <v>0.99976851851851856</v>
      </c>
      <c r="O5" s="155">
        <f t="shared" si="0"/>
        <v>0.99976851851851856</v>
      </c>
      <c r="P5" s="155">
        <f t="shared" si="0"/>
        <v>0.99976851851851856</v>
      </c>
      <c r="Q5" s="155">
        <f t="shared" si="0"/>
        <v>0.99976851851851856</v>
      </c>
      <c r="R5" s="155">
        <f t="shared" si="0"/>
        <v>0.99976851851851856</v>
      </c>
      <c r="S5" s="155">
        <f t="shared" si="0"/>
        <v>0.99976851851851856</v>
      </c>
      <c r="T5" s="155">
        <f t="shared" si="0"/>
        <v>0.99976851851851856</v>
      </c>
      <c r="U5" s="155">
        <f t="shared" si="0"/>
        <v>0.99976851851851856</v>
      </c>
      <c r="V5" s="155">
        <f t="shared" si="0"/>
        <v>0.99976851851851856</v>
      </c>
      <c r="W5" s="155">
        <f t="shared" si="0"/>
        <v>0.99976851851851856</v>
      </c>
      <c r="X5" s="155">
        <f t="shared" si="0"/>
        <v>0.99976851851851856</v>
      </c>
      <c r="Y5" s="155">
        <f t="shared" si="0"/>
        <v>0.99976851851851856</v>
      </c>
      <c r="Z5" s="155">
        <f t="shared" si="0"/>
        <v>0.99976851851851856</v>
      </c>
      <c r="AA5" s="155">
        <f t="shared" si="0"/>
        <v>0.99976851851851856</v>
      </c>
    </row>
    <row r="6" spans="1:27" ht="29.25" hidden="1" customHeight="1">
      <c r="A6" s="129" t="s">
        <v>101</v>
      </c>
      <c r="B6" s="154">
        <f>SUMIFS(WTG_BD!$T:$T,WTG_BD!$F:$F,"&gt;="&amp;Analytices!$B$2,WTG_BD!$F:$F,"&lt;="&amp;Analytices!$B$3,WTG_BD!$G:$G,$B$4)</f>
        <v>0.11666666666666625</v>
      </c>
      <c r="C6" s="154">
        <f>SUMIFS(WTG_BD!$T:$T,WTG_BD!$F:$F,"&gt;="&amp;Analytices!$B$2,WTG_BD!$F:$F,"&lt;="&amp;Analytices!$B$3,WTG_BD!$G:$G,$B$4)</f>
        <v>0.11666666666666625</v>
      </c>
      <c r="D6" s="154">
        <f>SUMIFS(WTG_BD!$T:$T,WTG_BD!$F:$F,"&gt;="&amp;Analytices!$B$2,WTG_BD!$F:$F,"&lt;="&amp;Analytices!$B$3,WTG_BD!$G:$G,$B$4)</f>
        <v>0.11666666666666625</v>
      </c>
      <c r="E6" s="154">
        <f>SUMIFS(WTG_BD!$T:$T,WTG_BD!$F:$F,"&gt;="&amp;Analytices!$B$2,WTG_BD!$F:$F,"&lt;="&amp;Analytices!$B$3,WTG_BD!$G:$G,$B$4)</f>
        <v>0.11666666666666625</v>
      </c>
      <c r="F6" s="154">
        <f>SUMIFS(WTG_BD!$T:$T,WTG_BD!$F:$F,"&gt;="&amp;Analytices!$B$2,WTG_BD!$F:$F,"&lt;="&amp;Analytices!$B$3,WTG_BD!$G:$G,$B$4)</f>
        <v>0.11666666666666625</v>
      </c>
      <c r="G6" s="154">
        <f>SUMIFS(WTG_BD!$T:$T,WTG_BD!$F:$F,"&gt;="&amp;Analytices!$B$2,WTG_BD!$F:$F,"&lt;="&amp;Analytices!$B$3,WTG_BD!$G:$G,$B$4)</f>
        <v>0.11666666666666625</v>
      </c>
      <c r="H6" s="154">
        <f>SUMIFS(WTG_BD!$T:$T,WTG_BD!$F:$F,"&gt;="&amp;Analytices!$B$2,WTG_BD!$F:$F,"&lt;="&amp;Analytices!$B$3,WTG_BD!$G:$G,$B$4)</f>
        <v>0.11666666666666625</v>
      </c>
      <c r="I6" s="154">
        <f>SUMIFS(WTG_BD!$T:$T,WTG_BD!$F:$F,"&gt;="&amp;Analytices!$B$2,WTG_BD!$F:$F,"&lt;="&amp;Analytices!$B$3,WTG_BD!$G:$G,$B$4)</f>
        <v>0.11666666666666625</v>
      </c>
      <c r="J6" s="154">
        <f>SUMIFS(WTG_BD!$T:$T,WTG_BD!$F:$F,"&gt;="&amp;Analytices!$B$2,WTG_BD!$F:$F,"&lt;="&amp;Analytices!$B$3,WTG_BD!$G:$G,$B$4)</f>
        <v>0.11666666666666625</v>
      </c>
      <c r="K6" s="154">
        <f>SUMIFS(WTG_BD!$T:$T,WTG_BD!$F:$F,"&gt;="&amp;Analytices!$B$2,WTG_BD!$F:$F,"&lt;="&amp;Analytices!$B$3,WTG_BD!$G:$G,$B$4)</f>
        <v>0.11666666666666625</v>
      </c>
      <c r="L6" s="154">
        <f>SUMIFS(WTG_BD!$T:$T,WTG_BD!$F:$F,"&gt;="&amp;Analytices!$B$2,WTG_BD!$F:$F,"&lt;="&amp;Analytices!$B$3,WTG_BD!$G:$G,$B$4)</f>
        <v>0.11666666666666625</v>
      </c>
      <c r="M6" s="154">
        <f>SUMIFS(WTG_BD!$T:$T,WTG_BD!$F:$F,"&gt;="&amp;Analytices!$B$2,WTG_BD!$F:$F,"&lt;="&amp;Analytices!$B$3,WTG_BD!$G:$G,$B$4)</f>
        <v>0.11666666666666625</v>
      </c>
      <c r="N6" s="154">
        <f>SUMIFS(WTG_BD!$T:$T,WTG_BD!$F:$F,"&gt;="&amp;Analytices!$B$2,WTG_BD!$F:$F,"&lt;="&amp;Analytices!$B$3,WTG_BD!$G:$G,$B$4)</f>
        <v>0.11666666666666625</v>
      </c>
      <c r="O6" s="154">
        <f>SUMIFS(WTG_BD!$T:$T,WTG_BD!$F:$F,"&gt;="&amp;Analytices!$B$2,WTG_BD!$F:$F,"&lt;="&amp;Analytices!$B$3,WTG_BD!$G:$G,$B$4)</f>
        <v>0.11666666666666625</v>
      </c>
      <c r="P6" s="154">
        <f>SUMIFS(WTG_BD!$T:$T,WTG_BD!$F:$F,"&gt;="&amp;Analytices!$B$2,WTG_BD!$F:$F,"&lt;="&amp;Analytices!$B$3,WTG_BD!$G:$G,$B$4)</f>
        <v>0.11666666666666625</v>
      </c>
      <c r="Q6" s="154">
        <f>SUMIFS(WTG_BD!$T:$T,WTG_BD!$F:$F,"&gt;="&amp;Analytices!$B$2,WTG_BD!$F:$F,"&lt;="&amp;Analytices!$B$3,WTG_BD!$G:$G,$B$4)</f>
        <v>0.11666666666666625</v>
      </c>
      <c r="R6" s="154">
        <f>SUMIFS(WTG_BD!$T:$T,WTG_BD!$F:$F,"&gt;="&amp;Analytices!$B$2,WTG_BD!$F:$F,"&lt;="&amp;Analytices!$B$3,WTG_BD!$G:$G,$B$4)</f>
        <v>0.11666666666666625</v>
      </c>
      <c r="S6" s="154">
        <f>SUMIFS(WTG_BD!$T:$T,WTG_BD!$F:$F,"&gt;="&amp;Analytices!$B$2,WTG_BD!$F:$F,"&lt;="&amp;Analytices!$B$3,WTG_BD!$G:$G,$B$4)</f>
        <v>0.11666666666666625</v>
      </c>
      <c r="T6" s="154">
        <f>SUMIFS(WTG_BD!$T:$T,WTG_BD!$F:$F,"&gt;="&amp;Analytices!$B$2,WTG_BD!$F:$F,"&lt;="&amp;Analytices!$B$3,WTG_BD!$G:$G,$B$4)</f>
        <v>0.11666666666666625</v>
      </c>
      <c r="U6" s="154">
        <f>SUMIFS(WTG_BD!$T:$T,WTG_BD!$F:$F,"&gt;="&amp;Analytices!$B$2,WTG_BD!$F:$F,"&lt;="&amp;Analytices!$B$3,WTG_BD!$G:$G,$B$4)</f>
        <v>0.11666666666666625</v>
      </c>
      <c r="V6" s="154">
        <f>SUMIFS(WTG_BD!$T:$T,WTG_BD!$F:$F,"&gt;="&amp;Analytices!$B$2,WTG_BD!$F:$F,"&lt;="&amp;Analytices!$B$3,WTG_BD!$G:$G,$B$4)</f>
        <v>0.11666666666666625</v>
      </c>
      <c r="W6" s="154">
        <f>SUMIFS(WTG_BD!$T:$T,WTG_BD!$F:$F,"&gt;="&amp;Analytices!$B$2,WTG_BD!$F:$F,"&lt;="&amp;Analytices!$B$3,WTG_BD!$G:$G,$B$4)</f>
        <v>0.11666666666666625</v>
      </c>
      <c r="X6" s="154">
        <f>SUMIFS(WTG_BD!$T:$T,WTG_BD!$F:$F,"&gt;="&amp;Analytices!$B$2,WTG_BD!$F:$F,"&lt;="&amp;Analytices!$B$3,WTG_BD!$G:$G,$B$4)</f>
        <v>0.11666666666666625</v>
      </c>
      <c r="Y6" s="154">
        <f>SUMIFS(WTG_BD!$T:$T,WTG_BD!$F:$F,"&gt;="&amp;Analytices!$B$2,WTG_BD!$F:$F,"&lt;="&amp;Analytices!$B$3,WTG_BD!$G:$G,$B$4)</f>
        <v>0.11666666666666625</v>
      </c>
      <c r="Z6" s="154">
        <f>SUMIFS(WTG_BD!$T:$T,WTG_BD!$F:$F,"&gt;="&amp;Analytices!$B$2,WTG_BD!$F:$F,"&lt;="&amp;Analytices!$B$3,WTG_BD!$G:$G,$B$4)</f>
        <v>0.11666666666666625</v>
      </c>
      <c r="AA6" s="154">
        <f>SUMIFS(WTG_BD!$T:$T,WTG_BD!$F:$F,"&gt;="&amp;Analytices!$B$2,WTG_BD!$F:$F,"&lt;="&amp;Analytices!$B$3,WTG_BD!$G:$G,$B$4)</f>
        <v>0.11666666666666625</v>
      </c>
    </row>
    <row r="7" spans="1:27" ht="29.25" customHeight="1">
      <c r="A7" s="127" t="s">
        <v>102</v>
      </c>
      <c r="B7" s="156">
        <f>($C$3-SUM(B8:B12))/$C$3</f>
        <v>0.99500661375661381</v>
      </c>
      <c r="C7" s="156">
        <f t="shared" ref="C7:AA7" si="1">($C$3-SUM(C8:C12))/$C$3</f>
        <v>0.99500661375661381</v>
      </c>
      <c r="D7" s="156">
        <f t="shared" si="1"/>
        <v>0.99500661375661381</v>
      </c>
      <c r="E7" s="156">
        <f t="shared" si="1"/>
        <v>0.99851190476190477</v>
      </c>
      <c r="F7" s="156">
        <f t="shared" si="1"/>
        <v>0.99500661375661381</v>
      </c>
      <c r="G7" s="156">
        <f t="shared" si="1"/>
        <v>0.99851190476190477</v>
      </c>
      <c r="H7" s="156">
        <f t="shared" si="1"/>
        <v>0.99851190476190477</v>
      </c>
      <c r="I7" s="156">
        <f t="shared" si="1"/>
        <v>0.99851190476190477</v>
      </c>
      <c r="J7" s="156">
        <f t="shared" si="1"/>
        <v>0.99500661375661381</v>
      </c>
      <c r="K7" s="156">
        <f t="shared" si="1"/>
        <v>0.99500661375661381</v>
      </c>
      <c r="L7" s="156">
        <f t="shared" si="1"/>
        <v>0.99500661375661381</v>
      </c>
      <c r="M7" s="156">
        <f t="shared" si="1"/>
        <v>0.99500661375661381</v>
      </c>
      <c r="N7" s="156">
        <f t="shared" si="1"/>
        <v>0.99500661375661381</v>
      </c>
      <c r="O7" s="156">
        <f t="shared" si="1"/>
        <v>0.99500661375661381</v>
      </c>
      <c r="P7" s="156">
        <f t="shared" si="1"/>
        <v>0.99500661375661381</v>
      </c>
      <c r="Q7" s="156">
        <f t="shared" si="1"/>
        <v>0.99500661375661381</v>
      </c>
      <c r="R7" s="156">
        <f t="shared" si="1"/>
        <v>0.99851190476190477</v>
      </c>
      <c r="S7" s="156">
        <f t="shared" si="1"/>
        <v>0.99851190476190477</v>
      </c>
      <c r="T7" s="156">
        <f t="shared" si="1"/>
        <v>0.99851190476190477</v>
      </c>
      <c r="U7" s="156">
        <f t="shared" si="1"/>
        <v>0.99500661375661381</v>
      </c>
      <c r="V7" s="156">
        <f t="shared" si="1"/>
        <v>0.99851190476190477</v>
      </c>
      <c r="W7" s="156">
        <f t="shared" si="1"/>
        <v>0.99851190476190477</v>
      </c>
      <c r="X7" s="156">
        <f t="shared" si="1"/>
        <v>0.99851190476190477</v>
      </c>
      <c r="Y7" s="156">
        <f t="shared" si="1"/>
        <v>0.99851190476190477</v>
      </c>
      <c r="Z7" s="156">
        <f t="shared" si="1"/>
        <v>0.99851190476190477</v>
      </c>
      <c r="AA7" s="156">
        <f t="shared" si="1"/>
        <v>0.99851190476190477</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480940</v>
      </c>
      <c r="C15" s="153">
        <f>SUMIFS(Input_Raw!G:G,Input_Raw!$A:$A,"&gt;="&amp;Analytices!$B$2,Input_Raw!$A:$A,"&lt;="&amp;Analytices!$B$3)</f>
        <v>528702</v>
      </c>
      <c r="D15" s="153">
        <f>SUMIFS(Input_Raw!H:H,Input_Raw!$A:$A,"&gt;="&amp;Analytices!$B$2,Input_Raw!$A:$A,"&lt;="&amp;Analytices!$B$3)</f>
        <v>488564</v>
      </c>
      <c r="E15" s="153">
        <f>SUMIFS(Input_Raw!I:I,Input_Raw!$A:$A,"&gt;="&amp;Analytices!$B$2,Input_Raw!$A:$A,"&lt;="&amp;Analytices!$B$3)</f>
        <v>504003</v>
      </c>
      <c r="F15" s="153">
        <f>SUMIFS(Input_Raw!J:J,Input_Raw!$A:$A,"&gt;="&amp;Analytices!$B$2,Input_Raw!$A:$A,"&lt;="&amp;Analytices!$B$3)</f>
        <v>514479</v>
      </c>
      <c r="G15" s="153">
        <f>SUMIFS(Input_Raw!K:K,Input_Raw!$A:$A,"&gt;="&amp;Analytices!$B$2,Input_Raw!$A:$A,"&lt;="&amp;Analytices!$B$3)</f>
        <v>543049</v>
      </c>
      <c r="H15" s="153">
        <f>SUMIFS(Input_Raw!L:L,Input_Raw!$A:$A,"&gt;="&amp;Analytices!$B$2,Input_Raw!$A:$A,"&lt;="&amp;Analytices!$B$3)</f>
        <v>486837</v>
      </c>
      <c r="I15" s="153">
        <f>SUMIFS(Input_Raw!M:M,Input_Raw!$A:$A,"&gt;="&amp;Analytices!$B$2,Input_Raw!$A:$A,"&lt;="&amp;Analytices!$B$3)</f>
        <v>509471</v>
      </c>
      <c r="J15" s="153">
        <f>SUMIFS(Input_Raw!N:N,Input_Raw!$A:$A,"&gt;="&amp;Analytices!$B$2,Input_Raw!$A:$A,"&lt;="&amp;Analytices!$B$3)</f>
        <v>492810</v>
      </c>
      <c r="K15" s="153">
        <f>SUMIFS(Input_Raw!O:O,Input_Raw!$A:$A,"&gt;="&amp;Analytices!$B$2,Input_Raw!$A:$A,"&lt;="&amp;Analytices!$B$3)</f>
        <v>509749</v>
      </c>
      <c r="L15" s="153">
        <f>SUMIFS(Input_Raw!P:P,Input_Raw!$A:$A,"&gt;="&amp;Analytices!$B$2,Input_Raw!$A:$A,"&lt;="&amp;Analytices!$B$3)</f>
        <v>482605</v>
      </c>
      <c r="M15" s="153">
        <f>SUMIFS(Input_Raw!Q:Q,Input_Raw!$A:$A,"&gt;="&amp;Analytices!$B$2,Input_Raw!$A:$A,"&lt;="&amp;Analytices!$B$3)</f>
        <v>296056</v>
      </c>
      <c r="N15" s="153">
        <f>SUMIFS(Input_Raw!R:R,Input_Raw!$A:$A,"&gt;="&amp;Analytices!$B$2,Input_Raw!$A:$A,"&lt;="&amp;Analytices!$B$3)</f>
        <v>493858</v>
      </c>
      <c r="O15" s="153">
        <f>SUMIFS(Input_Raw!S:S,Input_Raw!$A:$A,"&gt;="&amp;Analytices!$B$2,Input_Raw!$A:$A,"&lt;="&amp;Analytices!$B$3)</f>
        <v>505873</v>
      </c>
      <c r="P15" s="153">
        <f>SUMIFS(Input_Raw!T:T,Input_Raw!$A:$A,"&gt;="&amp;Analytices!$B$2,Input_Raw!$A:$A,"&lt;="&amp;Analytices!$B$3)</f>
        <v>487551</v>
      </c>
      <c r="Q15" s="153">
        <f>SUMIFS(Input_Raw!U:U,Input_Raw!$A:$A,"&gt;="&amp;Analytices!$B$2,Input_Raw!$A:$A,"&lt;="&amp;Analytices!$B$3)</f>
        <v>513903</v>
      </c>
      <c r="R15" s="153">
        <f>SUMIFS(Input_Raw!V:V,Input_Raw!$A:$A,"&gt;="&amp;Analytices!$B$2,Input_Raw!$A:$A,"&lt;="&amp;Analytices!$B$3)</f>
        <v>577862</v>
      </c>
      <c r="S15" s="153">
        <f>SUMIFS(Input_Raw!W:W,Input_Raw!$A:$A,"&gt;="&amp;Analytices!$B$2,Input_Raw!$A:$A,"&lt;="&amp;Analytices!$B$3)</f>
        <v>520611</v>
      </c>
      <c r="T15" s="153">
        <f>SUMIFS(Input_Raw!X:X,Input_Raw!$A:$A,"&gt;="&amp;Analytices!$B$2,Input_Raw!$A:$A,"&lt;="&amp;Analytices!$B$3)</f>
        <v>561492</v>
      </c>
      <c r="U15" s="153">
        <f>SUMIFS(Input_Raw!Y:Y,Input_Raw!$A:$A,"&gt;="&amp;Analytices!$B$2,Input_Raw!$A:$A,"&lt;="&amp;Analytices!$B$3)</f>
        <v>364149</v>
      </c>
      <c r="V15" s="153">
        <f>SUMIFS(Input_Raw!Z:Z,Input_Raw!$A:$A,"&gt;="&amp;Analytices!$B$2,Input_Raw!$A:$A,"&lt;="&amp;Analytices!$B$3)</f>
        <v>537915</v>
      </c>
      <c r="W15" s="153">
        <f>SUMIFS(Input_Raw!AA:AA,Input_Raw!$A:$A,"&gt;="&amp;Analytices!$B$2,Input_Raw!$A:$A,"&lt;="&amp;Analytices!$B$3)</f>
        <v>524323</v>
      </c>
      <c r="X15" s="153">
        <f>SUMIFS(Input_Raw!AB:AB,Input_Raw!$A:$A,"&gt;="&amp;Analytices!$B$2,Input_Raw!$A:$A,"&lt;="&amp;Analytices!$B$3)</f>
        <v>500457</v>
      </c>
      <c r="Y15" s="153">
        <f>SUMIFS(Input_Raw!AC:AC,Input_Raw!$A:$A,"&gt;="&amp;Analytices!$B$2,Input_Raw!$A:$A,"&lt;="&amp;Analytices!$B$3)</f>
        <v>539051</v>
      </c>
      <c r="Z15" s="153">
        <f>SUMIFS(Input_Raw!AD:AD,Input_Raw!$A:$A,"&gt;="&amp;Analytices!$B$2,Input_Raw!$A:$A,"&lt;="&amp;Analytices!$B$3)</f>
        <v>548042</v>
      </c>
      <c r="AA15" s="153">
        <f>SUMIFS(Input_Raw!AE:AE,Input_Raw!$A:$A,"&gt;="&amp;Analytices!$B$2,Input_Raw!$A:$A,"&lt;="&amp;Analytices!$B$3)</f>
        <v>503077</v>
      </c>
    </row>
    <row r="16" spans="1:27" ht="29.25" customHeight="1">
      <c r="A16" s="127" t="s">
        <v>111</v>
      </c>
      <c r="B16" s="155">
        <f>IFERROR(($C$3-(SUM(B8:B12,B14,B6)))/$C$3,1)</f>
        <v>0.99477513227513226</v>
      </c>
      <c r="C16" s="155">
        <f t="shared" ref="C16:AA16" si="4">IFERROR(($C$3-(SUM(C8:C12,C14,C6)))/$C$3,1)</f>
        <v>0.99477513227513226</v>
      </c>
      <c r="D16" s="155">
        <f t="shared" si="4"/>
        <v>0.99477513227513226</v>
      </c>
      <c r="E16" s="155">
        <f t="shared" si="4"/>
        <v>0.99828042328042321</v>
      </c>
      <c r="F16" s="155">
        <f t="shared" si="4"/>
        <v>0.99477513227513226</v>
      </c>
      <c r="G16" s="155">
        <f t="shared" si="4"/>
        <v>0.99828042328042321</v>
      </c>
      <c r="H16" s="155">
        <f t="shared" si="4"/>
        <v>0.99828042328042321</v>
      </c>
      <c r="I16" s="155">
        <f t="shared" si="4"/>
        <v>0.99828042328042321</v>
      </c>
      <c r="J16" s="155">
        <f t="shared" si="4"/>
        <v>0.99477513227513226</v>
      </c>
      <c r="K16" s="155">
        <f t="shared" si="4"/>
        <v>0.99477513227513226</v>
      </c>
      <c r="L16" s="155">
        <f t="shared" si="4"/>
        <v>0.99477513227513226</v>
      </c>
      <c r="M16" s="155">
        <f t="shared" si="4"/>
        <v>0.99477513227513226</v>
      </c>
      <c r="N16" s="155">
        <f t="shared" si="4"/>
        <v>0.99477513227513226</v>
      </c>
      <c r="O16" s="155">
        <f t="shared" si="4"/>
        <v>0.99477513227513226</v>
      </c>
      <c r="P16" s="155">
        <f t="shared" si="4"/>
        <v>0.99477513227513226</v>
      </c>
      <c r="Q16" s="155">
        <f t="shared" si="4"/>
        <v>0.99477513227513226</v>
      </c>
      <c r="R16" s="155">
        <f t="shared" si="4"/>
        <v>0.99828042328042321</v>
      </c>
      <c r="S16" s="155">
        <f t="shared" si="4"/>
        <v>0.99828042328042321</v>
      </c>
      <c r="T16" s="155">
        <f t="shared" si="4"/>
        <v>0.99828042328042321</v>
      </c>
      <c r="U16" s="155">
        <f t="shared" si="4"/>
        <v>0.99477513227513226</v>
      </c>
      <c r="V16" s="155">
        <f t="shared" si="4"/>
        <v>0.99828042328042321</v>
      </c>
      <c r="W16" s="155">
        <f t="shared" si="4"/>
        <v>0.99828042328042321</v>
      </c>
      <c r="X16" s="155">
        <f t="shared" si="4"/>
        <v>0.99828042328042321</v>
      </c>
      <c r="Y16" s="155">
        <f t="shared" si="4"/>
        <v>0.99828042328042321</v>
      </c>
      <c r="Z16" s="155">
        <f t="shared" si="4"/>
        <v>0.99828042328042321</v>
      </c>
      <c r="AA16" s="155">
        <f t="shared" si="4"/>
        <v>0.99828042328042321</v>
      </c>
    </row>
    <row r="17" spans="1:27" ht="29.25" hidden="1" customHeight="1">
      <c r="A17" s="129" t="s">
        <v>112</v>
      </c>
      <c r="B17" s="154">
        <f>SUMIFS(WTG_BD!$T:$T,WTG_BD!$F:$F,"&gt;="&amp;Analytices!$B$2,WTG_BD!$F:$F,"&lt;="&amp;Analytices!$B$3,WTG_BD!$G:$G,B4)</f>
        <v>0.11666666666666625</v>
      </c>
      <c r="C17" s="154">
        <f>SUMIFS(WTG_BD!$T:$T,WTG_BD!$F:$F,"&gt;="&amp;Analytices!$B$2,WTG_BD!$F:$F,"&lt;="&amp;Analytices!$B$3,WTG_BD!$G:$G,C4)</f>
        <v>1.8499999999999974</v>
      </c>
      <c r="D17" s="154">
        <f>SUMIFS(WTG_BD!$T:$T,WTG_BD!$F:$F,"&gt;="&amp;Analytices!$B$2,WTG_BD!$F:$F,"&lt;="&amp;Analytices!$B$3,WTG_BD!$G:$G,D4)</f>
        <v>15.149999999999999</v>
      </c>
      <c r="E17" s="154">
        <f>SUMIFS(WTG_BD!$T:$T,WTG_BD!$F:$F,"&gt;="&amp;Analytices!$B$2,WTG_BD!$F:$F,"&lt;="&amp;Analytices!$B$3,WTG_BD!$G:$G,E4)</f>
        <v>6.2500000000000027</v>
      </c>
      <c r="F17" s="154">
        <f>SUMIFS(WTG_BD!$T:$T,WTG_BD!$F:$F,"&gt;="&amp;Analytices!$B$2,WTG_BD!$F:$F,"&lt;="&amp;Analytices!$B$3,WTG_BD!$G:$G,F4)</f>
        <v>3.2166666666666632</v>
      </c>
      <c r="G17" s="154">
        <f>SUMIFS(WTG_BD!$T:$T,WTG_BD!$F:$F,"&gt;="&amp;Analytices!$B$2,WTG_BD!$F:$F,"&lt;="&amp;Analytices!$B$3,WTG_BD!$G:$G,G4)</f>
        <v>10.133333333333333</v>
      </c>
      <c r="H17" s="154">
        <f>SUMIFS(WTG_BD!$T:$T,WTG_BD!$F:$F,"&gt;="&amp;Analytices!$B$2,WTG_BD!$F:$F,"&lt;="&amp;Analytices!$B$3,WTG_BD!$G:$G,H4)</f>
        <v>5.8833333333333382</v>
      </c>
      <c r="I17" s="154">
        <f>SUMIFS(WTG_BD!$T:$T,WTG_BD!$F:$F,"&gt;="&amp;Analytices!$B$2,WTG_BD!$F:$F,"&lt;="&amp;Analytices!$B$3,WTG_BD!$G:$G,I4)</f>
        <v>3.1166666666666676</v>
      </c>
      <c r="J17" s="154">
        <f>SUMIFS(WTG_BD!$T:$T,WTG_BD!$F:$F,"&gt;="&amp;Analytices!$B$2,WTG_BD!$F:$F,"&lt;="&amp;Analytices!$B$3,WTG_BD!$G:$G,J4)</f>
        <v>2.8500000000000005</v>
      </c>
      <c r="K17" s="154">
        <f>SUMIFS(WTG_BD!$T:$T,WTG_BD!$F:$F,"&gt;="&amp;Analytices!$B$2,WTG_BD!$F:$F,"&lt;="&amp;Analytices!$B$3,WTG_BD!$G:$G,K4)</f>
        <v>0.66666666666666563</v>
      </c>
      <c r="L17" s="154">
        <f>SUMIFS(WTG_BD!$T:$T,WTG_BD!$F:$F,"&gt;="&amp;Analytices!$B$2,WTG_BD!$F:$F,"&lt;="&amp;Analytices!$B$3,WTG_BD!$G:$G,L4)</f>
        <v>10.46666666666667</v>
      </c>
      <c r="M17" s="154">
        <f>SUMIFS(WTG_BD!$T:$T,WTG_BD!$F:$F,"&gt;="&amp;Analytices!$B$2,WTG_BD!$F:$F,"&lt;="&amp;Analytices!$B$3,WTG_BD!$G:$G,M4)</f>
        <v>168.11527777777775</v>
      </c>
      <c r="N17" s="154">
        <f>SUMIFS(WTG_BD!$T:$T,WTG_BD!$F:$F,"&gt;="&amp;Analytices!$B$2,WTG_BD!$F:$F,"&lt;="&amp;Analytices!$B$3,WTG_BD!$G:$G,N4)</f>
        <v>3.3166666666666682</v>
      </c>
      <c r="O17" s="154">
        <f>SUMIFS(WTG_BD!$T:$T,WTG_BD!$F:$F,"&gt;="&amp;Analytices!$B$2,WTG_BD!$F:$F,"&lt;="&amp;Analytices!$B$3,WTG_BD!$G:$G,O4)</f>
        <v>1.883333333333336</v>
      </c>
      <c r="P17" s="154">
        <f>SUMIFS(WTG_BD!$T:$T,WTG_BD!$F:$F,"&gt;="&amp;Analytices!$B$2,WTG_BD!$F:$F,"&lt;="&amp;Analytices!$B$3,WTG_BD!$G:$G,P4)</f>
        <v>8.299722222222222</v>
      </c>
      <c r="Q17" s="154">
        <f>SUMIFS(WTG_BD!$T:$T,WTG_BD!$F:$F,"&gt;="&amp;Analytices!$B$2,WTG_BD!$F:$F,"&lt;="&amp;Analytices!$B$3,WTG_BD!$G:$G,Q4)</f>
        <v>3.4500000000000011</v>
      </c>
      <c r="R17" s="154">
        <f>SUMIFS(WTG_BD!$T:$T,WTG_BD!$F:$F,"&gt;="&amp;Analytices!$B$2,WTG_BD!$F:$F,"&lt;="&amp;Analytices!$B$3,WTG_BD!$G:$G,R4)</f>
        <v>0</v>
      </c>
      <c r="S17" s="154">
        <f>SUMIFS(WTG_BD!$T:$T,WTG_BD!$F:$F,"&gt;="&amp;Analytices!$B$2,WTG_BD!$F:$F,"&lt;="&amp;Analytices!$B$3,WTG_BD!$G:$G,S4)</f>
        <v>22.04999999999999</v>
      </c>
      <c r="T17" s="154">
        <f>SUMIFS(WTG_BD!$T:$T,WTG_BD!$F:$F,"&gt;="&amp;Analytices!$B$2,WTG_BD!$F:$F,"&lt;="&amp;Analytices!$B$3,WTG_BD!$G:$G,T4)</f>
        <v>1.7333333333333325</v>
      </c>
      <c r="U17" s="154">
        <f>SUMIFS(WTG_BD!$T:$T,WTG_BD!$F:$F,"&gt;="&amp;Analytices!$B$2,WTG_BD!$F:$F,"&lt;="&amp;Analytices!$B$3,WTG_BD!$G:$G,U4)</f>
        <v>108.28305555555556</v>
      </c>
      <c r="V17" s="154">
        <f>SUMIFS(WTG_BD!$T:$T,WTG_BD!$F:$F,"&gt;="&amp;Analytices!$B$2,WTG_BD!$F:$F,"&lt;="&amp;Analytices!$B$3,WTG_BD!$G:$G,V4)</f>
        <v>0.36666666666666803</v>
      </c>
      <c r="W17" s="154">
        <f>SUMIFS(WTG_BD!$T:$T,WTG_BD!$F:$F,"&gt;="&amp;Analytices!$B$2,WTG_BD!$F:$F,"&lt;="&amp;Analytices!$B$3,WTG_BD!$G:$G,W4)</f>
        <v>6.533333333333335</v>
      </c>
      <c r="X17" s="154">
        <f>SUMIFS(WTG_BD!$T:$T,WTG_BD!$F:$F,"&gt;="&amp;Analytices!$B$2,WTG_BD!$F:$F,"&lt;="&amp;Analytices!$B$3,WTG_BD!$G:$G,X4)</f>
        <v>4.8000000000000016</v>
      </c>
      <c r="Y17" s="154">
        <f>SUMIFS(WTG_BD!$T:$T,WTG_BD!$F:$F,"&gt;="&amp;Analytices!$B$2,WTG_BD!$F:$F,"&lt;="&amp;Analytices!$B$3,WTG_BD!$G:$G,Y4)</f>
        <v>0.70000000000000151</v>
      </c>
      <c r="Z17" s="154">
        <f>SUMIFS(WTG_BD!$T:$T,WTG_BD!$F:$F,"&gt;="&amp;Analytices!$B$2,WTG_BD!$F:$F,"&lt;="&amp;Analytices!$B$3,WTG_BD!$G:$G,Z4)</f>
        <v>3.3333333333333215E-2</v>
      </c>
      <c r="AA17" s="154">
        <f>SUMIFS(WTG_BD!$T:$T,WTG_BD!$F:$F,"&gt;="&amp;Analytices!$B$2,WTG_BD!$F:$F,"&lt;="&amp;Analytices!$B$3,WTG_BD!$G:$G,AA4)</f>
        <v>4.7666666666666684</v>
      </c>
    </row>
    <row r="18" spans="1:27" ht="29.25" hidden="1" customHeight="1">
      <c r="A18" s="129" t="s">
        <v>113</v>
      </c>
      <c r="B18" s="154">
        <f>COUNTIFS(WTG_BD!$F:$F,"&gt;="&amp;Analytices!$B$2,WTG_BD!$F:$F,"&lt;="&amp;Analytices!$B$3,WTG_BD!$G:$G,B4)</f>
        <v>3</v>
      </c>
      <c r="C18" s="154">
        <f>COUNTIFS(WTG_BD!$F:$F,"&gt;="&amp;Analytices!$B$2,WTG_BD!$F:$F,"&lt;="&amp;Analytices!$B$3,WTG_BD!$G:$G,C4)</f>
        <v>9</v>
      </c>
      <c r="D18" s="154">
        <f>COUNTIFS(WTG_BD!$F:$F,"&gt;="&amp;Analytices!$B$2,WTG_BD!$F:$F,"&lt;="&amp;Analytices!$B$3,WTG_BD!$G:$G,D4)</f>
        <v>4</v>
      </c>
      <c r="E18" s="154">
        <f>COUNTIFS(WTG_BD!$F:$F,"&gt;="&amp;Analytices!$B$2,WTG_BD!$F:$F,"&lt;="&amp;Analytices!$B$3,WTG_BD!$G:$G,E4)</f>
        <v>8</v>
      </c>
      <c r="F18" s="154">
        <f>COUNTIFS(WTG_BD!$F:$F,"&gt;="&amp;Analytices!$B$2,WTG_BD!$F:$F,"&lt;="&amp;Analytices!$B$3,WTG_BD!$G:$G,F4)</f>
        <v>12</v>
      </c>
      <c r="G18" s="154">
        <f>COUNTIFS(WTG_BD!$F:$F,"&gt;="&amp;Analytices!$B$2,WTG_BD!$F:$F,"&lt;="&amp;Analytices!$B$3,WTG_BD!$G:$G,G4)</f>
        <v>5</v>
      </c>
      <c r="H18" s="154">
        <f>COUNTIFS(WTG_BD!$F:$F,"&gt;="&amp;Analytices!$B$2,WTG_BD!$F:$F,"&lt;="&amp;Analytices!$B$3,WTG_BD!$G:$G,H4)</f>
        <v>5</v>
      </c>
      <c r="I18" s="154">
        <f>COUNTIFS(WTG_BD!$F:$F,"&gt;="&amp;Analytices!$B$2,WTG_BD!$F:$F,"&lt;="&amp;Analytices!$B$3,WTG_BD!$G:$G,I4)</f>
        <v>1</v>
      </c>
      <c r="J18" s="154">
        <f>COUNTIFS(WTG_BD!$F:$F,"&gt;="&amp;Analytices!$B$2,WTG_BD!$F:$F,"&lt;="&amp;Analytices!$B$3,WTG_BD!$G:$G,J4)</f>
        <v>4</v>
      </c>
      <c r="K18" s="154">
        <f>COUNTIFS(WTG_BD!$F:$F,"&gt;="&amp;Analytices!$B$2,WTG_BD!$F:$F,"&lt;="&amp;Analytices!$B$3,WTG_BD!$G:$G,K4)</f>
        <v>3</v>
      </c>
      <c r="L18" s="154">
        <f>COUNTIFS(WTG_BD!$F:$F,"&gt;="&amp;Analytices!$B$2,WTG_BD!$F:$F,"&lt;="&amp;Analytices!$B$3,WTG_BD!$G:$G,L4)</f>
        <v>4</v>
      </c>
      <c r="M18" s="154">
        <f>COUNTIFS(WTG_BD!$F:$F,"&gt;="&amp;Analytices!$B$2,WTG_BD!$F:$F,"&lt;="&amp;Analytices!$B$3,WTG_BD!$G:$G,M4)</f>
        <v>45</v>
      </c>
      <c r="N18" s="154">
        <f>COUNTIFS(WTG_BD!$F:$F,"&gt;="&amp;Analytices!$B$2,WTG_BD!$F:$F,"&lt;="&amp;Analytices!$B$3,WTG_BD!$G:$G,N4)</f>
        <v>3</v>
      </c>
      <c r="O18" s="154">
        <f>COUNTIFS(WTG_BD!$F:$F,"&gt;="&amp;Analytices!$B$2,WTG_BD!$F:$F,"&lt;="&amp;Analytices!$B$3,WTG_BD!$G:$G,O4)</f>
        <v>8</v>
      </c>
      <c r="P18" s="154">
        <f>COUNTIFS(WTG_BD!$F:$F,"&gt;="&amp;Analytices!$B$2,WTG_BD!$F:$F,"&lt;="&amp;Analytices!$B$3,WTG_BD!$G:$G,P4)</f>
        <v>8</v>
      </c>
      <c r="Q18" s="154">
        <f>COUNTIFS(WTG_BD!$F:$F,"&gt;="&amp;Analytices!$B$2,WTG_BD!$F:$F,"&lt;="&amp;Analytices!$B$3,WTG_BD!$G:$G,Q4)</f>
        <v>4</v>
      </c>
      <c r="R18" s="154">
        <f>COUNTIFS(WTG_BD!$F:$F,"&gt;="&amp;Analytices!$B$2,WTG_BD!$F:$F,"&lt;="&amp;Analytices!$B$3,WTG_BD!$G:$G,R4)</f>
        <v>0</v>
      </c>
      <c r="S18" s="154">
        <f>COUNTIFS(WTG_BD!$F:$F,"&gt;="&amp;Analytices!$B$2,WTG_BD!$F:$F,"&lt;="&amp;Analytices!$B$3,WTG_BD!$G:$G,S4)</f>
        <v>7</v>
      </c>
      <c r="T18" s="154">
        <f>COUNTIFS(WTG_BD!$F:$F,"&gt;="&amp;Analytices!$B$2,WTG_BD!$F:$F,"&lt;="&amp;Analytices!$B$3,WTG_BD!$G:$G,T4)</f>
        <v>1</v>
      </c>
      <c r="U18" s="154">
        <f>COUNTIFS(WTG_BD!$F:$F,"&gt;="&amp;Analytices!$B$2,WTG_BD!$F:$F,"&lt;="&amp;Analytices!$B$3,WTG_BD!$G:$G,U4)</f>
        <v>10</v>
      </c>
      <c r="V18" s="154">
        <f>COUNTIFS(WTG_BD!$F:$F,"&gt;="&amp;Analytices!$B$2,WTG_BD!$F:$F,"&lt;="&amp;Analytices!$B$3,WTG_BD!$G:$G,V4)</f>
        <v>3</v>
      </c>
      <c r="W18" s="154">
        <f>COUNTIFS(WTG_BD!$F:$F,"&gt;="&amp;Analytices!$B$2,WTG_BD!$F:$F,"&lt;="&amp;Analytices!$B$3,WTG_BD!$G:$G,W4)</f>
        <v>6</v>
      </c>
      <c r="X18" s="154">
        <f>COUNTIFS(WTG_BD!$F:$F,"&gt;="&amp;Analytices!$B$2,WTG_BD!$F:$F,"&lt;="&amp;Analytices!$B$3,WTG_BD!$G:$G,X4)</f>
        <v>7</v>
      </c>
      <c r="Y18" s="154">
        <f>COUNTIFS(WTG_BD!$F:$F,"&gt;="&amp;Analytices!$B$2,WTG_BD!$F:$F,"&lt;="&amp;Analytices!$B$3,WTG_BD!$G:$G,Y4)</f>
        <v>2</v>
      </c>
      <c r="Z18" s="154">
        <f>COUNTIFS(WTG_BD!$F:$F,"&gt;="&amp;Analytices!$B$2,WTG_BD!$F:$F,"&lt;="&amp;Analytices!$B$3,WTG_BD!$G:$G,Z4)</f>
        <v>1</v>
      </c>
      <c r="AA18" s="154">
        <f>COUNTIFS(WTG_BD!$F:$F,"&gt;="&amp;Analytices!$B$2,WTG_BD!$F:$F,"&lt;="&amp;Analytices!$B$3,WTG_BD!$G:$G,AA4)</f>
        <v>5</v>
      </c>
    </row>
    <row r="19" spans="1:27" ht="29.25" customHeight="1">
      <c r="A19" s="127" t="s">
        <v>114</v>
      </c>
      <c r="B19" s="159">
        <f>IFERROR(B17/B18,0)</f>
        <v>3.8888888888888751E-2</v>
      </c>
      <c r="C19" s="159">
        <f t="shared" ref="C19:AA19" si="5">IFERROR(C17/C18,0)</f>
        <v>0.20555555555555527</v>
      </c>
      <c r="D19" s="159">
        <f t="shared" si="5"/>
        <v>3.7874999999999996</v>
      </c>
      <c r="E19" s="159">
        <f t="shared" si="5"/>
        <v>0.78125000000000033</v>
      </c>
      <c r="F19" s="159">
        <f t="shared" si="5"/>
        <v>0.26805555555555527</v>
      </c>
      <c r="G19" s="159">
        <f t="shared" si="5"/>
        <v>2.0266666666666664</v>
      </c>
      <c r="H19" s="159">
        <f t="shared" si="5"/>
        <v>1.1766666666666676</v>
      </c>
      <c r="I19" s="159">
        <f t="shared" si="5"/>
        <v>3.1166666666666676</v>
      </c>
      <c r="J19" s="159">
        <f t="shared" si="5"/>
        <v>0.71250000000000013</v>
      </c>
      <c r="K19" s="159">
        <f t="shared" si="5"/>
        <v>0.22222222222222188</v>
      </c>
      <c r="L19" s="159">
        <f t="shared" si="5"/>
        <v>2.6166666666666676</v>
      </c>
      <c r="M19" s="159">
        <f t="shared" si="5"/>
        <v>3.7358950617283946</v>
      </c>
      <c r="N19" s="159">
        <f t="shared" si="5"/>
        <v>1.1055555555555561</v>
      </c>
      <c r="O19" s="159">
        <f t="shared" si="5"/>
        <v>0.235416666666667</v>
      </c>
      <c r="P19" s="159">
        <f t="shared" si="5"/>
        <v>1.0374652777777778</v>
      </c>
      <c r="Q19" s="159">
        <f t="shared" si="5"/>
        <v>0.86250000000000027</v>
      </c>
      <c r="R19" s="159">
        <f t="shared" si="5"/>
        <v>0</v>
      </c>
      <c r="S19" s="159">
        <f t="shared" si="5"/>
        <v>3.1499999999999986</v>
      </c>
      <c r="T19" s="159">
        <f t="shared" si="5"/>
        <v>1.7333333333333325</v>
      </c>
      <c r="U19" s="159">
        <f t="shared" si="5"/>
        <v>10.828305555555556</v>
      </c>
      <c r="V19" s="159">
        <f t="shared" si="5"/>
        <v>0.12222222222222268</v>
      </c>
      <c r="W19" s="159">
        <f t="shared" si="5"/>
        <v>1.0888888888888892</v>
      </c>
      <c r="X19" s="159">
        <f t="shared" si="5"/>
        <v>0.68571428571428594</v>
      </c>
      <c r="Y19" s="159">
        <f t="shared" si="5"/>
        <v>0.35000000000000075</v>
      </c>
      <c r="Z19" s="159">
        <f t="shared" si="5"/>
        <v>3.3333333333333215E-2</v>
      </c>
      <c r="AA19" s="159">
        <f t="shared" si="5"/>
        <v>0.9533333333333337</v>
      </c>
    </row>
    <row r="20" spans="1:27" ht="29.25" customHeight="1">
      <c r="A20" s="127" t="s">
        <v>115</v>
      </c>
      <c r="B20" s="159">
        <f>IFERROR(($C$3-B17)/B18,$C$3)</f>
        <v>167.96111111111111</v>
      </c>
      <c r="C20" s="159">
        <f t="shared" ref="C20:AA20" si="6">IFERROR(($C$3-C17)/C18,$C$3)</f>
        <v>55.794444444444444</v>
      </c>
      <c r="D20" s="159">
        <f t="shared" si="6"/>
        <v>122.21250000000001</v>
      </c>
      <c r="E20" s="159">
        <f t="shared" si="6"/>
        <v>62.21875</v>
      </c>
      <c r="F20" s="159">
        <f t="shared" si="6"/>
        <v>41.731944444444444</v>
      </c>
      <c r="G20" s="159">
        <f t="shared" si="6"/>
        <v>98.773333333333341</v>
      </c>
      <c r="H20" s="159">
        <f t="shared" si="6"/>
        <v>99.623333333333335</v>
      </c>
      <c r="I20" s="159">
        <f t="shared" si="6"/>
        <v>500.88333333333333</v>
      </c>
      <c r="J20" s="159">
        <f t="shared" si="6"/>
        <v>125.28749999999999</v>
      </c>
      <c r="K20" s="159">
        <f t="shared" si="6"/>
        <v>167.77777777777777</v>
      </c>
      <c r="L20" s="159">
        <f t="shared" si="6"/>
        <v>123.38333333333333</v>
      </c>
      <c r="M20" s="159">
        <f t="shared" si="6"/>
        <v>7.4641049382716051</v>
      </c>
      <c r="N20" s="159">
        <f t="shared" si="6"/>
        <v>166.89444444444445</v>
      </c>
      <c r="O20" s="159">
        <f t="shared" si="6"/>
        <v>62.764583333333334</v>
      </c>
      <c r="P20" s="159">
        <f t="shared" si="6"/>
        <v>61.962534722222223</v>
      </c>
      <c r="Q20" s="159">
        <f t="shared" si="6"/>
        <v>125.1375</v>
      </c>
      <c r="R20" s="159">
        <f t="shared" si="6"/>
        <v>504</v>
      </c>
      <c r="S20" s="159">
        <f t="shared" si="6"/>
        <v>68.849999999999994</v>
      </c>
      <c r="T20" s="159">
        <f t="shared" si="6"/>
        <v>502.26666666666665</v>
      </c>
      <c r="U20" s="159">
        <f t="shared" si="6"/>
        <v>39.571694444444447</v>
      </c>
      <c r="V20" s="159">
        <f t="shared" si="6"/>
        <v>167.87777777777777</v>
      </c>
      <c r="W20" s="159">
        <f t="shared" si="6"/>
        <v>82.911111111111111</v>
      </c>
      <c r="X20" s="159">
        <f t="shared" si="6"/>
        <v>71.314285714285717</v>
      </c>
      <c r="Y20" s="159">
        <f t="shared" si="6"/>
        <v>251.65</v>
      </c>
      <c r="Z20" s="159">
        <f t="shared" si="6"/>
        <v>503.96666666666664</v>
      </c>
      <c r="AA20" s="159">
        <f t="shared" si="6"/>
        <v>99.846666666666664</v>
      </c>
    </row>
    <row r="21" spans="1:27" ht="29.25" customHeight="1">
      <c r="A21" s="127" t="s">
        <v>116</v>
      </c>
      <c r="B21" s="159">
        <f>ROUND(AVERAGEIFS(Input_Raw!AF:AF,Input_Raw!$A:$A,"&gt;="&amp;Analytices!$B$2,Input_Raw!$A:$A,"&lt;="&amp;Analytices!$B$3),1)</f>
        <v>6.4</v>
      </c>
      <c r="C21" s="159">
        <f>ROUND(AVERAGEIFS(Input_Raw!AG:AG,Input_Raw!$A:$A,"&gt;="&amp;Analytices!$B$2,Input_Raw!$A:$A,"&lt;="&amp;Analytices!$B$3),1)</f>
        <v>6.5</v>
      </c>
      <c r="D21" s="159">
        <f>ROUND(AVERAGEIFS(Input_Raw!AH:AH,Input_Raw!$A:$A,"&gt;="&amp;Analytices!$B$2,Input_Raw!$A:$A,"&lt;="&amp;Analytices!$B$3),1)</f>
        <v>6.4</v>
      </c>
      <c r="E21" s="159">
        <f>ROUND(AVERAGEIFS(Input_Raw!AI:AI,Input_Raw!$A:$A,"&gt;="&amp;Analytices!$B$2,Input_Raw!$A:$A,"&lt;="&amp;Analytices!$B$3),1)</f>
        <v>6.4</v>
      </c>
      <c r="F21" s="159">
        <f>ROUND(AVERAGEIFS(Input_Raw!AJ:AJ,Input_Raw!$A:$A,"&gt;="&amp;Analytices!$B$2,Input_Raw!$A:$A,"&lt;="&amp;Analytices!$B$3),1)</f>
        <v>6.6</v>
      </c>
      <c r="G21" s="159">
        <f>ROUND(AVERAGEIFS(Input_Raw!AK:AK,Input_Raw!$A:$A,"&gt;="&amp;Analytices!$B$2,Input_Raw!$A:$A,"&lt;="&amp;Analytices!$B$3),1)</f>
        <v>7</v>
      </c>
      <c r="H21" s="159">
        <f>ROUND(AVERAGEIFS(Input_Raw!AL:AL,Input_Raw!$A:$A,"&gt;="&amp;Analytices!$B$2,Input_Raw!$A:$A,"&lt;="&amp;Analytices!$B$3),1)</f>
        <v>6.3</v>
      </c>
      <c r="I21" s="159">
        <f>ROUND(AVERAGEIFS(Input_Raw!AM:AM,Input_Raw!$A:$A,"&gt;="&amp;Analytices!$B$2,Input_Raw!$A:$A,"&lt;="&amp;Analytices!$B$3),1)</f>
        <v>6.4</v>
      </c>
      <c r="J21" s="159">
        <f>ROUND(AVERAGEIFS(Input_Raw!AN:AN,Input_Raw!$A:$A,"&gt;="&amp;Analytices!$B$2,Input_Raw!$A:$A,"&lt;="&amp;Analytices!$B$3),1)</f>
        <v>6.4</v>
      </c>
      <c r="K21" s="159">
        <f>ROUND(AVERAGEIFS(Input_Raw!AO:AO,Input_Raw!$A:$A,"&gt;="&amp;Analytices!$B$2,Input_Raw!$A:$A,"&lt;="&amp;Analytices!$B$3),1)</f>
        <v>6.5</v>
      </c>
      <c r="L21" s="159">
        <f>ROUND(AVERAGEIFS(Input_Raw!AP:AP,Input_Raw!$A:$A,"&gt;="&amp;Analytices!$B$2,Input_Raw!$A:$A,"&lt;="&amp;Analytices!$B$3),1)</f>
        <v>6.5</v>
      </c>
      <c r="M21" s="159">
        <f>ROUND(AVERAGEIFS(Input_Raw!AQ:AQ,Input_Raw!$A:$A,"&gt;="&amp;Analytices!$B$2,Input_Raw!$A:$A,"&lt;="&amp;Analytices!$B$3),1)</f>
        <v>7.3</v>
      </c>
      <c r="N21" s="159">
        <f>ROUND(AVERAGEIFS(Input_Raw!AR:AR,Input_Raw!$A:$A,"&gt;="&amp;Analytices!$B$2,Input_Raw!$A:$A,"&lt;="&amp;Analytices!$B$3),1)</f>
        <v>6.4</v>
      </c>
      <c r="O21" s="159">
        <f>ROUND(AVERAGEIFS(Input_Raw!AS:AS,Input_Raw!$A:$A,"&gt;="&amp;Analytices!$B$2,Input_Raw!$A:$A,"&lt;="&amp;Analytices!$B$3),1)</f>
        <v>6.5</v>
      </c>
      <c r="P21" s="159">
        <f>ROUND(AVERAGEIFS(Input_Raw!AT:AT,Input_Raw!$A:$A,"&gt;="&amp;Analytices!$B$2,Input_Raw!$A:$A,"&lt;="&amp;Analytices!$B$3),1)</f>
        <v>6.4</v>
      </c>
      <c r="Q21" s="159">
        <f>ROUND(AVERAGEIFS(Input_Raw!AU:AU,Input_Raw!$A:$A,"&gt;="&amp;Analytices!$B$2,Input_Raw!$A:$A,"&lt;="&amp;Analytices!$B$3),1)</f>
        <v>6.5</v>
      </c>
      <c r="R21" s="159">
        <f>ROUND(AVERAGEIFS(Input_Raw!AV:AV,Input_Raw!$A:$A,"&gt;="&amp;Analytices!$B$2,Input_Raw!$A:$A,"&lt;="&amp;Analytices!$B$3),1)</f>
        <v>6.9</v>
      </c>
      <c r="S21" s="159">
        <f>ROUND(AVERAGEIFS(Input_Raw!AW:AW,Input_Raw!$A:$A,"&gt;="&amp;Analytices!$B$2,Input_Raw!$A:$A,"&lt;="&amp;Analytices!$B$3),1)</f>
        <v>6.6</v>
      </c>
      <c r="T21" s="159">
        <f>ROUND(AVERAGEIFS(Input_Raw!AX:AX,Input_Raw!$A:$A,"&gt;="&amp;Analytices!$B$2,Input_Raw!$A:$A,"&lt;="&amp;Analytices!$B$3),1)</f>
        <v>6.6</v>
      </c>
      <c r="U21" s="159">
        <f>ROUND(AVERAGEIFS(Input_Raw!AY:AY,Input_Raw!$A:$A,"&gt;="&amp;Analytices!$B$2,Input_Raw!$A:$A,"&lt;="&amp;Analytices!$B$3),1)</f>
        <v>6.4</v>
      </c>
      <c r="V21" s="159">
        <f>ROUND(AVERAGEIFS(Input_Raw!AZ:AZ,Input_Raw!$A:$A,"&gt;="&amp;Analytices!$B$2,Input_Raw!$A:$A,"&lt;="&amp;Analytices!$B$3),1)</f>
        <v>6.6</v>
      </c>
      <c r="W21" s="159">
        <f>ROUND(AVERAGEIFS(Input_Raw!BA:BA,Input_Raw!$A:$A,"&gt;="&amp;Analytices!$B$2,Input_Raw!$A:$A,"&lt;="&amp;Analytices!$B$3),1)</f>
        <v>6.7</v>
      </c>
      <c r="X21" s="159">
        <f>ROUND(AVERAGEIFS(Input_Raw!BB:BB,Input_Raw!$A:$A,"&gt;="&amp;Analytices!$B$2,Input_Raw!$A:$A,"&lt;="&amp;Analytices!$B$3),1)</f>
        <v>6.4</v>
      </c>
      <c r="Y21" s="159">
        <f>ROUND(AVERAGEIFS(Input_Raw!BC:BC,Input_Raw!$A:$A,"&gt;="&amp;Analytices!$B$2,Input_Raw!$A:$A,"&lt;="&amp;Analytices!$B$3),1)</f>
        <v>6.5</v>
      </c>
      <c r="Z21" s="159">
        <f>ROUND(AVERAGEIFS(Input_Raw!BD:BD,Input_Raw!$A:$A,"&gt;="&amp;Analytices!$B$2,Input_Raw!$A:$A,"&lt;="&amp;Analytices!$B$3),1)</f>
        <v>6.6</v>
      </c>
      <c r="AA21" s="159">
        <f>ROUND(AVERAGEIFS(Input_Raw!BE:BE,Input_Raw!$A:$A,"&gt;="&amp;Analytices!$B$2,Input_Raw!$A:$A,"&lt;="&amp;Analytices!$B$3),1)</f>
        <v>6.4</v>
      </c>
    </row>
    <row r="22" spans="1:27" ht="29.25" customHeight="1">
      <c r="A22" s="84"/>
    </row>
    <row r="23" spans="1:27" ht="29.25" customHeight="1">
      <c r="A23" s="632" t="s">
        <v>117</v>
      </c>
      <c r="B23" s="632"/>
      <c r="C23" s="632"/>
      <c r="D23" s="632"/>
      <c r="E23" s="632"/>
      <c r="F23" s="632"/>
      <c r="G23" s="632"/>
    </row>
    <row r="24" spans="1:27" ht="29.25" customHeight="1">
      <c r="A24" s="85">
        <v>45017</v>
      </c>
    </row>
    <row r="25" spans="1:27" ht="29.25" customHeight="1">
      <c r="D25" s="630" t="s">
        <v>118</v>
      </c>
      <c r="E25" s="630"/>
      <c r="F25" s="630" t="s">
        <v>119</v>
      </c>
      <c r="G25" s="630"/>
    </row>
    <row r="26" spans="1:27" ht="29.25" customHeight="1">
      <c r="D26" s="630">
        <f ca="1">F26</f>
        <v>20208</v>
      </c>
      <c r="E26" s="630"/>
      <c r="F26" s="631">
        <f ca="1">((TODAY()-1)-(A24))*24</f>
        <v>20208</v>
      </c>
      <c r="G26" s="631"/>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70" zoomScaleNormal="70" workbookViewId="0">
      <pane xSplit="4" ySplit="2" topLeftCell="E470" activePane="bottomRight" state="frozen"/>
      <selection pane="topRight" activeCell="E1" sqref="E1"/>
      <selection pane="bottomLeft" activeCell="A3" sqref="A3"/>
      <selection pane="bottomRight" activeCell="W485" sqref="W485"/>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AE480" s="167">
        <f t="shared" si="23"/>
        <v>0</v>
      </c>
    </row>
    <row r="481" spans="1:31">
      <c r="A481" s="197">
        <f t="shared" si="24"/>
        <v>45861</v>
      </c>
      <c r="B481" s="167">
        <f>YEAR(Table7[[#This Row],[Date]])+IF(MONTH(Table7[[#This Row],[Date]])&gt;=4,1,0)</f>
        <v>2026</v>
      </c>
      <c r="C481" s="167">
        <f>YEAR(Table7[[#This Row],[Date]])</f>
        <v>2025</v>
      </c>
      <c r="D481" s="168">
        <f t="shared" si="22"/>
        <v>45839</v>
      </c>
      <c r="AE481" s="167">
        <f t="shared" si="23"/>
        <v>0</v>
      </c>
    </row>
    <row r="482" spans="1:31">
      <c r="A482" s="197">
        <f t="shared" si="24"/>
        <v>45862</v>
      </c>
      <c r="B482" s="167">
        <f>YEAR(Table7[[#This Row],[Date]])+IF(MONTH(Table7[[#This Row],[Date]])&gt;=4,1,0)</f>
        <v>2026</v>
      </c>
      <c r="C482" s="167">
        <f>YEAR(Table7[[#This Row],[Date]])</f>
        <v>2025</v>
      </c>
      <c r="D482" s="168">
        <f t="shared" si="22"/>
        <v>45839</v>
      </c>
      <c r="AE482" s="167">
        <f t="shared" si="23"/>
        <v>0</v>
      </c>
    </row>
    <row r="483" spans="1:31">
      <c r="A483" s="197">
        <f t="shared" si="24"/>
        <v>45863</v>
      </c>
      <c r="B483" s="167">
        <f>YEAR(Table7[[#This Row],[Date]])+IF(MONTH(Table7[[#This Row],[Date]])&gt;=4,1,0)</f>
        <v>2026</v>
      </c>
      <c r="C483" s="167">
        <f>YEAR(Table7[[#This Row],[Date]])</f>
        <v>2025</v>
      </c>
      <c r="D483" s="168">
        <f t="shared" si="22"/>
        <v>45839</v>
      </c>
      <c r="AE483" s="167">
        <f t="shared" si="23"/>
        <v>0</v>
      </c>
    </row>
    <row r="484" spans="1:31">
      <c r="A484" s="197">
        <f t="shared" si="24"/>
        <v>45864</v>
      </c>
      <c r="B484" s="167">
        <f>YEAR(Table7[[#This Row],[Date]])+IF(MONTH(Table7[[#This Row],[Date]])&gt;=4,1,0)</f>
        <v>2026</v>
      </c>
      <c r="C484" s="167">
        <f>YEAR(Table7[[#This Row],[Date]])</f>
        <v>2025</v>
      </c>
      <c r="D484" s="168">
        <f t="shared" si="22"/>
        <v>45839</v>
      </c>
      <c r="AE484" s="167">
        <f t="shared" si="23"/>
        <v>0</v>
      </c>
    </row>
    <row r="485" spans="1:31">
      <c r="A485" s="197">
        <f t="shared" si="24"/>
        <v>45865</v>
      </c>
      <c r="B485" s="167">
        <f>YEAR(Table7[[#This Row],[Date]])+IF(MONTH(Table7[[#This Row],[Date]])&gt;=4,1,0)</f>
        <v>2026</v>
      </c>
      <c r="C485" s="167">
        <f>YEAR(Table7[[#This Row],[Date]])</f>
        <v>2025</v>
      </c>
      <c r="D485" s="168">
        <f t="shared" si="22"/>
        <v>45839</v>
      </c>
      <c r="AE485" s="167">
        <f t="shared" si="23"/>
        <v>0</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19"/>
  <sheetViews>
    <sheetView showGridLines="0" zoomScale="80" zoomScaleNormal="80" workbookViewId="0">
      <pane xSplit="1" ySplit="4" topLeftCell="AX104" activePane="bottomRight" state="frozen"/>
      <selection pane="topRight" activeCell="B5" sqref="B5"/>
      <selection pane="bottomLeft" activeCell="B5" sqref="B5"/>
      <selection pane="bottomRight" activeCell="BO121" sqref="BO121"/>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19"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A116-DAY(A116)+1</f>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A117-DAY(A117)+1</f>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A118-DAY(A118)+1</f>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A119-DAY(A119)+1</f>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sheetData>
  <phoneticPr fontId="10" type="noConversion"/>
  <pageMargins left="0.7" right="0.7" top="0.75" bottom="0.75" header="0.3" footer="0.3"/>
  <pageSetup paperSize="9" orientation="portrait" r:id="rId1"/>
  <ignoredErrors>
    <ignoredError sqref="BO5:BO97 BO118:BO119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598"/>
  <sheetViews>
    <sheetView zoomScale="80" workbookViewId="0">
      <pane xSplit="7" ySplit="1" topLeftCell="P1576" activePane="bottomRight" state="frozen"/>
      <selection pane="topRight" activeCell="H1" sqref="H1"/>
      <selection pane="bottomLeft" activeCell="A2" sqref="A2"/>
      <selection pane="bottomRight" activeCell="Y1600" sqref="Y1600"/>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598"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1992</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1924</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1992</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2106</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1992</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2036</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1992</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1924</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1992</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1924</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1992</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1924</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1992</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2107</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1992</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1924</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1992</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1924</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1992</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2108</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sheetData>
  <phoneticPr fontId="10" type="noConversion"/>
  <conditionalFormatting sqref="L1:L1598">
    <cfRule type="containsText" dxfId="4" priority="1" operator="containsText" text="Incorrect Error Code">
      <formula>NOT(ISERROR(SEARCH("Incorrect Error Code",L1)))</formula>
    </cfRule>
  </conditionalFormatting>
  <pageMargins left="0.7" right="0.7" top="0.75" bottom="0.75" header="0.3" footer="0.3"/>
  <ignoredErrors>
    <ignoredError sqref="Y1599:Y1048576"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7"/>
  <sheetViews>
    <sheetView zoomScale="80" workbookViewId="0">
      <pane xSplit="6" ySplit="1" topLeftCell="G138" activePane="bottomRight" state="frozen"/>
      <selection pane="topRight" activeCell="G1" sqref="G1"/>
      <selection pane="bottomLeft" activeCell="A2" sqref="A2"/>
      <selection pane="bottomRight" activeCell="H161" sqref="H161"/>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W158:W1048576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2"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46" t="s">
        <v>1865</v>
      </c>
      <c r="B1" s="649" t="s">
        <v>1866</v>
      </c>
      <c r="C1" s="649" t="s">
        <v>1867</v>
      </c>
      <c r="D1" s="649" t="s">
        <v>1868</v>
      </c>
      <c r="E1" s="649" t="s">
        <v>1869</v>
      </c>
      <c r="F1" s="652" t="s">
        <v>1870</v>
      </c>
      <c r="G1" s="633">
        <v>2024</v>
      </c>
      <c r="H1" s="634"/>
      <c r="I1" s="634"/>
      <c r="J1" s="634"/>
      <c r="K1" s="361"/>
      <c r="L1" s="635">
        <v>2025</v>
      </c>
      <c r="M1" s="636"/>
      <c r="N1" s="636"/>
      <c r="O1" s="636"/>
      <c r="P1" s="636"/>
      <c r="Q1" s="637"/>
    </row>
    <row r="2" spans="1:17">
      <c r="A2" s="647"/>
      <c r="B2" s="650"/>
      <c r="C2" s="650"/>
      <c r="D2" s="650"/>
      <c r="E2" s="650"/>
      <c r="F2" s="653"/>
      <c r="G2" s="638" t="s">
        <v>1871</v>
      </c>
      <c r="H2" s="639"/>
      <c r="I2" s="639"/>
      <c r="J2" s="639"/>
      <c r="K2" s="640"/>
      <c r="L2" s="641" t="s">
        <v>1872</v>
      </c>
      <c r="M2" s="642"/>
      <c r="N2" s="642"/>
      <c r="O2" s="642"/>
      <c r="P2" s="642"/>
      <c r="Q2" s="643"/>
    </row>
    <row r="3" spans="1:17">
      <c r="A3" s="648"/>
      <c r="B3" s="651"/>
      <c r="C3" s="651"/>
      <c r="D3" s="651"/>
      <c r="E3" s="651"/>
      <c r="F3" s="654"/>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44"/>
      <c r="B30" s="645"/>
      <c r="C30" s="645"/>
      <c r="D30" s="645"/>
      <c r="E30" s="645"/>
      <c r="F30" s="645"/>
      <c r="G30" s="645"/>
      <c r="H30" s="645"/>
      <c r="I30" s="645"/>
      <c r="J30" s="645"/>
      <c r="K30" s="645"/>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55" t="s">
        <v>2040</v>
      </c>
      <c r="B1" s="655" t="s">
        <v>128</v>
      </c>
      <c r="C1" s="655" t="s">
        <v>2041</v>
      </c>
      <c r="D1" s="655" t="s">
        <v>2042</v>
      </c>
      <c r="E1" s="656" t="s">
        <v>2043</v>
      </c>
      <c r="F1" s="655" t="s">
        <v>2044</v>
      </c>
      <c r="G1" s="655" t="s">
        <v>2045</v>
      </c>
      <c r="H1" s="655" t="s">
        <v>2046</v>
      </c>
      <c r="I1" s="655" t="s">
        <v>2047</v>
      </c>
      <c r="J1" s="565"/>
      <c r="K1" s="655" t="s">
        <v>12</v>
      </c>
    </row>
    <row r="2" spans="1:11" ht="15.5">
      <c r="A2" s="655"/>
      <c r="B2" s="655"/>
      <c r="C2" s="655"/>
      <c r="D2" s="655"/>
      <c r="E2" s="657"/>
      <c r="F2" s="655"/>
      <c r="G2" s="655"/>
      <c r="H2" s="655"/>
      <c r="I2" s="655"/>
      <c r="J2" s="565" t="s">
        <v>2050</v>
      </c>
      <c r="K2" s="655"/>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21</v>
      </c>
      <c r="R17" s="191"/>
      <c r="S17" s="191"/>
      <c r="T17" s="190">
        <f t="shared" si="0"/>
        <v>963.88316796059144</v>
      </c>
      <c r="U17" s="191">
        <f t="shared" si="1"/>
        <v>20241.546527172421</v>
      </c>
      <c r="V17" s="191">
        <f>SUMIF($F$2:F17,F17,$U$2:U17)</f>
        <v>93392.814560275889</v>
      </c>
      <c r="W17" s="192">
        <f t="shared" si="2"/>
        <v>0.57210539408867012</v>
      </c>
      <c r="X17" s="192">
        <f t="shared" si="3"/>
        <v>0.57210539408867012</v>
      </c>
      <c r="Y17" s="192">
        <f t="shared" si="4"/>
        <v>0.49493377001231531</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93392.814560275889</v>
      </c>
      <c r="W18" s="187">
        <f t="shared" si="2"/>
        <v>0.53165349753694591</v>
      </c>
      <c r="X18" s="187" t="str">
        <f t="shared" si="3"/>
        <v/>
      </c>
      <c r="Y18" s="187">
        <f t="shared" si="4"/>
        <v>0.49493377001231531</v>
      </c>
      <c r="Z18" s="185" t="str">
        <f>IFERROR(AVERAGEIF('Daily KPI'!D:D,Table14[[#This Row],[Month]],'Daily KPI'!AB:AB),"")</f>
        <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93392.814560275889</v>
      </c>
      <c r="W19" s="192">
        <f t="shared" si="2"/>
        <v>0.31398376847290649</v>
      </c>
      <c r="X19" s="192" t="str">
        <f t="shared" si="3"/>
        <v/>
      </c>
      <c r="Y19" s="192">
        <f t="shared" si="4"/>
        <v>0.49493377001231531</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93392.814560275889</v>
      </c>
      <c r="W20" s="187">
        <f t="shared" si="2"/>
        <v>0.21574344827586206</v>
      </c>
      <c r="X20" s="187" t="str">
        <f t="shared" si="3"/>
        <v/>
      </c>
      <c r="Y20" s="187">
        <f t="shared" si="4"/>
        <v>0.49493377001231531</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93392.814560275889</v>
      </c>
      <c r="W21" s="192">
        <f t="shared" si="2"/>
        <v>0.24078509852216753</v>
      </c>
      <c r="X21" s="192" t="str">
        <f t="shared" si="3"/>
        <v/>
      </c>
      <c r="Y21" s="192">
        <f t="shared" si="4"/>
        <v>0.49493377001231531</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93392.814560275889</v>
      </c>
      <c r="W22" s="187">
        <f t="shared" si="2"/>
        <v>0.34095169950738929</v>
      </c>
      <c r="X22" s="187" t="str">
        <f t="shared" si="3"/>
        <v/>
      </c>
      <c r="Y22" s="187">
        <f t="shared" si="4"/>
        <v>0.49493377001231531</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93392.814560275889</v>
      </c>
      <c r="W23" s="192">
        <f t="shared" si="2"/>
        <v>0.36406706896551722</v>
      </c>
      <c r="X23" s="192" t="str">
        <f t="shared" si="3"/>
        <v/>
      </c>
      <c r="Y23" s="192">
        <f t="shared" si="4"/>
        <v>0.49493377001231531</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93392.814560275889</v>
      </c>
      <c r="W24" s="187">
        <f t="shared" si="2"/>
        <v>0.31013120689655177</v>
      </c>
      <c r="X24" s="187" t="str">
        <f t="shared" si="3"/>
        <v/>
      </c>
      <c r="Y24" s="187">
        <f t="shared" si="4"/>
        <v>0.49493377001231531</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93392.814560275889</v>
      </c>
      <c r="W25" s="192">
        <f t="shared" si="2"/>
        <v>0.3736984729064039</v>
      </c>
      <c r="X25" s="192" t="str">
        <f t="shared" si="3"/>
        <v/>
      </c>
      <c r="Y25" s="192">
        <f t="shared" si="4"/>
        <v>0.49493377001231531</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58" t="s">
        <v>284</v>
      </c>
      <c r="Q2" s="658"/>
      <c r="R2" s="658"/>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EAC07A-AAE7-472C-AF09-16DC83D01E1B}">
  <ds:schemaRefs>
    <ds:schemaRef ds:uri="http://schemas.microsoft.com/DataMashup"/>
  </ds:schemaRefs>
</ds:datastoreItem>
</file>

<file path=customXml/itemProps2.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4.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Akram Rez Najmi</cp:lastModifiedBy>
  <cp:revision/>
  <dcterms:created xsi:type="dcterms:W3CDTF">2015-06-05T18:17:20Z</dcterms:created>
  <dcterms:modified xsi:type="dcterms:W3CDTF">2025-07-22T02:49:21Z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