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7-07-2025\"/>
    </mc:Choice>
  </mc:AlternateContent>
  <xr:revisionPtr revIDLastSave="0" documentId="13_ncr:1_{6A9CD7DF-0F51-4CA9-B04D-4B30AF6E44F9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15" i="6" l="1"/>
  <c r="K1215" i="6"/>
  <c r="L1215" i="6"/>
  <c r="M1215" i="6"/>
  <c r="P1215" i="6" s="1"/>
  <c r="N1215" i="6"/>
  <c r="O1215" i="6"/>
  <c r="Q1215" i="6"/>
  <c r="J1216" i="6"/>
  <c r="K1216" i="6"/>
  <c r="L1216" i="6"/>
  <c r="M1216" i="6"/>
  <c r="P1216" i="6" s="1"/>
  <c r="N1216" i="6"/>
  <c r="O1216" i="6"/>
  <c r="Q1216" i="6"/>
  <c r="J1217" i="6"/>
  <c r="K1217" i="6"/>
  <c r="L1217" i="6"/>
  <c r="M1217" i="6"/>
  <c r="P1217" i="6" s="1"/>
  <c r="N1217" i="6"/>
  <c r="O1217" i="6"/>
  <c r="Q1217" i="6"/>
  <c r="J1218" i="6"/>
  <c r="K1218" i="6"/>
  <c r="L1218" i="6"/>
  <c r="M1218" i="6"/>
  <c r="Q1218" i="6" s="1"/>
  <c r="N1218" i="6"/>
  <c r="O1218" i="6"/>
  <c r="J1219" i="6"/>
  <c r="K1219" i="6"/>
  <c r="L1219" i="6"/>
  <c r="M1219" i="6"/>
  <c r="P1219" i="6" s="1"/>
  <c r="N1219" i="6"/>
  <c r="O1219" i="6"/>
  <c r="Q1219" i="6"/>
  <c r="P1218" i="7" s="1"/>
  <c r="J1220" i="6"/>
  <c r="K1220" i="6"/>
  <c r="L1220" i="6"/>
  <c r="M1220" i="6"/>
  <c r="P1220" i="6" s="1"/>
  <c r="N1220" i="6"/>
  <c r="O1220" i="6"/>
  <c r="Q1220" i="6"/>
  <c r="C1216" i="15"/>
  <c r="A1630" i="16"/>
  <c r="A1631" i="16" s="1"/>
  <c r="A1629" i="16"/>
  <c r="AC120" i="4"/>
  <c r="AD120" i="4"/>
  <c r="G120" i="4"/>
  <c r="A120" i="4"/>
  <c r="I120" i="4"/>
  <c r="J120" i="4"/>
  <c r="K120" i="4" s="1"/>
  <c r="AA120" i="4"/>
  <c r="AB120" i="4"/>
  <c r="AI120" i="4"/>
  <c r="F124" i="1"/>
  <c r="H124" i="1"/>
  <c r="AB124" i="1"/>
  <c r="AC124" i="1"/>
  <c r="AE124" i="1" s="1"/>
  <c r="AD124" i="1"/>
  <c r="AF124" i="1"/>
  <c r="AG124" i="1" s="1"/>
  <c r="AI124" i="1"/>
  <c r="J1213" i="6"/>
  <c r="K1213" i="6"/>
  <c r="L1213" i="6"/>
  <c r="M1213" i="6"/>
  <c r="N1213" i="6"/>
  <c r="O1213" i="6"/>
  <c r="Q1213" i="6"/>
  <c r="P1212" i="7" s="1"/>
  <c r="J1214" i="6"/>
  <c r="K1214" i="6"/>
  <c r="L1214" i="6"/>
  <c r="M1214" i="6"/>
  <c r="N1214" i="6"/>
  <c r="O1214" i="6"/>
  <c r="J1221" i="6"/>
  <c r="Q1221" i="6" s="1"/>
  <c r="K1221" i="6"/>
  <c r="L1221" i="6"/>
  <c r="M1221" i="6"/>
  <c r="N1221" i="6"/>
  <c r="T1220" i="7" s="1"/>
  <c r="O1221" i="6"/>
  <c r="J1201" i="6"/>
  <c r="Q1201" i="6" s="1"/>
  <c r="K1201" i="6"/>
  <c r="L1201" i="6"/>
  <c r="M1201" i="6"/>
  <c r="N1201" i="6"/>
  <c r="O1201" i="6"/>
  <c r="J1202" i="6"/>
  <c r="K1202" i="6"/>
  <c r="L1202" i="6"/>
  <c r="M1202" i="6"/>
  <c r="N1202" i="6"/>
  <c r="O1202" i="6"/>
  <c r="Q1202" i="6"/>
  <c r="J1203" i="6"/>
  <c r="K1203" i="6"/>
  <c r="L1203" i="6"/>
  <c r="M1203" i="6"/>
  <c r="P1203" i="6" s="1"/>
  <c r="N1203" i="6"/>
  <c r="O1203" i="6"/>
  <c r="J1204" i="6"/>
  <c r="Q1204" i="6" s="1"/>
  <c r="K1204" i="6"/>
  <c r="L1204" i="6"/>
  <c r="M1204" i="6"/>
  <c r="N1204" i="6"/>
  <c r="O1204" i="6"/>
  <c r="J1205" i="6"/>
  <c r="Q1205" i="6" s="1"/>
  <c r="K1205" i="6"/>
  <c r="L1205" i="6"/>
  <c r="M1205" i="6"/>
  <c r="N1205" i="6"/>
  <c r="O1205" i="6"/>
  <c r="J1206" i="6"/>
  <c r="K1206" i="6"/>
  <c r="Q1205" i="7" s="1"/>
  <c r="L1206" i="6"/>
  <c r="M1206" i="6"/>
  <c r="N1206" i="6"/>
  <c r="O1206" i="6"/>
  <c r="Q1206" i="6"/>
  <c r="R1205" i="7" s="1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Q1212" i="6" s="1"/>
  <c r="P1211" i="7" s="1"/>
  <c r="K1212" i="6"/>
  <c r="L1212" i="6"/>
  <c r="M1212" i="6"/>
  <c r="S1211" i="7" s="1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J1222" i="6"/>
  <c r="Q1222" i="6" s="1"/>
  <c r="K1222" i="6"/>
  <c r="L1222" i="6"/>
  <c r="M1222" i="6"/>
  <c r="N1222" i="6"/>
  <c r="T1221" i="7" s="1"/>
  <c r="O1222" i="6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E123" i="1" s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D122" i="1"/>
  <c r="AF122" i="1"/>
  <c r="AG122" i="1" s="1"/>
  <c r="AI122" i="1"/>
  <c r="P1218" i="6" l="1"/>
  <c r="Q1220" i="7"/>
  <c r="U1220" i="7"/>
  <c r="Q1221" i="7"/>
  <c r="P1221" i="7"/>
  <c r="S1213" i="7"/>
  <c r="P1204" i="6"/>
  <c r="Q1203" i="6"/>
  <c r="P1214" i="7"/>
  <c r="Q1214" i="6"/>
  <c r="P1213" i="7" s="1"/>
  <c r="Q1208" i="6"/>
  <c r="T1207" i="7" s="1"/>
  <c r="P1205" i="6"/>
  <c r="P1201" i="6"/>
  <c r="R1220" i="7"/>
  <c r="U1205" i="7"/>
  <c r="Q1209" i="6"/>
  <c r="P1221" i="6"/>
  <c r="R1221" i="7"/>
  <c r="P1211" i="6"/>
  <c r="N1210" i="7" s="1"/>
  <c r="S1205" i="7"/>
  <c r="P1202" i="6"/>
  <c r="S1218" i="7"/>
  <c r="L1215" i="7"/>
  <c r="S1212" i="7"/>
  <c r="S1220" i="7"/>
  <c r="P1214" i="6"/>
  <c r="L1213" i="7" s="1"/>
  <c r="P1213" i="6"/>
  <c r="L1212" i="7" s="1"/>
  <c r="L1209" i="7"/>
  <c r="U1207" i="7"/>
  <c r="P1207" i="7"/>
  <c r="Q1207" i="7"/>
  <c r="J1210" i="7"/>
  <c r="K1210" i="7"/>
  <c r="L1219" i="7"/>
  <c r="P1217" i="7"/>
  <c r="T1217" i="7"/>
  <c r="R1217" i="7"/>
  <c r="Q1217" i="7"/>
  <c r="U1217" i="7"/>
  <c r="S1217" i="7"/>
  <c r="L1217" i="7"/>
  <c r="M1209" i="7"/>
  <c r="Q1207" i="6"/>
  <c r="M1213" i="7"/>
  <c r="P1212" i="6"/>
  <c r="L1211" i="7" s="1"/>
  <c r="P1210" i="6"/>
  <c r="P1209" i="6"/>
  <c r="P1208" i="6"/>
  <c r="P1207" i="6"/>
  <c r="P1206" i="6"/>
  <c r="Q1210" i="6"/>
  <c r="P1205" i="7"/>
  <c r="R1214" i="7"/>
  <c r="R1213" i="7"/>
  <c r="R1212" i="7"/>
  <c r="R1211" i="7"/>
  <c r="M1219" i="7"/>
  <c r="S1207" i="7"/>
  <c r="U1218" i="7"/>
  <c r="Q1218" i="7"/>
  <c r="M1217" i="7"/>
  <c r="U1215" i="7"/>
  <c r="Q1215" i="7"/>
  <c r="U1213" i="7"/>
  <c r="Q1213" i="7"/>
  <c r="U1212" i="7"/>
  <c r="Q1212" i="7"/>
  <c r="U1211" i="7"/>
  <c r="Q1211" i="7"/>
  <c r="Q1211" i="6"/>
  <c r="T1205" i="7"/>
  <c r="R1218" i="7"/>
  <c r="R1215" i="7"/>
  <c r="T1218" i="7"/>
  <c r="T1215" i="7"/>
  <c r="T1214" i="7"/>
  <c r="T1213" i="7"/>
  <c r="T1212" i="7"/>
  <c r="T1211" i="7"/>
  <c r="P1220" i="7"/>
  <c r="S1221" i="7"/>
  <c r="P1222" i="6"/>
  <c r="U1221" i="7"/>
  <c r="AE122" i="1"/>
  <c r="Q1213" i="15"/>
  <c r="H1213" i="15"/>
  <c r="G1213" i="15"/>
  <c r="C1213" i="15"/>
  <c r="Q1212" i="14"/>
  <c r="H1212" i="14"/>
  <c r="G1212" i="14"/>
  <c r="C1212" i="14"/>
  <c r="T1208" i="7" l="1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K1217" i="7"/>
  <c r="O1217" i="7"/>
  <c r="N1217" i="7"/>
  <c r="J1217" i="7"/>
  <c r="J1205" i="7"/>
  <c r="N1205" i="7"/>
  <c r="K1205" i="7"/>
  <c r="O1205" i="7"/>
  <c r="M1205" i="7"/>
  <c r="L1205" i="7"/>
  <c r="N1209" i="7"/>
  <c r="O1209" i="7"/>
  <c r="K1209" i="7"/>
  <c r="J1209" i="7"/>
  <c r="K1216" i="7"/>
  <c r="O1216" i="7"/>
  <c r="N1216" i="7"/>
  <c r="J1216" i="7"/>
  <c r="P1216" i="7"/>
  <c r="T1216" i="7"/>
  <c r="R1216" i="7"/>
  <c r="S1216" i="7"/>
  <c r="Q1216" i="7"/>
  <c r="U1216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K1219" i="7"/>
  <c r="N1219" i="7"/>
  <c r="O1219" i="7"/>
  <c r="J1219" i="7"/>
  <c r="J1206" i="7"/>
  <c r="N1206" i="7"/>
  <c r="K1206" i="7"/>
  <c r="O1206" i="7"/>
  <c r="L1206" i="7"/>
  <c r="M1206" i="7"/>
  <c r="N1211" i="7"/>
  <c r="K1211" i="7"/>
  <c r="O1211" i="7"/>
  <c r="J1211" i="7"/>
  <c r="O1218" i="7"/>
  <c r="N1218" i="7"/>
  <c r="K1218" i="7"/>
  <c r="J1218" i="7"/>
  <c r="P1219" i="7"/>
  <c r="T1219" i="7"/>
  <c r="R1219" i="7"/>
  <c r="S1219" i="7"/>
  <c r="Q1219" i="7"/>
  <c r="U1219" i="7"/>
  <c r="L1214" i="7"/>
  <c r="S1206" i="7"/>
  <c r="M1218" i="7"/>
  <c r="L121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L1218" i="7"/>
  <c r="M1216" i="7"/>
  <c r="O1221" i="7"/>
  <c r="L1221" i="7"/>
  <c r="J1221" i="7"/>
  <c r="N1221" i="7"/>
  <c r="K1221" i="7"/>
  <c r="M1221" i="7"/>
  <c r="J1220" i="7"/>
  <c r="N1220" i="7"/>
  <c r="L1220" i="7"/>
  <c r="K1220" i="7"/>
  <c r="O1220" i="7"/>
  <c r="M1220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S1224" i="7" l="1"/>
  <c r="T1224" i="7"/>
  <c r="R1223" i="7"/>
  <c r="J1223" i="7"/>
  <c r="U1223" i="7"/>
  <c r="L1224" i="7"/>
  <c r="P1233" i="6"/>
  <c r="P1235" i="6"/>
  <c r="Q1231" i="6"/>
  <c r="P1223" i="6"/>
  <c r="O1222" i="7" s="1"/>
  <c r="M1186" i="7"/>
  <c r="Q1232" i="6"/>
  <c r="R1183" i="7"/>
  <c r="Q1230" i="6"/>
  <c r="J1197" i="7"/>
  <c r="T1181" i="7"/>
  <c r="R1182" i="7"/>
  <c r="O1184" i="7"/>
  <c r="S1181" i="7"/>
  <c r="L1196" i="7"/>
  <c r="J1174" i="7"/>
  <c r="P1237" i="6"/>
  <c r="N1179" i="7"/>
  <c r="P1230" i="6"/>
  <c r="N1181" i="7"/>
  <c r="Q1233" i="6"/>
  <c r="Q1236" i="6"/>
  <c r="Q1224" i="6"/>
  <c r="T1223" i="7" s="1"/>
  <c r="P1187" i="7"/>
  <c r="K1167" i="7"/>
  <c r="P1227" i="6"/>
  <c r="M1190" i="7"/>
  <c r="P1225" i="6"/>
  <c r="J1224" i="7" s="1"/>
  <c r="L1188" i="7"/>
  <c r="L1164" i="7"/>
  <c r="P1228" i="6"/>
  <c r="L1167" i="7"/>
  <c r="P1231" i="6"/>
  <c r="L1182" i="7"/>
  <c r="Q1234" i="6"/>
  <c r="U1185" i="7"/>
  <c r="P1234" i="6"/>
  <c r="K1185" i="7"/>
  <c r="P1232" i="6"/>
  <c r="Q1235" i="6"/>
  <c r="Q1223" i="6"/>
  <c r="U1222" i="7" s="1"/>
  <c r="U1186" i="7"/>
  <c r="P1226" i="6"/>
  <c r="J1165" i="7"/>
  <c r="P1229" i="6"/>
  <c r="J1164" i="7"/>
  <c r="Q1225" i="6"/>
  <c r="P1224" i="7" s="1"/>
  <c r="Q1184" i="7"/>
  <c r="P1236" i="6"/>
  <c r="P1224" i="6"/>
  <c r="M1223" i="7" s="1"/>
  <c r="N1187" i="7"/>
  <c r="J1175" i="7"/>
  <c r="J1163" i="7"/>
  <c r="Q1229" i="6"/>
  <c r="S1180" i="7"/>
  <c r="O1183" i="7"/>
  <c r="O1165" i="7"/>
  <c r="K1173" i="7"/>
  <c r="Q1228" i="6"/>
  <c r="Q1179" i="7"/>
  <c r="P1190" i="7"/>
  <c r="K1169" i="7"/>
  <c r="Q1227" i="6"/>
  <c r="Q1226" i="6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L1222" i="7" l="1"/>
  <c r="P1222" i="7"/>
  <c r="R1224" i="7"/>
  <c r="O1223" i="7"/>
  <c r="P1223" i="7"/>
  <c r="S1222" i="7"/>
  <c r="L1223" i="7"/>
  <c r="R1222" i="7"/>
  <c r="N1224" i="7"/>
  <c r="M1224" i="7"/>
  <c r="K1223" i="7"/>
  <c r="T1222" i="7"/>
  <c r="U1224" i="7"/>
  <c r="Q1224" i="7"/>
  <c r="N1223" i="7"/>
  <c r="S1223" i="7"/>
  <c r="Q1222" i="7"/>
  <c r="J1222" i="7"/>
  <c r="M1222" i="7"/>
  <c r="Q1223" i="7"/>
  <c r="N1222" i="7"/>
  <c r="O1224" i="7"/>
  <c r="K1224" i="7"/>
  <c r="K1222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<sst xmlns="http://schemas.openxmlformats.org/spreadsheetml/2006/main" count="27523" uniqueCount="1704">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</sst>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43" fontId="58" fillId="0" borderId="0" applyFont="0" applyFill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9" fontId="58" fillId="0" borderId="0" applyFont="0" applyFill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37" fillId="2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37" fillId="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37" fillId="3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1" fillId="3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9" fontId="44" fillId="29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45" fillId="0" borderId="0"/>
    <xf numFmtId="0" fontId="58" fillId="0" borderId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45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45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16" borderId="0" applyNumberFormat="0" applyBorder="0" applyAlignment="0" applyProtection="0"/>
    <xf numFmtId="0" fontId="58" fillId="0" borderId="0"/>
    <xf numFmtId="0" fontId="58" fillId="16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45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2" fillId="0" borderId="17" applyNumberFormat="0" applyFill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0" fillId="0" borderId="0" applyNumberFormat="0" applyFill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0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5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2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1" borderId="13" applyNumberFormat="0" applyFont="0" applyAlignment="0" applyProtection="0"/>
    <xf numFmtId="0" fontId="58" fillId="15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0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2" borderId="0" applyNumberFormat="0" applyBorder="0" applyAlignment="0" applyProtection="0"/>
    <xf numFmtId="0" fontId="58" fillId="22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17" borderId="0" applyNumberFormat="0" applyBorder="0" applyAlignment="0" applyProtection="0"/>
    <xf numFmtId="0" fontId="58" fillId="22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4" fillId="0" borderId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3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1" borderId="13" applyNumberFormat="0" applyFont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7" borderId="0" applyNumberFormat="0" applyBorder="0" applyAlignment="0" applyProtection="0"/>
    <xf numFmtId="0" fontId="58" fillId="9" borderId="0" applyNumberFormat="0" applyBorder="0" applyAlignment="0" applyProtection="0"/>
    <xf numFmtId="0" fontId="37" fillId="38" borderId="0" applyNumberFormat="0" applyBorder="0" applyAlignment="0" applyProtection="0"/>
    <xf numFmtId="0" fontId="58" fillId="17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7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7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7" borderId="0" applyNumberFormat="0" applyBorder="0" applyAlignment="0" applyProtection="0"/>
    <xf numFmtId="0" fontId="58" fillId="20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7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45" fillId="0" borderId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43" fontId="58" fillId="0" borderId="0" applyFont="0" applyFill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4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1" borderId="13" applyNumberFormat="0" applyFont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3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10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5" borderId="0" applyNumberFormat="0" applyBorder="0" applyAlignment="0" applyProtection="0"/>
    <xf numFmtId="0" fontId="58" fillId="18" borderId="0" applyNumberFormat="0" applyBorder="0" applyAlignment="0" applyProtection="0"/>
    <xf numFmtId="0" fontId="58" fillId="24" borderId="0" applyNumberFormat="0" applyBorder="0" applyAlignment="0" applyProtection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0" borderId="0"/>
    <xf numFmtId="0" fontId="58" fillId="18" borderId="0" applyNumberFormat="0" applyBorder="0" applyAlignment="0" applyProtection="0"/>
    <xf numFmtId="0" fontId="58" fillId="18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37" fillId="3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37" fillId="39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37" fillId="4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42" fillId="0" borderId="0" applyNumberFormat="0" applyFill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6" fillId="0" borderId="0" applyNumberFormat="0" applyFill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4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3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1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0" borderId="0"/>
    <xf numFmtId="0" fontId="58" fillId="20" borderId="0" applyNumberFormat="0" applyBorder="0" applyAlignment="0" applyProtection="0"/>
    <xf numFmtId="0" fontId="58" fillId="2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49" fillId="0" borderId="18" applyNumberFormat="0" applyFill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1" borderId="13" applyNumberFormat="0" applyFont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0" borderId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24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4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3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0" borderId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21" borderId="13" applyNumberFormat="0" applyFont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0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19" borderId="0" applyNumberFormat="0" applyBorder="0" applyAlignment="0" applyProtection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9" borderId="0" applyNumberFormat="0" applyBorder="0" applyAlignment="0" applyProtection="0"/>
    <xf numFmtId="0" fontId="58" fillId="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45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43" fontId="58" fillId="0" borderId="0" applyFont="0" applyFill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36" fillId="27" borderId="16" applyNumberForma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0" borderId="0"/>
    <xf numFmtId="0" fontId="58" fillId="23" borderId="0" applyNumberFormat="0" applyBorder="0" applyAlignment="0" applyProtection="0"/>
    <xf numFmtId="0" fontId="58" fillId="25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23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37" fillId="38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1" borderId="13" applyNumberFormat="0" applyFont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25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0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19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5" fillId="34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4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1" borderId="13" applyNumberFormat="0" applyFont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0" borderId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25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37" fillId="11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21" borderId="13" applyNumberFormat="0" applyFont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0" borderId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58" fillId="10" borderId="0" applyNumberFormat="0" applyBorder="0" applyAlignment="0" applyProtection="0"/>
    <xf numFmtId="0" fontId="37" fillId="4" borderId="0" applyNumberFormat="0" applyBorder="0" applyAlignment="0" applyProtection="0"/>
    <xf numFmtId="0" fontId="58" fillId="0" borderId="0"/>
    <xf numFmtId="0" fontId="58" fillId="0" borderId="0"/>
    <xf numFmtId="0" fontId="37" fillId="36" borderId="0" applyNumberFormat="0" applyBorder="0" applyAlignment="0" applyProtection="0"/>
    <xf numFmtId="0" fontId="58" fillId="0" borderId="0"/>
    <xf numFmtId="0" fontId="37" fillId="36" borderId="0" applyNumberFormat="0" applyBorder="0" applyAlignment="0" applyProtection="0"/>
    <xf numFmtId="0" fontId="58" fillId="0" borderId="0"/>
    <xf numFmtId="0" fontId="58" fillId="0" borderId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8" borderId="0" applyNumberFormat="0" applyBorder="0" applyAlignment="0" applyProtection="0"/>
    <xf numFmtId="0" fontId="58" fillId="0" borderId="0"/>
    <xf numFmtId="0" fontId="37" fillId="3" borderId="0" applyNumberFormat="0" applyBorder="0" applyAlignment="0" applyProtection="0"/>
    <xf numFmtId="0" fontId="41" fillId="26" borderId="15" applyNumberFormat="0" applyAlignment="0" applyProtection="0"/>
    <xf numFmtId="43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53" fillId="31" borderId="0" applyNumberFormat="0" applyBorder="0" applyAlignment="0" applyProtection="0"/>
    <xf numFmtId="0" fontId="58" fillId="0" borderId="0"/>
    <xf numFmtId="0" fontId="47" fillId="0" borderId="19" applyNumberFormat="0" applyFill="0" applyAlignment="0" applyProtection="0"/>
    <xf numFmtId="0" fontId="43" fillId="0" borderId="20" applyNumberFormat="0" applyFill="0" applyAlignment="0" applyProtection="0"/>
    <xf numFmtId="0" fontId="42" fillId="0" borderId="21" applyNumberFormat="0" applyFill="0" applyAlignment="0" applyProtection="0"/>
    <xf numFmtId="0" fontId="58" fillId="21" borderId="13" applyNumberFormat="0" applyFont="0" applyAlignment="0" applyProtection="0"/>
    <xf numFmtId="0" fontId="57" fillId="32" borderId="15" applyNumberFormat="0" applyAlignment="0" applyProtection="0"/>
    <xf numFmtId="0" fontId="55" fillId="34" borderId="0" applyNumberFormat="0" applyBorder="0" applyAlignment="0" applyProtection="0"/>
    <xf numFmtId="0" fontId="45" fillId="0" borderId="0"/>
    <xf numFmtId="0" fontId="58" fillId="0" borderId="0"/>
    <xf numFmtId="0" fontId="54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4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4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48" fillId="0" borderId="0"/>
    <xf numFmtId="0" fontId="58" fillId="0" borderId="0"/>
    <xf numFmtId="165" fontId="58" fillId="0" borderId="0"/>
    <xf numFmtId="0" fontId="48" fillId="0" borderId="0"/>
    <xf numFmtId="0" fontId="46" fillId="0" borderId="0"/>
    <xf numFmtId="0" fontId="58" fillId="0" borderId="0"/>
    <xf numFmtId="0" fontId="46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46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4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58" fillId="21" borderId="13" applyNumberFormat="0" applyFont="0" applyAlignment="0" applyProtection="0"/>
    <xf numFmtId="0" fontId="40" fillId="26" borderId="14" applyNumberFormat="0" applyAlignment="0" applyProtection="0"/>
    <xf numFmtId="9" fontId="5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31" fillId="0" borderId="0"/>
    <xf numFmtId="43" fontId="31" fillId="0" borderId="0" applyFont="0" applyFill="0" applyBorder="0" applyAlignment="0" applyProtection="0"/>
  </cellStyleXfs>
  <cellXfs count="29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2" fillId="3" borderId="1" xfId="23226" applyFont="1" applyFill="1" applyBorder="1" applyAlignment="1">
      <alignment horizontal="center" vertical="center" wrapText="1"/>
    </xf>
    <xf numFmtId="168" fontId="32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2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2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2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3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3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3" fillId="3" borderId="7" xfId="23226" applyFont="1" applyFill="1" applyBorder="1" applyAlignment="1">
      <alignment horizontal="center" vertical="center" wrapText="1"/>
    </xf>
    <xf numFmtId="168" fontId="33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3" fillId="3" borderId="3" xfId="23226" applyFont="1" applyFill="1" applyBorder="1" applyAlignment="1">
      <alignment horizontal="center" vertical="center" wrapText="1"/>
    </xf>
    <xf numFmtId="0" fontId="33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3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2" fillId="3" borderId="12" xfId="23226" applyFont="1" applyFill="1" applyBorder="1" applyAlignment="1">
      <alignment horizontal="center" vertical="center" wrapText="1"/>
    </xf>
    <xf numFmtId="168" fontId="32" fillId="3" borderId="3" xfId="23226" applyNumberFormat="1" applyFont="1" applyFill="1" applyBorder="1" applyAlignment="1">
      <alignment horizontal="center" vertical="center" wrapText="1"/>
    </xf>
    <xf numFmtId="0" fontId="32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6" fillId="8" borderId="1" xfId="0" applyFont="1" applyFill="1" applyBorder="1" applyAlignment="1">
      <alignment vertical="center"/>
    </xf>
    <xf numFmtId="0" fontId="36" fillId="8" borderId="1" xfId="0" applyFont="1" applyFill="1" applyBorder="1" applyAlignment="1">
      <alignment horizontal="center" vertical="center" wrapText="1"/>
    </xf>
    <xf numFmtId="17" fontId="37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6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9" fillId="5" borderId="1" xfId="0" applyFont="1" applyFill="1" applyBorder="1" applyAlignment="1">
      <alignment horizontal="center"/>
    </xf>
    <xf numFmtId="17" fontId="59" fillId="5" borderId="1" xfId="0" applyNumberFormat="1" applyFont="1" applyFill="1" applyBorder="1"/>
    <xf numFmtId="15" fontId="59" fillId="5" borderId="1" xfId="0" applyNumberFormat="1" applyFont="1" applyFill="1" applyBorder="1"/>
    <xf numFmtId="0" fontId="59" fillId="5" borderId="10" xfId="0" applyFont="1" applyFill="1" applyBorder="1" applyAlignment="1">
      <alignment horizontal="center"/>
    </xf>
    <xf numFmtId="17" fontId="59" fillId="5" borderId="10" xfId="0" applyNumberFormat="1" applyFont="1" applyFill="1" applyBorder="1"/>
    <xf numFmtId="15" fontId="59" fillId="5" borderId="10" xfId="0" applyNumberFormat="1" applyFont="1" applyFill="1" applyBorder="1"/>
    <xf numFmtId="0" fontId="60" fillId="0" borderId="0" xfId="0" applyFont="1" applyAlignment="1">
      <alignment horizontal="center"/>
    </xf>
    <xf numFmtId="0" fontId="38" fillId="13" borderId="22" xfId="0" applyFont="1" applyFill="1" applyBorder="1"/>
    <xf numFmtId="168" fontId="39" fillId="13" borderId="23" xfId="14686" applyNumberFormat="1" applyFont="1" applyFill="1" applyBorder="1" applyAlignment="1">
      <alignment horizontal="left" vertical="center"/>
    </xf>
    <xf numFmtId="168" fontId="39" fillId="13" borderId="24" xfId="14686" applyNumberFormat="1" applyFont="1" applyFill="1" applyBorder="1" applyAlignment="1">
      <alignment horizontal="left" vertical="center"/>
    </xf>
    <xf numFmtId="0" fontId="59" fillId="5" borderId="8" xfId="0" applyFont="1" applyFill="1" applyBorder="1" applyAlignment="1">
      <alignment horizontal="center"/>
    </xf>
    <xf numFmtId="0" fontId="59" fillId="5" borderId="25" xfId="0" applyFont="1" applyFill="1" applyBorder="1" applyAlignment="1">
      <alignment horizontal="center"/>
    </xf>
    <xf numFmtId="15" fontId="59" fillId="5" borderId="8" xfId="0" applyNumberFormat="1" applyFont="1" applyFill="1" applyBorder="1"/>
    <xf numFmtId="0" fontId="63" fillId="14" borderId="29" xfId="0" applyFont="1" applyFill="1" applyBorder="1"/>
    <xf numFmtId="0" fontId="63" fillId="14" borderId="32" xfId="0" applyFont="1" applyFill="1" applyBorder="1"/>
    <xf numFmtId="0" fontId="63" fillId="14" borderId="26" xfId="0" applyFont="1" applyFill="1" applyBorder="1" applyAlignment="1">
      <alignment horizontal="center" vertical="center" wrapText="1"/>
    </xf>
    <xf numFmtId="0" fontId="63" fillId="14" borderId="27" xfId="0" applyFont="1" applyFill="1" applyBorder="1" applyAlignment="1">
      <alignment horizontal="center" vertical="center" wrapText="1"/>
    </xf>
    <xf numFmtId="0" fontId="65" fillId="13" borderId="29" xfId="0" applyFont="1" applyFill="1" applyBorder="1" applyAlignment="1">
      <alignment horizontal="center" vertical="center"/>
    </xf>
    <xf numFmtId="0" fontId="65" fillId="13" borderId="30" xfId="0" applyFont="1" applyFill="1" applyBorder="1"/>
    <xf numFmtId="1" fontId="64" fillId="13" borderId="30" xfId="14686" applyNumberFormat="1" applyFont="1" applyFill="1" applyBorder="1" applyAlignment="1">
      <alignment horizontal="center" vertical="center"/>
    </xf>
    <xf numFmtId="3" fontId="65" fillId="13" borderId="30" xfId="0" applyNumberFormat="1" applyFont="1" applyFill="1" applyBorder="1" applyAlignment="1">
      <alignment horizontal="center"/>
    </xf>
    <xf numFmtId="10" fontId="65" fillId="13" borderId="30" xfId="34037" applyNumberFormat="1" applyFont="1" applyFill="1" applyBorder="1" applyAlignment="1">
      <alignment horizontal="center"/>
    </xf>
    <xf numFmtId="1" fontId="65" fillId="0" borderId="30" xfId="0" applyNumberFormat="1" applyFont="1" applyBorder="1" applyAlignment="1">
      <alignment horizontal="center"/>
    </xf>
    <xf numFmtId="1" fontId="65" fillId="13" borderId="30" xfId="0" applyNumberFormat="1" applyFont="1" applyFill="1" applyBorder="1" applyAlignment="1">
      <alignment horizontal="center"/>
    </xf>
    <xf numFmtId="164" fontId="64" fillId="13" borderId="30" xfId="96" applyNumberFormat="1" applyFont="1" applyFill="1" applyBorder="1" applyAlignment="1">
      <alignment horizontal="center" vertical="center"/>
    </xf>
    <xf numFmtId="164" fontId="65" fillId="13" borderId="30" xfId="96" applyNumberFormat="1" applyFont="1" applyFill="1" applyBorder="1" applyAlignment="1">
      <alignment horizontal="center"/>
    </xf>
    <xf numFmtId="164" fontId="64" fillId="13" borderId="30" xfId="34037" applyNumberFormat="1" applyFont="1" applyFill="1" applyBorder="1" applyAlignment="1">
      <alignment horizontal="center" vertical="center"/>
    </xf>
    <xf numFmtId="0" fontId="65" fillId="13" borderId="32" xfId="0" applyFont="1" applyFill="1" applyBorder="1" applyAlignment="1">
      <alignment horizontal="center" vertical="center"/>
    </xf>
    <xf numFmtId="0" fontId="65" fillId="13" borderId="36" xfId="0" applyFont="1" applyFill="1" applyBorder="1"/>
    <xf numFmtId="164" fontId="65" fillId="13" borderId="36" xfId="96" applyNumberFormat="1" applyFont="1" applyFill="1" applyBorder="1" applyAlignment="1">
      <alignment horizontal="center"/>
    </xf>
    <xf numFmtId="10" fontId="65" fillId="13" borderId="36" xfId="34037" applyNumberFormat="1" applyFont="1" applyFill="1" applyBorder="1" applyAlignment="1">
      <alignment horizontal="center"/>
    </xf>
    <xf numFmtId="0" fontId="31" fillId="0" borderId="0" xfId="34038"/>
    <xf numFmtId="0" fontId="31" fillId="0" borderId="1" xfId="34038" applyBorder="1"/>
    <xf numFmtId="14" fontId="31" fillId="0" borderId="1" xfId="34038" applyNumberFormat="1" applyBorder="1"/>
    <xf numFmtId="1" fontId="31" fillId="0" borderId="1" xfId="34038" applyNumberFormat="1" applyBorder="1"/>
    <xf numFmtId="43" fontId="0" fillId="0" borderId="0" xfId="34039" applyFont="1"/>
    <xf numFmtId="3" fontId="31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60" fillId="0" borderId="0" xfId="0" applyFont="1"/>
    <xf numFmtId="10" fontId="65" fillId="13" borderId="30" xfId="96" applyNumberFormat="1" applyFont="1" applyFill="1" applyBorder="1" applyAlignment="1">
      <alignment horizontal="center" vertical="center"/>
    </xf>
    <xf numFmtId="10" fontId="65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5" fillId="13" borderId="30" xfId="0" applyFont="1" applyFill="1" applyBorder="1" applyAlignment="1">
      <alignment horizontal="left" vertical="top"/>
    </xf>
    <xf numFmtId="0" fontId="34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9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9" fillId="5" borderId="1" xfId="0" applyNumberFormat="1" applyFont="1" applyFill="1" applyBorder="1" applyAlignment="1">
      <alignment horizontal="center"/>
    </xf>
    <xf numFmtId="2" fontId="59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7" fillId="8" borderId="1" xfId="0" applyNumberFormat="1" applyFont="1" applyFill="1" applyBorder="1" applyAlignment="1">
      <alignment horizontal="center"/>
    </xf>
    <xf numFmtId="0" fontId="36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4" fillId="13" borderId="30" xfId="96" applyNumberFormat="1" applyFont="1" applyFill="1" applyBorder="1" applyAlignment="1">
      <alignment horizontal="center" vertical="center"/>
    </xf>
    <xf numFmtId="2" fontId="65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6" fillId="0" borderId="39" xfId="96" applyNumberFormat="1" applyFont="1" applyFill="1" applyBorder="1" applyAlignment="1">
      <alignment horizontal="center" vertical="center"/>
    </xf>
    <xf numFmtId="10" fontId="36" fillId="0" borderId="40" xfId="96" applyNumberFormat="1" applyFont="1" applyFill="1" applyBorder="1" applyAlignment="1">
      <alignment horizontal="center" vertical="center"/>
    </xf>
    <xf numFmtId="10" fontId="36" fillId="0" borderId="41" xfId="96" applyNumberFormat="1" applyFont="1" applyFill="1" applyBorder="1" applyAlignment="1">
      <alignment horizontal="center" vertical="center"/>
    </xf>
    <xf numFmtId="168" fontId="33" fillId="0" borderId="38" xfId="23226" applyNumberFormat="1" applyFont="1" applyBorder="1" applyAlignment="1">
      <alignment horizontal="center" vertical="center" wrapText="1"/>
    </xf>
    <xf numFmtId="0" fontId="33" fillId="0" borderId="38" xfId="23226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9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3" fillId="14" borderId="28" xfId="0" applyFont="1" applyFill="1" applyBorder="1" applyAlignment="1" applyProtection="1">
      <alignment horizontal="center" vertical="center" wrapText="1"/>
      <protection locked="0"/>
    </xf>
    <xf numFmtId="0" fontId="65" fillId="13" borderId="31" xfId="0" applyFont="1" applyFill="1" applyBorder="1" applyAlignment="1" applyProtection="1">
      <alignment vertical="top"/>
      <protection locked="0"/>
    </xf>
    <xf numFmtId="0" fontId="65" fillId="13" borderId="31" xfId="0" applyFont="1" applyFill="1" applyBorder="1" applyProtection="1">
      <protection locked="0"/>
    </xf>
    <xf numFmtId="1" fontId="65" fillId="13" borderId="31" xfId="0" applyNumberFormat="1" applyFont="1" applyFill="1" applyBorder="1" applyProtection="1">
      <protection locked="0"/>
    </xf>
    <xf numFmtId="0" fontId="65" fillId="13" borderId="31" xfId="0" applyFont="1" applyFill="1" applyBorder="1" applyAlignment="1" applyProtection="1">
      <alignment wrapText="1"/>
      <protection locked="0"/>
    </xf>
    <xf numFmtId="0" fontId="65" fillId="0" borderId="31" xfId="0" applyFont="1" applyBorder="1" applyAlignment="1" applyProtection="1">
      <alignment wrapText="1"/>
      <protection locked="0"/>
    </xf>
    <xf numFmtId="0" fontId="65" fillId="0" borderId="31" xfId="0" applyFont="1" applyBorder="1" applyProtection="1">
      <protection locked="0"/>
    </xf>
    <xf numFmtId="0" fontId="65" fillId="13" borderId="37" xfId="0" applyFont="1" applyFill="1" applyBorder="1" applyProtection="1">
      <protection locked="0"/>
    </xf>
    <xf numFmtId="0" fontId="69" fillId="5" borderId="8" xfId="0" applyFont="1" applyFill="1" applyBorder="1" applyAlignment="1">
      <alignment horizontal="center"/>
    </xf>
    <xf numFmtId="2" fontId="69" fillId="5" borderId="8" xfId="0" applyNumberFormat="1" applyFont="1" applyFill="1" applyBorder="1" applyAlignment="1">
      <alignment horizontal="center"/>
    </xf>
    <xf numFmtId="15" fontId="69" fillId="5" borderId="8" xfId="0" applyNumberFormat="1" applyFont="1" applyFill="1" applyBorder="1"/>
    <xf numFmtId="0" fontId="69" fillId="5" borderId="1" xfId="0" applyFont="1" applyFill="1" applyBorder="1" applyAlignment="1">
      <alignment horizontal="center"/>
    </xf>
    <xf numFmtId="164" fontId="70" fillId="0" borderId="1" xfId="96" applyNumberFormat="1" applyFont="1" applyBorder="1" applyAlignment="1">
      <alignment horizontal="center"/>
    </xf>
    <xf numFmtId="164" fontId="70" fillId="0" borderId="6" xfId="96" applyNumberFormat="1" applyFont="1" applyBorder="1" applyAlignment="1">
      <alignment horizontal="center"/>
    </xf>
    <xf numFmtId="17" fontId="59" fillId="5" borderId="8" xfId="0" applyNumberFormat="1" applyFont="1" applyFill="1" applyBorder="1" applyAlignment="1">
      <alignment horizontal="center"/>
    </xf>
    <xf numFmtId="17" fontId="59" fillId="5" borderId="25" xfId="0" applyNumberFormat="1" applyFont="1" applyFill="1" applyBorder="1" applyAlignment="1">
      <alignment horizontal="center"/>
    </xf>
    <xf numFmtId="15" fontId="59" fillId="5" borderId="25" xfId="0" applyNumberFormat="1" applyFont="1" applyFill="1" applyBorder="1"/>
    <xf numFmtId="2" fontId="59" fillId="5" borderId="25" xfId="0" applyNumberFormat="1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right"/>
    </xf>
    <xf numFmtId="0" fontId="30" fillId="5" borderId="25" xfId="0" applyFont="1" applyFill="1" applyBorder="1" applyAlignment="1">
      <alignment horizontal="left"/>
    </xf>
    <xf numFmtId="0" fontId="29" fillId="0" borderId="0" xfId="0" applyFont="1"/>
    <xf numFmtId="0" fontId="29" fillId="0" borderId="0" xfId="0" applyFont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71" fillId="5" borderId="8" xfId="0" applyFont="1" applyFill="1" applyBorder="1" applyAlignment="1">
      <alignment horizontal="center"/>
    </xf>
    <xf numFmtId="2" fontId="71" fillId="5" borderId="8" xfId="0" applyNumberFormat="1" applyFont="1" applyFill="1" applyBorder="1" applyAlignment="1">
      <alignment horizontal="center"/>
    </xf>
    <xf numFmtId="0" fontId="71" fillId="5" borderId="1" xfId="0" applyFont="1" applyFill="1" applyBorder="1" applyAlignment="1">
      <alignment horizontal="center"/>
    </xf>
    <xf numFmtId="15" fontId="71" fillId="5" borderId="1" xfId="0" applyNumberFormat="1" applyFont="1" applyFill="1" applyBorder="1"/>
    <xf numFmtId="0" fontId="25" fillId="0" borderId="0" xfId="0" applyFont="1"/>
    <xf numFmtId="0" fontId="24" fillId="0" borderId="0" xfId="0" applyFont="1"/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3" fillId="0" borderId="0" xfId="0" applyFont="1"/>
    <xf numFmtId="17" fontId="71" fillId="5" borderId="8" xfId="0" applyNumberFormat="1" applyFont="1" applyFill="1" applyBorder="1" applyAlignment="1">
      <alignment horizontal="center"/>
    </xf>
    <xf numFmtId="164" fontId="72" fillId="0" borderId="1" xfId="96" applyNumberFormat="1" applyFont="1" applyBorder="1" applyAlignment="1">
      <alignment horizontal="center"/>
    </xf>
    <xf numFmtId="164" fontId="72" fillId="0" borderId="6" xfId="96" applyNumberFormat="1" applyFont="1" applyBorder="1" applyAlignment="1">
      <alignment horizontal="center"/>
    </xf>
    <xf numFmtId="0" fontId="71" fillId="5" borderId="10" xfId="0" applyFont="1" applyFill="1" applyBorder="1" applyAlignment="1">
      <alignment horizontal="center"/>
    </xf>
    <xf numFmtId="15" fontId="71" fillId="5" borderId="10" xfId="0" applyNumberFormat="1" applyFont="1" applyFill="1" applyBorder="1"/>
    <xf numFmtId="0" fontId="27" fillId="0" borderId="0" xfId="0" applyFont="1" applyAlignment="1">
      <alignment horizontal="left"/>
    </xf>
    <xf numFmtId="0" fontId="22" fillId="0" borderId="0" xfId="0" applyFont="1"/>
    <xf numFmtId="0" fontId="26" fillId="0" borderId="0" xfId="0" applyFont="1" applyAlignment="1">
      <alignment horizontal="left"/>
    </xf>
    <xf numFmtId="0" fontId="21" fillId="0" borderId="0" xfId="0" applyFont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left"/>
    </xf>
    <xf numFmtId="0" fontId="19" fillId="0" borderId="0" xfId="0" applyFont="1"/>
    <xf numFmtId="0" fontId="19" fillId="0" borderId="0" xfId="0" applyFont="1" applyAlignment="1">
      <alignment horizontal="left"/>
    </xf>
    <xf numFmtId="0" fontId="73" fillId="5" borderId="1" xfId="0" applyFont="1" applyFill="1" applyBorder="1" applyAlignment="1">
      <alignment horizontal="center"/>
    </xf>
    <xf numFmtId="164" fontId="74" fillId="0" borderId="1" xfId="96" applyNumberFormat="1" applyFont="1" applyBorder="1" applyAlignment="1">
      <alignment horizontal="center"/>
    </xf>
    <xf numFmtId="164" fontId="74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8" fillId="0" borderId="0" xfId="0" applyFont="1"/>
    <xf numFmtId="164" fontId="59" fillId="0" borderId="1" xfId="96" applyNumberFormat="1" applyFont="1" applyBorder="1" applyAlignment="1">
      <alignment horizontal="center"/>
    </xf>
    <xf numFmtId="0" fontId="17" fillId="0" borderId="0" xfId="0" applyFont="1"/>
    <xf numFmtId="0" fontId="60" fillId="0" borderId="0" xfId="0" applyFont="1" applyAlignment="1">
      <alignment horizontal="left"/>
    </xf>
    <xf numFmtId="0" fontId="16" fillId="40" borderId="25" xfId="0" applyFont="1" applyFill="1" applyBorder="1" applyAlignment="1">
      <alignment horizontal="center" vertical="center"/>
    </xf>
    <xf numFmtId="0" fontId="16" fillId="0" borderId="0" xfId="0" applyFont="1"/>
    <xf numFmtId="0" fontId="15" fillId="0" borderId="0" xfId="0" applyFont="1"/>
    <xf numFmtId="0" fontId="14" fillId="0" borderId="0" xfId="0" applyFont="1" applyAlignment="1">
      <alignment horizontal="center" vertical="center" wrapText="1"/>
    </xf>
    <xf numFmtId="0" fontId="49" fillId="0" borderId="0" xfId="0" applyFont="1"/>
    <xf numFmtId="0" fontId="14" fillId="0" borderId="0" xfId="0" applyFont="1"/>
    <xf numFmtId="0" fontId="13" fillId="0" borderId="0" xfId="0" applyFont="1"/>
    <xf numFmtId="0" fontId="75" fillId="5" borderId="1" xfId="0" applyFont="1" applyFill="1" applyBorder="1" applyAlignment="1">
      <alignment horizontal="center"/>
    </xf>
    <xf numFmtId="17" fontId="75" fillId="5" borderId="1" xfId="0" applyNumberFormat="1" applyFont="1" applyFill="1" applyBorder="1"/>
    <xf numFmtId="164" fontId="76" fillId="0" borderId="1" xfId="96" applyNumberFormat="1" applyFont="1" applyBorder="1" applyAlignment="1">
      <alignment horizontal="center"/>
    </xf>
    <xf numFmtId="164" fontId="76" fillId="0" borderId="6" xfId="96" applyNumberFormat="1" applyFont="1" applyBorder="1" applyAlignment="1">
      <alignment horizontal="center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61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4" fillId="13" borderId="33" xfId="14686" applyNumberFormat="1" applyFont="1" applyFill="1" applyBorder="1" applyAlignment="1">
      <alignment horizontal="left" vertical="center"/>
    </xf>
    <xf numFmtId="168" fontId="64" fillId="13" borderId="34" xfId="14686" applyNumberFormat="1" applyFont="1" applyFill="1" applyBorder="1" applyAlignment="1">
      <alignment horizontal="left" vertical="center"/>
    </xf>
    <xf numFmtId="168" fontId="64" fillId="13" borderId="35" xfId="14686" applyNumberFormat="1" applyFont="1" applyFill="1" applyBorder="1" applyAlignment="1">
      <alignment horizontal="left" vertical="center"/>
    </xf>
    <xf numFmtId="0" fontId="62" fillId="14" borderId="26" xfId="0" applyFont="1" applyFill="1" applyBorder="1" applyAlignment="1">
      <alignment horizontal="center"/>
    </xf>
    <xf numFmtId="0" fontId="62" fillId="14" borderId="27" xfId="0" applyFont="1" applyFill="1" applyBorder="1" applyAlignment="1">
      <alignment horizontal="center"/>
    </xf>
    <xf numFmtId="0" fontId="62" fillId="14" borderId="28" xfId="0" applyFont="1" applyFill="1" applyBorder="1" applyAlignment="1">
      <alignment horizontal="center"/>
    </xf>
    <xf numFmtId="167" fontId="64" fillId="13" borderId="30" xfId="14686" applyNumberFormat="1" applyFont="1" applyFill="1" applyBorder="1" applyAlignment="1" applyProtection="1">
      <alignment horizontal="left" vertical="center"/>
      <protection locked="0"/>
    </xf>
    <xf numFmtId="167" fontId="64" fillId="13" borderId="31" xfId="14686" applyNumberFormat="1" applyFont="1" applyFill="1" applyBorder="1" applyAlignment="1" applyProtection="1">
      <alignment horizontal="left" vertical="center"/>
      <protection locked="0"/>
    </xf>
    <xf numFmtId="168" fontId="64" fillId="13" borderId="30" xfId="14686" applyNumberFormat="1" applyFont="1" applyFill="1" applyBorder="1" applyAlignment="1" applyProtection="1">
      <alignment horizontal="left" vertical="center"/>
      <protection locked="0"/>
    </xf>
    <xf numFmtId="168" fontId="64" fillId="13" borderId="31" xfId="14686" applyNumberFormat="1" applyFont="1" applyFill="1" applyBorder="1" applyAlignment="1" applyProtection="1">
      <alignment horizontal="left" vertical="center"/>
      <protection locked="0"/>
    </xf>
    <xf numFmtId="0" fontId="65" fillId="13" borderId="30" xfId="0" applyFont="1" applyFill="1" applyBorder="1" applyAlignment="1">
      <alignment horizontal="left"/>
    </xf>
    <xf numFmtId="0" fontId="65" fillId="13" borderId="31" xfId="0" applyFont="1" applyFill="1" applyBorder="1" applyAlignment="1">
      <alignment horizontal="left"/>
    </xf>
    <xf numFmtId="168" fontId="64" fillId="13" borderId="30" xfId="14686" applyNumberFormat="1" applyFont="1" applyFill="1" applyBorder="1" applyAlignment="1">
      <alignment horizontal="left" vertical="center"/>
    </xf>
    <xf numFmtId="168" fontId="64" fillId="13" borderId="31" xfId="14686" applyNumberFormat="1" applyFont="1" applyFill="1" applyBorder="1" applyAlignment="1">
      <alignment horizontal="left" vertical="center"/>
    </xf>
    <xf numFmtId="0" fontId="35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4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0" totalsRowShown="0">
  <autoFilter ref="A3:AL120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4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6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1" totalsRowShown="0">
  <autoFilter ref="A1:M1631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zoomScale="98" zoomScaleNormal="98" workbookViewId="0">
      <selection activeCell="C10" sqref="C10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79" t="s">
        <v>0</v>
      </c>
      <c r="B1" s="280"/>
      <c r="C1" s="280"/>
      <c r="D1" s="280"/>
      <c r="E1" s="280"/>
      <c r="F1" s="281"/>
    </row>
    <row r="2" spans="1:6" ht="16.5" thickTop="1" thickBot="1">
      <c r="A2" s="115" t="s">
        <v>1</v>
      </c>
      <c r="B2" s="282">
        <v>45839</v>
      </c>
      <c r="C2" s="282"/>
      <c r="D2" s="282"/>
      <c r="E2" s="282"/>
      <c r="F2" s="283"/>
    </row>
    <row r="3" spans="1:6" ht="16.5" thickTop="1" thickBot="1">
      <c r="A3" s="115" t="s">
        <v>2</v>
      </c>
      <c r="B3" s="284">
        <v>45865</v>
      </c>
      <c r="C3" s="284"/>
      <c r="D3" s="284"/>
      <c r="E3" s="284"/>
      <c r="F3" s="285"/>
    </row>
    <row r="4" spans="1:6" ht="16.5" thickTop="1" thickBot="1">
      <c r="A4" s="115" t="s">
        <v>3</v>
      </c>
      <c r="B4" s="286" t="s">
        <v>4</v>
      </c>
      <c r="C4" s="286"/>
      <c r="D4" s="286"/>
      <c r="E4" s="286"/>
      <c r="F4" s="287"/>
    </row>
    <row r="5" spans="1:6" ht="16.5" thickTop="1" thickBot="1">
      <c r="A5" s="115" t="s">
        <v>5</v>
      </c>
      <c r="B5" s="288">
        <v>45748</v>
      </c>
      <c r="C5" s="288"/>
      <c r="D5" s="288"/>
      <c r="E5" s="288"/>
      <c r="F5" s="289"/>
    </row>
    <row r="6" spans="1:6" ht="16.5" thickTop="1" thickBot="1">
      <c r="A6" s="116" t="s">
        <v>6</v>
      </c>
      <c r="B6" s="276">
        <v>46112</v>
      </c>
      <c r="C6" s="277"/>
      <c r="D6" s="277"/>
      <c r="E6" s="277"/>
      <c r="F6" s="278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24.314000000006448</v>
      </c>
      <c r="E9" s="123">
        <f>-(C9-D9)/C9</f>
        <v>-0.22628798230631275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848.47848422599259</v>
      </c>
      <c r="D10" s="124">
        <f>'Monthly KPI'!$F$4</f>
        <v>815.82118000000548</v>
      </c>
      <c r="E10" s="123">
        <f t="shared" ref="E10:E26" si="0">-(C10-D10)/C10</f>
        <v>-3.8489254392559021E-2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5129.475737680772</v>
      </c>
      <c r="D11" s="125">
        <f>'Annual KPI'!$F$4</f>
        <v>4757.2421600000007</v>
      </c>
      <c r="E11" s="123">
        <f t="shared" si="0"/>
        <v>-7.2567567665125954E-2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9.6419847086095176E-2</v>
      </c>
      <c r="E12" s="123">
        <f t="shared" si="0"/>
        <v>-0.2262879823063127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0.12461981316188864</v>
      </c>
      <c r="D13" s="127">
        <f>'Monthly KPI'!J4</f>
        <v>0.11982328947074752</v>
      </c>
      <c r="E13" s="123">
        <f t="shared" si="0"/>
        <v>-3.8489254392559076E-2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0.17238560550972382</v>
      </c>
      <c r="D14" s="127">
        <f>'Annual KPI'!J4</f>
        <v>0.15987600141740321</v>
      </c>
      <c r="E14" s="123">
        <f t="shared" si="0"/>
        <v>-7.2567567665126009E-2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0.76752117083458848</v>
      </c>
      <c r="E15" s="142">
        <f t="shared" si="0"/>
        <v>9.5629142217840371E-2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0.74540864567795717</v>
      </c>
      <c r="E16" s="123">
        <f t="shared" si="0"/>
        <v>6.4063723711812404E-2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0.6821957315069288</v>
      </c>
      <c r="D17" s="127">
        <f>'Annual KPI'!$H$4</f>
        <v>0.71547072699086667</v>
      </c>
      <c r="E17" s="123">
        <f t="shared" si="0"/>
        <v>4.8776317334081561E-2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3.0150000000000001</v>
      </c>
      <c r="E18" s="123">
        <f t="shared" si="0"/>
        <v>-0.29381942494931135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115.2750484451613</v>
      </c>
      <c r="D19" s="180">
        <f>'Monthly KPI'!$D$4</f>
        <v>104.16499999999999</v>
      </c>
      <c r="E19" s="123">
        <f t="shared" si="0"/>
        <v>-9.6378605734844594E-2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715.62458141616116</v>
      </c>
      <c r="D20" s="180">
        <f>'Annual KPI'!$D$4</f>
        <v>632.82650000000035</v>
      </c>
      <c r="E20" s="123">
        <f t="shared" si="0"/>
        <v>-0.11570044345361968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0.99582437216487985</v>
      </c>
      <c r="E22" s="123">
        <f t="shared" si="0"/>
        <v>8.2851473857271322E-4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0.99376797344311507</v>
      </c>
      <c r="E23" s="123">
        <f t="shared" si="0"/>
        <v>-1.2382176451104765E-3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0.99893221084888428</v>
      </c>
      <c r="E25" s="123">
        <f t="shared" si="0"/>
        <v>1.9380249236552517E-3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0.99136192928162625</v>
      </c>
      <c r="E26" s="123">
        <f t="shared" si="0"/>
        <v>-5.655035825851298E-3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715.62458141616116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5129.475737680772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0.33346723688766244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27</v>
      </c>
      <c r="R41" s="45">
        <f t="shared" si="27"/>
        <v>115.2750484451613</v>
      </c>
      <c r="S41" s="45">
        <f>SUMIF($F$2:F41,F41,$R$2:R41)</f>
        <v>715.62458141616116</v>
      </c>
      <c r="T41" s="26">
        <f t="shared" si="28"/>
        <v>31.425129045407132</v>
      </c>
      <c r="U41" s="45">
        <f t="shared" si="29"/>
        <v>848.47848422599259</v>
      </c>
      <c r="V41" s="45">
        <f>SUMIF($F$2:F41,F41,$U$2:U41)</f>
        <v>5129.475737680772</v>
      </c>
      <c r="W41" s="176">
        <f t="shared" si="30"/>
        <v>0.12461981316188862</v>
      </c>
      <c r="X41" s="176">
        <f t="shared" si="5"/>
        <v>0.12461981316188864</v>
      </c>
      <c r="Y41" s="176">
        <f t="shared" si="6"/>
        <v>0.17238560550972382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715.62458141616116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5129.475737680772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0.17238560550972382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715.62458141616116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5129.475737680772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0.17238560550972382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715.62458141616116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5129.475737680772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0.17238560550972382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715.62458141616116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5129.475737680772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0.17238560550972382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715.62458141616116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5129.475737680772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0.17238560550972382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715.62458141616116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5129.475737680772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0.17238560550972382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715.62458141616116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5129.475737680772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0.17238560550972382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715.62458141616116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5129.475737680772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0.17238560550972382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45865</v>
      </c>
      <c r="D7" s="136">
        <f>'Daily Dashboard'!C9</f>
        <v>31.425129045407132</v>
      </c>
      <c r="E7" s="136">
        <f>'Daily Dashboard'!D9</f>
        <v>24.314000000006448</v>
      </c>
      <c r="F7" s="136">
        <f>D7-E7</f>
        <v>7.1111290454006841</v>
      </c>
    </row>
    <row r="8" spans="2:6">
      <c r="B8" s="134" t="s">
        <v>40</v>
      </c>
      <c r="C8" s="135">
        <f t="shared" ref="C8:C30" si="0">$C$7</f>
        <v>45865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45865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45865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45865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45865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45865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45865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45865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45865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45865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45865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45865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45865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45865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45865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45865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45865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45865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45865</v>
      </c>
      <c r="D26" s="138">
        <f>'Daily Dashboard'!$D$9</f>
        <v>24.314000000006448</v>
      </c>
      <c r="E26" s="138">
        <f>'Daily Dashboard'!$D$9</f>
        <v>24.314000000006448</v>
      </c>
      <c r="F26" s="138">
        <f>'Daily Dashboard'!$D$9</f>
        <v>24.314000000006448</v>
      </c>
    </row>
    <row r="27" spans="2:7">
      <c r="B27" s="134" t="s">
        <v>58</v>
      </c>
      <c r="C27" s="135">
        <f t="shared" si="0"/>
        <v>45865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45865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45865</v>
      </c>
      <c r="D29" s="134">
        <v>0</v>
      </c>
      <c r="E29" s="136">
        <f>-(F7+G30)+(SUM(G21:G23))</f>
        <v>2.3798703578510785</v>
      </c>
      <c r="F29" s="136">
        <f>E29</f>
        <v>2.3798703578510785</v>
      </c>
    </row>
    <row r="30" spans="2:7">
      <c r="B30" s="134" t="s">
        <v>61</v>
      </c>
      <c r="C30" s="135">
        <f t="shared" si="0"/>
        <v>45865</v>
      </c>
      <c r="D30" s="134">
        <f>'Daily Dashboard'!C18</f>
        <v>4.2694462387096781</v>
      </c>
      <c r="E30" s="134">
        <f>'Daily Dashboard'!D18</f>
        <v>3.0150000000000001</v>
      </c>
      <c r="F30" s="134">
        <f>E30-D30</f>
        <v>-1.254446238709678</v>
      </c>
      <c r="G30" s="133">
        <f>(F30/D30)*D7</f>
        <v>-9.2333133450794254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45865</v>
      </c>
    </row>
    <row r="2" spans="1:16" ht="20.45" customHeight="1">
      <c r="A2" s="290" t="s">
        <v>63</v>
      </c>
      <c r="B2" s="290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27</v>
      </c>
      <c r="C4" s="81">
        <f>_xlfn.XLOOKUP($A4,'Modelling New'!$D:$D,'Modelling New'!R:R)</f>
        <v>115.2750484451613</v>
      </c>
      <c r="D4" s="181">
        <f>SUMIF('Daily KPI'!$D:$D,A4,'Daily KPI'!I:I)</f>
        <v>104.16499999999999</v>
      </c>
      <c r="E4" s="81">
        <f>_xlfn.XLOOKUP($A4,'Modelling New'!$D:$D,'Modelling New'!U:U)</f>
        <v>848.47848422599259</v>
      </c>
      <c r="F4" s="82">
        <f>SUMIF('Daily KPI'!$D:$D,'Monthly KPI'!$A4,'Daily KPI'!AA:AA)/1000</f>
        <v>815.82118000000548</v>
      </c>
      <c r="G4" s="83">
        <f>IFERROR(E4/C4/'Modelling New'!$AP$1,"")</f>
        <v>0.70053008017012453</v>
      </c>
      <c r="H4" s="84">
        <f>IFERROR(F4/D4/'Modelling New'!$AP$1,"")</f>
        <v>0.74540864567795717</v>
      </c>
      <c r="I4" s="83">
        <f>IFERROR(E4/(B4*24*'Modelling New'!$AP$1),"")</f>
        <v>0.12461981316188864</v>
      </c>
      <c r="J4" s="84">
        <f>IFERROR(F4/(B4*24*'Modelling New'!$AP$1),"")</f>
        <v>0.11982328947074752</v>
      </c>
      <c r="K4" s="159">
        <f>_xlfn.XLOOKUP($A4,'Modelling New'!D:D,'Modelling New'!AE:AE)</f>
        <v>0.997</v>
      </c>
      <c r="L4" s="84">
        <f>IFERROR(AVERAGEIF('Daily KPI'!$D:$D,'Monthly KPI'!$A4,'Daily KPI'!R:R),"")</f>
        <v>0.99893221084888428</v>
      </c>
      <c r="M4" s="83">
        <f>_xlfn.XLOOKUP($A4,'Modelling New'!D:D,'Modelling New'!AD:AD)</f>
        <v>0.995</v>
      </c>
      <c r="N4" s="84">
        <f>IFERROR(AVERAGEIF('Daily KPI'!$D:$D,'Monthly KPI'!$A4,'Daily KPI'!O:O),"")</f>
        <v>0.99582437216487985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45859</v>
      </c>
      <c r="D7" s="85"/>
      <c r="F7" s="85"/>
    </row>
    <row r="8" spans="1:16">
      <c r="A8" s="95" t="s">
        <v>137</v>
      </c>
      <c r="B8" s="96">
        <f>B1</f>
        <v>45865</v>
      </c>
    </row>
    <row r="9" spans="1:16" ht="21">
      <c r="A9" s="290" t="s">
        <v>63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21.330000000000002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173.52246000000275</v>
      </c>
      <c r="G11" s="83">
        <f>IFERROR(E11/C11/'Modelling New'!$AP$1,"")</f>
        <v>0.70053008017012464</v>
      </c>
      <c r="H11" s="84">
        <f>IFERROR(F11/D11/'Modelling New'!$AP$1,"")</f>
        <v>0.77425872537993112</v>
      </c>
      <c r="I11" s="83">
        <f>IFERROR(E11/(B11*24*'Modelling New'!$AP$1),"")</f>
        <v>0.12461981316188864</v>
      </c>
      <c r="J11" s="84">
        <f>IFERROR(F11/(B11*24*'Modelling New'!$AP$1),"")</f>
        <v>9.8303206025916259E-2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0.9975004268062071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18" sqref="A118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cm="1">
        <f t="array" ref="F121">IFERROR(_xlfn.XLOOKUP(Table13[[#This Row],[Date]],Raw_Data[[#All],[Date]],Raw_Data[[#All],[Operating Hours]]),"")</f>
        <v>12.183333333333335</v>
      </c>
      <c r="G121" s="148">
        <f>IFERROR(_xlfn.XLOOKUP($A121,'Raw Data'!$G:$G,'Raw Data'!S:S)/1000,"")</f>
        <v>2.13</v>
      </c>
      <c r="H121" s="148"/>
      <c r="I121" s="148">
        <f>IFERROR(_xlfn.XLOOKUP($A121,'Raw Data'!$G:$G,'Raw Data'!AF:AF)/1000,"")</f>
        <v>1.9850000000000001</v>
      </c>
      <c r="J121" s="148"/>
      <c r="K121" s="149">
        <f>IFERROR(_xlfn.XLOOKUP($A121,'Raw Data'!$G:$G,'Raw Data'!W:W),"")</f>
        <v>23.597872939309578</v>
      </c>
      <c r="L121" s="148">
        <f>IFERROR(_xlfn.XLOOKUP($A121,'Raw Data'!$G:$G,'Raw Data'!X:X),"")</f>
        <v>26.896070844544564</v>
      </c>
      <c r="M121" s="148">
        <f>IFERROR(_xlfn.XLOOKUP($A121,'Raw Data'!$G:$G,'Raw Data'!Y:Y),"")</f>
        <v>1.8840445648513344</v>
      </c>
      <c r="N121" s="148">
        <f>IFERROR(_xlfn.XLOOKUP($A121,'Raw Data'!$G:$G,'Raw Data'!Z:Z),"")</f>
        <v>7.3513015111287432</v>
      </c>
      <c r="O121" s="188">
        <f>IFERROR(1-SUMIF('Plant BD'!$H:$H,$A121,'Plant BD'!$AE:$AE)/($AA121+SUMIF('Plant BD'!$H:$H,$A121,'Plant BD'!$AE:$AE)),"")</f>
        <v>1</v>
      </c>
      <c r="P121" s="188"/>
      <c r="Q121" s="189"/>
      <c r="R121" s="188">
        <f>IFERROR(1-SUMIF('Grid BD'!$H:$H,$A121,'Grid BD'!$AD:$AD)/($AA121+SUMIF('Grid BD'!$H:$H,$A121,'Grid BD'!$AD:$AD)),"")</f>
        <v>1</v>
      </c>
      <c r="S121" s="17"/>
      <c r="T121" s="189">
        <f>IFERROR(1-SUMIF(Tracker_BD!H:H,$A121,Tracker_BD!AI:AI)/$F121,"")</f>
        <v>1</v>
      </c>
      <c r="U121" s="190">
        <f t="shared" si="7"/>
        <v>0.78091443895246271</v>
      </c>
      <c r="V121" s="17"/>
      <c r="W121" s="176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45">
        <f>IFERROR(_xlfn.XLOOKUP($A121,'Raw Data'!$G:$G,'Raw Data'!AD:AD),"")</f>
        <v>303.53999999995551</v>
      </c>
      <c r="AA121" s="45">
        <f>IFERROR(_xlfn.XLOOKUP($A121,'Raw Data'!$G:$G,'Raw Data'!AE:AE),"")</f>
        <v>16287.059999995947</v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cm="1">
        <f t="array" ref="F122">IFERROR(_xlfn.XLOOKUP(Table13[[#This Row],[Date]],Raw_Data[[#All],[Date]],Raw_Data[[#All],[Operating Hours]]),"")</f>
        <v>12.233333333333333</v>
      </c>
      <c r="G122" s="26">
        <f>IFERROR(_xlfn.XLOOKUP($A122,'Raw Data'!$G:$G,'Raw Data'!S:S)/1000,"")</f>
        <v>3.11</v>
      </c>
      <c r="H122" s="26"/>
      <c r="I122" s="26">
        <f>IFERROR(_xlfn.XLOOKUP($A122,'Raw Data'!$G:$G,'Raw Data'!AF:AF)/1000,"")</f>
        <v>3.0150000000000001</v>
      </c>
      <c r="J122" s="26"/>
      <c r="K122" s="149">
        <f>IFERROR(_xlfn.XLOOKUP($A122,'Raw Data'!$G:$G,'Raw Data'!W:W),"")</f>
        <v>23.693586571078342</v>
      </c>
      <c r="L122" s="148">
        <f>IFERROR(_xlfn.XLOOKUP($A122,'Raw Data'!$G:$G,'Raw Data'!X:X),"")</f>
        <v>29.005921083381764</v>
      </c>
      <c r="M122" s="148">
        <f>IFERROR(_xlfn.XLOOKUP($A122,'Raw Data'!$G:$G,'Raw Data'!Y:Y),"")</f>
        <v>2.5486496112881114</v>
      </c>
      <c r="N122" s="148">
        <f>IFERROR(_xlfn.XLOOKUP($A122,'Raw Data'!$G:$G,'Raw Data'!Z:Z),"")</f>
        <v>5.9443340301513672</v>
      </c>
      <c r="O122" s="188">
        <f>IFERROR(1-SUMIF('Plant BD'!$H:$H,$A122,'Plant BD'!$AE:$AE)/($AA122+SUMIF('Plant BD'!$H:$H,$A122,'Plant BD'!$AE:$AE)),"")</f>
        <v>1</v>
      </c>
      <c r="P122" s="188"/>
      <c r="Q122" s="189"/>
      <c r="R122" s="191">
        <f>IFERROR(1-SUMIF('Grid BD'!$H:$H,$A122,'Grid BD'!$AD:$AD)/($AA122+SUMIF('Grid BD'!$H:$H,$A122,'Grid BD'!$AD:$AD)),"")</f>
        <v>1</v>
      </c>
      <c r="S122" s="17"/>
      <c r="T122" s="189">
        <f>IFERROR(1-SUMIF(Tracker_BD!H:H,$A122,Tracker_BD!AI:AI)/$F122,"")</f>
        <v>1</v>
      </c>
      <c r="U122" s="190">
        <f t="shared" si="7"/>
        <v>0.76752117083458848</v>
      </c>
      <c r="V122" s="17"/>
      <c r="W122" s="176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45">
        <f>IFERROR(_xlfn.XLOOKUP($A122,'Raw Data'!$G:$G,'Raw Data'!AD:AD),"")</f>
        <v>309.30000000012114</v>
      </c>
      <c r="AA122" s="45">
        <f>IFERROR(_xlfn.XLOOKUP($A122,'Raw Data'!$G:$G,'Raw Data'!AE:AE),"")</f>
        <v>24314.000000006446</v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45865</v>
      </c>
      <c r="C1" s="80">
        <f>'Daily Dashboard'!$B$2</f>
        <v>45839</v>
      </c>
    </row>
    <row r="2" spans="1:16" ht="21">
      <c r="A2" s="290" t="s">
        <v>63</v>
      </c>
      <c r="B2" s="290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118</v>
      </c>
      <c r="C4" s="89">
        <f>_xlfn.XLOOKUP($C$1,'Modelling New'!$D:$D,'Modelling New'!$S:$S)</f>
        <v>715.62458141616116</v>
      </c>
      <c r="D4" s="90">
        <f>IFERROR(SUMIFS('Daily KPI'!$I:$I,'Daily KPI'!$B:$B,'Annual KPI'!$A4,'Daily KPI'!$A:$A,"&lt;="&amp;'Annual KPI'!$B$1),"")</f>
        <v>632.82650000000035</v>
      </c>
      <c r="E4" s="89">
        <f>_xlfn.XLOOKUP($C$1,'Modelling New'!$D:$D,'Modelling New'!$V:$V)</f>
        <v>5129.475737680772</v>
      </c>
      <c r="F4" s="90">
        <f>IFERROR(SUMIFS('Daily KPI'!$AA:$AA,'Daily KPI'!$B:$B,'Annual KPI'!$A4,'Daily KPI'!$A:$A,"&lt;="&amp;'Annual KPI'!$B$1)/1000,"")</f>
        <v>4757.2421600000007</v>
      </c>
      <c r="G4" s="91">
        <f>IFERROR(E4/C4/'Modelling New'!$AP$1,"")</f>
        <v>0.6821957315069288</v>
      </c>
      <c r="H4" s="92">
        <f>IFERROR(F4/D4/'Modelling New'!$AP$1,"")</f>
        <v>0.71547072699086667</v>
      </c>
      <c r="I4" s="91">
        <f>IFERROR(E4/(B4*24*'Modelling New'!$AP$1),"")</f>
        <v>0.17238560550972382</v>
      </c>
      <c r="J4" s="92">
        <f>IFERROR(F4/(B4*24*'Modelling New'!$AP$1),"")</f>
        <v>0.15987600141740321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0.99136192928162625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0.99376797344311507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90" t="s">
        <v>63</v>
      </c>
      <c r="B7" s="290"/>
      <c r="C7" s="290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27</v>
      </c>
      <c r="C12" s="81">
        <f>_xlfn.XLOOKUP($A12,'Modelling New'!$D:$D,'Modelling New'!$R:$R)</f>
        <v>115.2750484451613</v>
      </c>
      <c r="D12" s="82">
        <f>SUMIF('Daily KPI'!$D:$D,$A12,'Daily KPI'!$I:$I)</f>
        <v>104.16499999999999</v>
      </c>
      <c r="E12" s="81">
        <f>_xlfn.XLOOKUP($A12,'Modelling New'!$D:$D,'Modelling New'!$U:$U)</f>
        <v>848.47848422599259</v>
      </c>
      <c r="F12" s="82">
        <f>SUMIF('Daily KPI'!$D:$D,$A12,'Daily KPI'!$AA:$AA)/1000</f>
        <v>815.82118000000548</v>
      </c>
      <c r="G12" s="83">
        <f>IFERROR(E12/C12/'Modelling New'!$AP$1,"")</f>
        <v>0.70053008017012453</v>
      </c>
      <c r="H12" s="84">
        <f>IFERROR(F12/D12/'Modelling New'!$AP$1,"")</f>
        <v>0.74540864567795717</v>
      </c>
      <c r="I12" s="83">
        <f>IFERROR(E12/(B12*24*'Modelling New'!$AP$1),"")</f>
        <v>0.12461981316188864</v>
      </c>
      <c r="J12" s="84">
        <f>IFERROR(F12/(B12*24*'Modelling New'!$AP$1),"")</f>
        <v>0.11982328947074752</v>
      </c>
      <c r="K12" s="83">
        <f>_xlfn.XLOOKUP($A12,'Modelling New'!$D:$D,'Modelling New'!AE:AE)</f>
        <v>0.997</v>
      </c>
      <c r="L12" s="84">
        <f>IFERROR(AVERAGEIF('Daily KPI'!$D:$D,$A12,'Daily KPI'!$R:$R),"")</f>
        <v>0.99893221084888428</v>
      </c>
      <c r="M12" s="83">
        <v>0.995</v>
      </c>
      <c r="N12" s="84">
        <f>IFERROR(AVERAGEIF('Daily KPI'!$D:$D,$A12,'Daily KPI'!O:O),"")</f>
        <v>0.99582437216487985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4"/>
  <sheetViews>
    <sheetView topLeftCell="A2" zoomScale="95" zoomScaleNormal="95" workbookViewId="0">
      <pane xSplit="7" ySplit="2" topLeftCell="Q112" activePane="bottomRight" state="frozen"/>
      <selection activeCell="I9" sqref="I9"/>
      <selection pane="topRight" activeCell="I9" sqref="I9"/>
      <selection pane="bottomLeft" activeCell="I9" sqref="I9"/>
      <selection pane="bottomRight" activeCell="V124" sqref="V124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>(J122-I122)*24</f>
        <v>11.616666666666667</v>
      </c>
    </row>
    <row r="123" spans="1:35">
      <c r="A123" s="17" t="s">
        <v>4</v>
      </c>
      <c r="B123" s="17">
        <v>2025</v>
      </c>
      <c r="C123" s="146" t="s">
        <v>211</v>
      </c>
      <c r="D123" s="146" t="s">
        <v>213</v>
      </c>
      <c r="E123" s="42">
        <v>45839</v>
      </c>
      <c r="F123" s="17">
        <f>DAY(EOMONTH(Raw_Data[[#This Row],[Month Year]],0))</f>
        <v>31</v>
      </c>
      <c r="G123" s="77">
        <v>45864</v>
      </c>
      <c r="H123" s="30">
        <f>_xlfn.XLOOKUP(Raw_Data[[#This Row],[Month Year]],'Modelling New'!D:D,'Modelling New'!N:N)</f>
        <v>10.507</v>
      </c>
      <c r="I123" s="31">
        <v>0.26874999999999999</v>
      </c>
      <c r="J123" s="31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45">
        <v>23.597872939309578</v>
      </c>
      <c r="X123" s="30">
        <v>26.896070844544564</v>
      </c>
      <c r="Y123" s="30">
        <v>1.8840445648513344</v>
      </c>
      <c r="Z123" s="30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33">
        <f>(J123-I123)*24</f>
        <v>12.183333333333335</v>
      </c>
    </row>
    <row r="124" spans="1:35">
      <c r="A124" s="17" t="s">
        <v>4</v>
      </c>
      <c r="B124" s="17">
        <v>2025</v>
      </c>
      <c r="C124" s="146" t="s">
        <v>211</v>
      </c>
      <c r="D124" s="146" t="s">
        <v>213</v>
      </c>
      <c r="E124" s="42">
        <v>45839</v>
      </c>
      <c r="F124" s="291">
        <f>DAY(EOMONTH(Raw_Data[[#This Row],[Month Year]],0))</f>
        <v>31</v>
      </c>
      <c r="G124" s="77">
        <v>45865</v>
      </c>
      <c r="H124" s="30">
        <f>_xlfn.XLOOKUP(Raw_Data[[#This Row],[Month Year]],'Modelling New'!D:D,'Modelling New'!N:N)</f>
        <v>10.507</v>
      </c>
      <c r="I124" s="31">
        <v>0.26597222222222222</v>
      </c>
      <c r="J124" s="31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45">
        <v>23.693586571078342</v>
      </c>
      <c r="X124" s="30">
        <v>29.005921083381764</v>
      </c>
      <c r="Y124" s="30">
        <v>2.5486496112881114</v>
      </c>
      <c r="Z124" s="30">
        <v>5.9443340301513672</v>
      </c>
      <c r="AA124" s="17">
        <v>0</v>
      </c>
      <c r="AB124" s="291">
        <f>SUM(Raw_Data[[#This Row],[IC1_Inv1]:[IC2_Inv2]])</f>
        <v>24873</v>
      </c>
      <c r="AC124" s="291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291">
        <f>Raw_Data[[#This Row],[Export  (kWh)]]-Raw_Data[[#This Row],[Import (kWh)]]</f>
        <v>24314.000000006446</v>
      </c>
      <c r="AF124" s="291">
        <f>IFERROR(AVERAGE(Raw_Data[[#This Row],[POA1(Wh/m2)]:[POA2(Wh/m2)]]),"")</f>
        <v>3015</v>
      </c>
      <c r="AG124" s="291">
        <f>IFERROR(Raw_Data[[#This Row],[Avg. POA without Exclusion (W/m2)2]]-Raw_Data[[#This Row],[Avg. POA Lost (W/m2)]],"")</f>
        <v>3015</v>
      </c>
      <c r="AH124" s="291">
        <v>120641.23119999999</v>
      </c>
      <c r="AI124" s="33">
        <f>(J124-I124)*24</f>
        <v>12.233333333333333</v>
      </c>
    </row>
  </sheetData>
  <phoneticPr fontId="6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04" activePane="bottomRight" state="frozen"/>
      <selection activeCell="I9" sqref="I9"/>
      <selection pane="topRight" activeCell="I9" sqref="I9"/>
      <selection pane="bottomLeft" activeCell="I9" sqref="I9"/>
      <selection pane="bottomRight" activeCell="J1214" sqref="J1214:Q1220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0" si="303">IFERROR(AVERAGEIF(J1196:O1196,"&gt;"&amp;0,J1196:O1196),"")</f>
        <v>3.8959359031341223</v>
      </c>
      <c r="Q1196" s="61">
        <f t="shared" ref="Q1196:Q1200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12" si="306">IFERROR(AVERAGEIF(J1201:O1201,"&gt;"&amp;0,J1201:O1201),"")</f>
        <v>3.3002954583254471</v>
      </c>
      <c r="Q1201" s="61">
        <f t="shared" ref="Q1201:Q1212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112" t="s">
        <v>4</v>
      </c>
      <c r="B1203" s="223">
        <v>6</v>
      </c>
      <c r="C1203" s="112">
        <v>2025</v>
      </c>
      <c r="D1203" s="112" t="s">
        <v>213</v>
      </c>
      <c r="E1203" s="112" t="s">
        <v>213</v>
      </c>
      <c r="F1203" s="206">
        <v>45839</v>
      </c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10.507</v>
      </c>
      <c r="J1203" s="178">
        <f>'Raw Data'!K112/J$1</f>
        <v>2.7478748449939796</v>
      </c>
      <c r="K1203" s="61">
        <f>'Raw Data'!L112/K$1</f>
        <v>2.7049582719685814</v>
      </c>
      <c r="L1203" s="61">
        <f>'Raw Data'!M112/L$1</f>
        <v>2.7449267571562963</v>
      </c>
      <c r="M1203" s="61">
        <f>'Raw Data'!N112/M$1</f>
        <v>2.7304499781564</v>
      </c>
      <c r="N1203" s="61">
        <f>'Raw Data'!O112/N$1</f>
        <v>2.6231311962612582</v>
      </c>
      <c r="O1203" s="61">
        <f>'Raw Data'!P112/O$1</f>
        <v>3.1642195184779158</v>
      </c>
      <c r="P1203" s="61">
        <f t="shared" si="306"/>
        <v>2.7859267611690721</v>
      </c>
      <c r="Q1203" s="61">
        <f t="shared" si="307"/>
        <v>3.1642195184779158</v>
      </c>
    </row>
    <row r="1204" spans="1:17">
      <c r="A1204" s="112" t="s">
        <v>4</v>
      </c>
      <c r="B1204" s="223">
        <v>6</v>
      </c>
      <c r="C1204" s="112">
        <v>2025</v>
      </c>
      <c r="D1204" s="112" t="s">
        <v>213</v>
      </c>
      <c r="E1204" s="112" t="s">
        <v>213</v>
      </c>
      <c r="F1204" s="206">
        <v>45839</v>
      </c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10.507</v>
      </c>
      <c r="J1204" s="178">
        <f>'Raw Data'!K113/J$1</f>
        <v>3.0659741566773899</v>
      </c>
      <c r="K1204" s="61">
        <f>'Raw Data'!L113/K$1</f>
        <v>3.0682376043200787</v>
      </c>
      <c r="L1204" s="61">
        <f>'Raw Data'!M113/L$1</f>
        <v>3.0641042870581914</v>
      </c>
      <c r="M1204" s="61">
        <f>'Raw Data'!N113/M$1</f>
        <v>2.9908928991497796</v>
      </c>
      <c r="N1204" s="61">
        <f>'Raw Data'!O113/N$1</f>
        <v>2.8613398670568748</v>
      </c>
      <c r="O1204" s="61">
        <f>'Raw Data'!P113/O$1</f>
        <v>3.1642195184779158</v>
      </c>
      <c r="P1204" s="61">
        <f t="shared" si="306"/>
        <v>3.0357947221233714</v>
      </c>
      <c r="Q1204" s="61">
        <f t="shared" si="307"/>
        <v>3.1642195184779158</v>
      </c>
    </row>
    <row r="1205" spans="1:17">
      <c r="A1205" s="112" t="s">
        <v>4</v>
      </c>
      <c r="B1205" s="223">
        <v>6</v>
      </c>
      <c r="C1205" s="112">
        <v>2025</v>
      </c>
      <c r="D1205" s="112" t="s">
        <v>213</v>
      </c>
      <c r="E1205" s="112" t="s">
        <v>213</v>
      </c>
      <c r="F1205" s="206">
        <v>45839</v>
      </c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10.507</v>
      </c>
      <c r="J1205" s="178">
        <f>'Raw Data'!K114/J$1</f>
        <v>3.9370031570308335</v>
      </c>
      <c r="K1205" s="61">
        <f>'Raw Data'!L114/K$1</f>
        <v>3.7331587847051764</v>
      </c>
      <c r="L1205" s="61">
        <f>'Raw Data'!M114/L$1</f>
        <v>3.8547686242888504</v>
      </c>
      <c r="M1205" s="61">
        <f>'Raw Data'!N114/M$1</f>
        <v>3.8383125539088838</v>
      </c>
      <c r="N1205" s="61">
        <f>'Raw Data'!O114/N$1</f>
        <v>3.9094580185575896</v>
      </c>
      <c r="O1205" s="61">
        <f>'Raw Data'!P114/O$1</f>
        <v>3.1642195184779158</v>
      </c>
      <c r="P1205" s="61">
        <f t="shared" si="306"/>
        <v>3.7394867761615416</v>
      </c>
      <c r="Q1205" s="61">
        <f t="shared" si="307"/>
        <v>3.9370031570308335</v>
      </c>
    </row>
    <row r="1206" spans="1:17">
      <c r="A1206" s="112" t="s">
        <v>4</v>
      </c>
      <c r="B1206" s="223">
        <v>6</v>
      </c>
      <c r="C1206" s="112">
        <v>2025</v>
      </c>
      <c r="D1206" s="112" t="s">
        <v>213</v>
      </c>
      <c r="E1206" s="112" t="s">
        <v>213</v>
      </c>
      <c r="F1206" s="206">
        <v>45839</v>
      </c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10.507</v>
      </c>
      <c r="J1206" s="178">
        <f>'Raw Data'!K115/J$1</f>
        <v>3.0557901862468477</v>
      </c>
      <c r="K1206" s="61">
        <f>'Raw Data'!L115/K$1</f>
        <v>3.0922380406916492</v>
      </c>
      <c r="L1206" s="61">
        <f>'Raw Data'!M115/L$1</f>
        <v>3.0965820006271558</v>
      </c>
      <c r="M1206" s="61">
        <f>'Raw Data'!N115/M$1</f>
        <v>3.0614645293544376</v>
      </c>
      <c r="N1206" s="61">
        <f>'Raw Data'!O115/N$1</f>
        <v>2.9917874724925699</v>
      </c>
      <c r="O1206" s="61">
        <f>'Raw Data'!P115/O$1</f>
        <v>3.1642195184779158</v>
      </c>
      <c r="P1206" s="61">
        <f t="shared" si="306"/>
        <v>3.0770136246484294</v>
      </c>
      <c r="Q1206" s="61">
        <f t="shared" si="307"/>
        <v>3.1642195184779158</v>
      </c>
    </row>
    <row r="1207" spans="1:17">
      <c r="A1207" s="112" t="s">
        <v>4</v>
      </c>
      <c r="B1207" s="223">
        <v>6</v>
      </c>
      <c r="C1207" s="112">
        <v>2025</v>
      </c>
      <c r="D1207" s="112" t="s">
        <v>213</v>
      </c>
      <c r="E1207" s="112" t="s">
        <v>213</v>
      </c>
      <c r="F1207" s="206">
        <v>45839</v>
      </c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10.507</v>
      </c>
      <c r="J1207" s="178">
        <f>'Raw Data'!K116/J$1</f>
        <v>1.8097514512157864</v>
      </c>
      <c r="K1207" s="61">
        <f>'Raw Data'!L116/K$1</f>
        <v>1.8234876997763596</v>
      </c>
      <c r="L1207" s="61">
        <f>'Raw Data'!M116/L$1</f>
        <v>1.8540294763248668</v>
      </c>
      <c r="M1207" s="61">
        <f>'Raw Data'!N116/M$1</f>
        <v>1.8186197085279654</v>
      </c>
      <c r="N1207" s="61">
        <f>'Raw Data'!O116/N$1</f>
        <v>1.747997912838313</v>
      </c>
      <c r="O1207" s="61">
        <f>'Raw Data'!P116/O$1</f>
        <v>3.1642195184779158</v>
      </c>
      <c r="P1207" s="61">
        <f t="shared" si="306"/>
        <v>2.0363509611935346</v>
      </c>
      <c r="Q1207" s="61">
        <f t="shared" si="307"/>
        <v>3.1642195184779158</v>
      </c>
    </row>
    <row r="1208" spans="1:17">
      <c r="A1208" s="112" t="s">
        <v>4</v>
      </c>
      <c r="B1208" s="223">
        <v>6</v>
      </c>
      <c r="C1208" s="112">
        <v>2025</v>
      </c>
      <c r="D1208" s="112" t="s">
        <v>213</v>
      </c>
      <c r="E1208" s="112" t="s">
        <v>213</v>
      </c>
      <c r="F1208" s="206">
        <v>45839</v>
      </c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10.507</v>
      </c>
      <c r="J1208" s="178">
        <f>'Raw Data'!K117/J$1</f>
        <v>2.9186061139766011</v>
      </c>
      <c r="K1208" s="61">
        <f>'Raw Data'!L117/K$1</f>
        <v>3.1091474390443463</v>
      </c>
      <c r="L1208" s="61">
        <f>'Raw Data'!M117/L$1</f>
        <v>3.1206603055144919</v>
      </c>
      <c r="M1208" s="61">
        <f>'Raw Data'!N117/M$1</f>
        <v>3.0821879445732656</v>
      </c>
      <c r="N1208" s="61">
        <f>'Raw Data'!O117/N$1</f>
        <v>2.9713695864243741</v>
      </c>
      <c r="O1208" s="61">
        <f>'Raw Data'!P117/O$1</f>
        <v>3.1642195184779158</v>
      </c>
      <c r="P1208" s="61">
        <f t="shared" si="306"/>
        <v>3.0610318180018319</v>
      </c>
      <c r="Q1208" s="61">
        <f t="shared" si="307"/>
        <v>3.1642195184779158</v>
      </c>
    </row>
    <row r="1209" spans="1:17">
      <c r="A1209" s="112" t="s">
        <v>4</v>
      </c>
      <c r="B1209" s="223">
        <v>6</v>
      </c>
      <c r="C1209" s="112">
        <v>2025</v>
      </c>
      <c r="D1209" s="112" t="s">
        <v>213</v>
      </c>
      <c r="E1209" s="112" t="s">
        <v>213</v>
      </c>
      <c r="F1209" s="206">
        <v>45839</v>
      </c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10.507</v>
      </c>
      <c r="J1209" s="178">
        <f>'Raw Data'!K118/J$1</f>
        <v>2.8664881476555903</v>
      </c>
      <c r="K1209" s="61">
        <f>'Raw Data'!L118/K$1</f>
        <v>2.7420498554519175</v>
      </c>
      <c r="L1209" s="61">
        <f>'Raw Data'!M118/L$1</f>
        <v>2.922434260628052</v>
      </c>
      <c r="M1209" s="61">
        <f>'Raw Data'!N118/M$1</f>
        <v>2.8783143462042542</v>
      </c>
      <c r="N1209" s="61">
        <f>'Raw Data'!O118/N$1</f>
        <v>2.7762653417727261</v>
      </c>
      <c r="O1209" s="61">
        <f>'Raw Data'!P118/O$1</f>
        <v>3.1642195184779158</v>
      </c>
      <c r="P1209" s="61">
        <f t="shared" si="306"/>
        <v>2.8916285783650757</v>
      </c>
      <c r="Q1209" s="61">
        <f t="shared" si="307"/>
        <v>3.1642195184779158</v>
      </c>
    </row>
    <row r="1210" spans="1:17">
      <c r="A1210" s="112" t="s">
        <v>4</v>
      </c>
      <c r="B1210" s="223">
        <v>6</v>
      </c>
      <c r="C1210" s="112">
        <v>2025</v>
      </c>
      <c r="D1210" s="112" t="s">
        <v>213</v>
      </c>
      <c r="E1210" s="112" t="s">
        <v>213</v>
      </c>
      <c r="F1210" s="206">
        <v>45839</v>
      </c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10.507</v>
      </c>
      <c r="J1210" s="178">
        <f>'Raw Data'!K119/J$1</f>
        <v>3.0456062158163051</v>
      </c>
      <c r="K1210" s="61">
        <f>'Raw Data'!L119/K$1</f>
        <v>3.0507827415043911</v>
      </c>
      <c r="L1210" s="61">
        <f>'Raw Data'!M119/L$1</f>
        <v>3.0848228284728756</v>
      </c>
      <c r="M1210" s="61">
        <f>'Raw Data'!N119/M$1</f>
        <v>3.017777329703935</v>
      </c>
      <c r="N1210" s="61">
        <f>'Raw Data'!O119/N$1</f>
        <v>2.9957576170058302</v>
      </c>
      <c r="O1210" s="61">
        <f>'Raw Data'!P119/O$1</f>
        <v>2.9886957928220981</v>
      </c>
      <c r="P1210" s="61">
        <f t="shared" si="306"/>
        <v>3.0305737542209061</v>
      </c>
      <c r="Q1210" s="61">
        <f t="shared" si="307"/>
        <v>3.0848228284728756</v>
      </c>
    </row>
    <row r="1211" spans="1:17">
      <c r="A1211" s="112" t="s">
        <v>4</v>
      </c>
      <c r="B1211" s="223">
        <v>6</v>
      </c>
      <c r="C1211" s="112">
        <v>2025</v>
      </c>
      <c r="D1211" s="112" t="s">
        <v>213</v>
      </c>
      <c r="E1211" s="112" t="s">
        <v>213</v>
      </c>
      <c r="F1211" s="206">
        <v>45839</v>
      </c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10.507</v>
      </c>
      <c r="J1211" s="178">
        <f>'Raw Data'!K120/J$1</f>
        <v>2.888054202684974</v>
      </c>
      <c r="K1211" s="61">
        <f>'Raw Data'!L120/K$1</f>
        <v>3.0507827415043911</v>
      </c>
      <c r="L1211" s="61">
        <f>'Raw Data'!M120/L$1</f>
        <v>3.0848228284728756</v>
      </c>
      <c r="M1211" s="61">
        <f>'Raw Data'!N120/M$1</f>
        <v>3.017777329703935</v>
      </c>
      <c r="N1211" s="61">
        <f>'Raw Data'!O120/N$1</f>
        <v>2.7995190453503933</v>
      </c>
      <c r="O1211" s="61">
        <f>'Raw Data'!P120/O$1</f>
        <v>2.7880116696319992</v>
      </c>
      <c r="P1211" s="61">
        <f t="shared" si="306"/>
        <v>2.938161302891428</v>
      </c>
      <c r="Q1211" s="61">
        <f t="shared" si="307"/>
        <v>3.0848228284728756</v>
      </c>
    </row>
    <row r="1212" spans="1:17">
      <c r="A1212" s="112" t="s">
        <v>4</v>
      </c>
      <c r="B1212" s="223">
        <v>6</v>
      </c>
      <c r="C1212" s="112">
        <v>2025</v>
      </c>
      <c r="D1212" s="112" t="s">
        <v>213</v>
      </c>
      <c r="E1212" s="112" t="s">
        <v>213</v>
      </c>
      <c r="F1212" s="206">
        <v>45839</v>
      </c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10.507</v>
      </c>
      <c r="J1212" s="178">
        <f>'Raw Data'!K121/J$1</f>
        <v>2.4621246158546448</v>
      </c>
      <c r="K1212" s="61">
        <f>'Raw Data'!L121/K$1</f>
        <v>2.531500572737686</v>
      </c>
      <c r="L1212" s="61">
        <f>'Raw Data'!M121/L$1</f>
        <v>2.5343815795368005</v>
      </c>
      <c r="M1212" s="61">
        <f>'Raw Data'!N121/M$1</f>
        <v>2.5142543491167344</v>
      </c>
      <c r="N1212" s="61">
        <f>'Raw Data'!O121/N$1</f>
        <v>2.4456090201683338</v>
      </c>
      <c r="O1212" s="61">
        <f>'Raw Data'!P121/O$1</f>
        <v>2.4130019349543819</v>
      </c>
      <c r="P1212" s="61">
        <f t="shared" si="306"/>
        <v>2.4834786787280971</v>
      </c>
      <c r="Q1212" s="61">
        <f t="shared" si="307"/>
        <v>2.5343815795368005</v>
      </c>
    </row>
    <row r="1213" spans="1:17">
      <c r="A1213" s="112" t="s">
        <v>4</v>
      </c>
      <c r="B1213" s="223">
        <v>6</v>
      </c>
      <c r="C1213" s="112">
        <v>2025</v>
      </c>
      <c r="D1213" s="112" t="s">
        <v>213</v>
      </c>
      <c r="E1213" s="112" t="s">
        <v>213</v>
      </c>
      <c r="F1213" s="206">
        <v>45839</v>
      </c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10.507</v>
      </c>
      <c r="J1213" s="178">
        <f>'Raw Data'!K122/J$1</f>
        <v>1.7013221189847181</v>
      </c>
      <c r="K1213" s="61">
        <f>'Raw Data'!L122/K$1</f>
        <v>1.7023945889925272</v>
      </c>
      <c r="L1213" s="61">
        <f>'Raw Data'!M122/L$1</f>
        <v>1.6972405142677955</v>
      </c>
      <c r="M1213" s="61">
        <f>'Raw Data'!N122/M$1</f>
        <v>1.7082815247952863</v>
      </c>
      <c r="N1213" s="61">
        <f>'Raw Data'!O122/N$1</f>
        <v>1.6561174255314322</v>
      </c>
      <c r="O1213" s="61">
        <f>'Raw Data'!P122/O$1</f>
        <v>1.6354258397282677</v>
      </c>
      <c r="P1213" s="61">
        <f t="shared" ref="P1213:P1221" si="308">IFERROR(AVERAGEIF(J1213:O1213,"&gt;"&amp;0,J1213:O1213),"")</f>
        <v>1.6834636687166711</v>
      </c>
      <c r="Q1213" s="61">
        <f t="shared" ref="Q1213:Q1221" si="309">MAXA(J1213:O1213)</f>
        <v>1.7082815247952863</v>
      </c>
    </row>
    <row r="1214" spans="1:17">
      <c r="A1214" s="112" t="s">
        <v>4</v>
      </c>
      <c r="B1214" s="223">
        <v>6</v>
      </c>
      <c r="C1214" s="112">
        <v>2025</v>
      </c>
      <c r="D1214" s="112" t="s">
        <v>213</v>
      </c>
      <c r="E1214" s="112" t="s">
        <v>213</v>
      </c>
      <c r="F1214" s="206">
        <v>45839</v>
      </c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10.507</v>
      </c>
      <c r="J1214" s="178">
        <f>'Raw Data'!K123/J$1</f>
        <v>1.6312324401392209</v>
      </c>
      <c r="K1214" s="61">
        <f>'Raw Data'!L123/K$1</f>
        <v>1.6167566683030601</v>
      </c>
      <c r="L1214" s="61">
        <f>'Raw Data'!M123/L$1</f>
        <v>1.6238856784482374</v>
      </c>
      <c r="M1214" s="61">
        <f>'Raw Data'!N123/M$1</f>
        <v>1.6186667562814352</v>
      </c>
      <c r="N1214" s="61">
        <f>'Raw Data'!O123/N$1</f>
        <v>1.5823861702851698</v>
      </c>
      <c r="O1214" s="61">
        <f>'Raw Data'!P123/O$1</f>
        <v>1.5455672771058355</v>
      </c>
      <c r="P1214" s="61">
        <f t="shared" si="308"/>
        <v>1.6030824984271597</v>
      </c>
      <c r="Q1214" s="61">
        <f t="shared" si="309"/>
        <v>1.6312324401392209</v>
      </c>
    </row>
    <row r="1215" spans="1:17">
      <c r="A1215" s="112" t="s">
        <v>4</v>
      </c>
      <c r="B1215" s="223">
        <v>6</v>
      </c>
      <c r="C1215" s="112">
        <v>2025</v>
      </c>
      <c r="D1215" s="112" t="s">
        <v>213</v>
      </c>
      <c r="E1215" s="112" t="s">
        <v>213</v>
      </c>
      <c r="F1215" s="206">
        <v>45839</v>
      </c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10.507</v>
      </c>
      <c r="J1215" s="178">
        <f>'Raw Data'!K124/J$1</f>
        <v>2.4142000491226812</v>
      </c>
      <c r="K1215" s="61">
        <f>'Raw Data'!L124/K$1</f>
        <v>2.3580428735067911</v>
      </c>
      <c r="L1215" s="61">
        <f>'Raw Data'!M124/L$1</f>
        <v>2.4319087936209294</v>
      </c>
      <c r="M1215" s="61">
        <f>'Raw Data'!N124/M$1</f>
        <v>2.3820725655588042</v>
      </c>
      <c r="N1215" s="61">
        <f>'Raw Data'!O124/N$1</f>
        <v>2.3140270877288502</v>
      </c>
      <c r="O1215" s="61">
        <f>'Raw Data'!P124/O$1</f>
        <v>2.3027754314708648</v>
      </c>
      <c r="P1215" s="61">
        <f t="shared" ref="P1215:P1220" si="310">IFERROR(AVERAGEIF(J1215:O1215,"&gt;"&amp;0,J1215:O1215),"")</f>
        <v>2.3671711335014867</v>
      </c>
      <c r="Q1215" s="61">
        <f t="shared" ref="Q1215:Q1220" si="311">MAXA(J1215:O1215)</f>
        <v>2.4319087936209294</v>
      </c>
    </row>
    <row r="1216" spans="1:17">
      <c r="A1216" s="112" t="s">
        <v>4</v>
      </c>
      <c r="B1216" s="223">
        <v>6</v>
      </c>
      <c r="C1216" s="112">
        <v>2025</v>
      </c>
      <c r="D1216" s="112" t="s">
        <v>213</v>
      </c>
      <c r="E1216" s="112" t="s">
        <v>213</v>
      </c>
      <c r="F1216" s="206">
        <v>45839</v>
      </c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10.507</v>
      </c>
      <c r="J1216" s="178">
        <f>'Raw Data'!K125/J$1</f>
        <v>0</v>
      </c>
      <c r="K1216" s="61">
        <f>'Raw Data'!L125/K$1</f>
        <v>0</v>
      </c>
      <c r="L1216" s="61">
        <f>'Raw Data'!M125/L$1</f>
        <v>0</v>
      </c>
      <c r="M1216" s="61">
        <f>'Raw Data'!N125/M$1</f>
        <v>0</v>
      </c>
      <c r="N1216" s="61">
        <f>'Raw Data'!O125/N$1</f>
        <v>0</v>
      </c>
      <c r="O1216" s="61">
        <f>'Raw Data'!P125/O$1</f>
        <v>0</v>
      </c>
      <c r="P1216" s="61" t="str">
        <f t="shared" si="310"/>
        <v/>
      </c>
      <c r="Q1216" s="61">
        <f t="shared" si="311"/>
        <v>0</v>
      </c>
    </row>
    <row r="1217" spans="1:17">
      <c r="A1217" s="112" t="s">
        <v>4</v>
      </c>
      <c r="B1217" s="223">
        <v>6</v>
      </c>
      <c r="C1217" s="112">
        <v>2025</v>
      </c>
      <c r="D1217" s="112" t="s">
        <v>213</v>
      </c>
      <c r="E1217" s="112" t="s">
        <v>213</v>
      </c>
      <c r="F1217" s="206">
        <v>45839</v>
      </c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10.507</v>
      </c>
      <c r="J1217" s="178">
        <f>'Raw Data'!K126/J$1</f>
        <v>0</v>
      </c>
      <c r="K1217" s="61">
        <f>'Raw Data'!L126/K$1</f>
        <v>0</v>
      </c>
      <c r="L1217" s="61">
        <f>'Raw Data'!M126/L$1</f>
        <v>0</v>
      </c>
      <c r="M1217" s="61">
        <f>'Raw Data'!N126/M$1</f>
        <v>0</v>
      </c>
      <c r="N1217" s="61">
        <f>'Raw Data'!O126/N$1</f>
        <v>0</v>
      </c>
      <c r="O1217" s="61">
        <f>'Raw Data'!P126/O$1</f>
        <v>0</v>
      </c>
      <c r="P1217" s="61" t="str">
        <f t="shared" si="310"/>
        <v/>
      </c>
      <c r="Q1217" s="61">
        <f t="shared" si="311"/>
        <v>0</v>
      </c>
    </row>
    <row r="1218" spans="1:17">
      <c r="A1218" s="112" t="s">
        <v>4</v>
      </c>
      <c r="B1218" s="223">
        <v>6</v>
      </c>
      <c r="C1218" s="112">
        <v>2025</v>
      </c>
      <c r="D1218" s="112" t="s">
        <v>213</v>
      </c>
      <c r="E1218" s="112" t="s">
        <v>213</v>
      </c>
      <c r="F1218" s="206">
        <v>45839</v>
      </c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10.507</v>
      </c>
      <c r="J1218" s="178">
        <f>'Raw Data'!K127/J$1</f>
        <v>0</v>
      </c>
      <c r="K1218" s="61">
        <f>'Raw Data'!L127/K$1</f>
        <v>0</v>
      </c>
      <c r="L1218" s="61">
        <f>'Raw Data'!M127/L$1</f>
        <v>0</v>
      </c>
      <c r="M1218" s="61">
        <f>'Raw Data'!N127/M$1</f>
        <v>0</v>
      </c>
      <c r="N1218" s="61">
        <f>'Raw Data'!O127/N$1</f>
        <v>0</v>
      </c>
      <c r="O1218" s="61">
        <f>'Raw Data'!P127/O$1</f>
        <v>0</v>
      </c>
      <c r="P1218" s="61" t="str">
        <f t="shared" si="310"/>
        <v/>
      </c>
      <c r="Q1218" s="61">
        <f t="shared" si="311"/>
        <v>0</v>
      </c>
    </row>
    <row r="1219" spans="1:17">
      <c r="A1219" s="112" t="s">
        <v>4</v>
      </c>
      <c r="B1219" s="223">
        <v>6</v>
      </c>
      <c r="C1219" s="112">
        <v>2025</v>
      </c>
      <c r="D1219" s="112" t="s">
        <v>213</v>
      </c>
      <c r="E1219" s="112" t="s">
        <v>213</v>
      </c>
      <c r="F1219" s="206">
        <v>45839</v>
      </c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10.507</v>
      </c>
      <c r="J1219" s="178">
        <f>'Raw Data'!K128/J$1</f>
        <v>0</v>
      </c>
      <c r="K1219" s="61">
        <f>'Raw Data'!L128/K$1</f>
        <v>0</v>
      </c>
      <c r="L1219" s="61">
        <f>'Raw Data'!M128/L$1</f>
        <v>0</v>
      </c>
      <c r="M1219" s="61">
        <f>'Raw Data'!N128/M$1</f>
        <v>0</v>
      </c>
      <c r="N1219" s="61">
        <f>'Raw Data'!O128/N$1</f>
        <v>0</v>
      </c>
      <c r="O1219" s="61">
        <f>'Raw Data'!P128/O$1</f>
        <v>0</v>
      </c>
      <c r="P1219" s="61" t="str">
        <f t="shared" si="310"/>
        <v/>
      </c>
      <c r="Q1219" s="61">
        <f t="shared" si="311"/>
        <v>0</v>
      </c>
    </row>
    <row r="1220" spans="1:17">
      <c r="A1220" s="112" t="s">
        <v>4</v>
      </c>
      <c r="B1220" s="223">
        <v>6</v>
      </c>
      <c r="C1220" s="112">
        <v>2025</v>
      </c>
      <c r="D1220" s="112" t="s">
        <v>213</v>
      </c>
      <c r="E1220" s="112" t="s">
        <v>213</v>
      </c>
      <c r="F1220" s="206">
        <v>45839</v>
      </c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10.507</v>
      </c>
      <c r="J1220" s="178">
        <f>'Raw Data'!K129/J$1</f>
        <v>0</v>
      </c>
      <c r="K1220" s="61">
        <f>'Raw Data'!L129/K$1</f>
        <v>0</v>
      </c>
      <c r="L1220" s="61">
        <f>'Raw Data'!M129/L$1</f>
        <v>0</v>
      </c>
      <c r="M1220" s="61">
        <f>'Raw Data'!N129/M$1</f>
        <v>0</v>
      </c>
      <c r="N1220" s="61">
        <f>'Raw Data'!O129/N$1</f>
        <v>0</v>
      </c>
      <c r="O1220" s="61">
        <f>'Raw Data'!P129/O$1</f>
        <v>0</v>
      </c>
      <c r="P1220" s="61" t="str">
        <f t="shared" si="310"/>
        <v/>
      </c>
      <c r="Q1220" s="61">
        <f t="shared" si="311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Data'!K131/J$1</f>
        <v>0</v>
      </c>
      <c r="K1221" s="61">
        <f>'Raw Data'!L131/K$1</f>
        <v>0</v>
      </c>
      <c r="L1221" s="61">
        <f>'Raw Data'!M131/L$1</f>
        <v>0</v>
      </c>
      <c r="M1221" s="61">
        <f>'Raw Data'!N131/M$1</f>
        <v>0</v>
      </c>
      <c r="N1221" s="61">
        <f>'Raw Data'!O131/N$1</f>
        <v>0</v>
      </c>
      <c r="O1221" s="61">
        <f>'Raw Data'!P131/O$1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Data'!K137/J$1</f>
        <v>0</v>
      </c>
      <c r="K1222" s="61">
        <f>'Raw Data'!L137/K$1</f>
        <v>0</v>
      </c>
      <c r="L1222" s="61">
        <f>'Raw Data'!M137/L$1</f>
        <v>0</v>
      </c>
      <c r="M1222" s="61">
        <f>'Raw Data'!N137/M$1</f>
        <v>0</v>
      </c>
      <c r="N1222" s="61">
        <f>'Raw Data'!O137/N$1</f>
        <v>0</v>
      </c>
      <c r="O1222" s="61">
        <f>'Raw Data'!P137/O$1</f>
        <v>0</v>
      </c>
      <c r="P1222" s="61" t="str">
        <f t="shared" ref="P1222" si="312">IFERROR(AVERAGEIF(J1222:O1222,"&gt;"&amp;0,J1222:O1222),"")</f>
        <v/>
      </c>
      <c r="Q1222" s="61">
        <f t="shared" ref="Q1222" si="313">MAXA(J1222:O1222)</f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Data'!K177/J$1</f>
        <v>0</v>
      </c>
      <c r="K1223" s="61">
        <f>'Raw Data'!L177/K$1</f>
        <v>0</v>
      </c>
      <c r="L1223" s="61">
        <f>'Raw Data'!M177/L$1</f>
        <v>0</v>
      </c>
      <c r="M1223" s="61">
        <f>'Raw Data'!N177/M$1</f>
        <v>0</v>
      </c>
      <c r="N1223" s="61">
        <f>'Raw Data'!O177/N$1</f>
        <v>0</v>
      </c>
      <c r="O1223" s="61">
        <f>'Raw Data'!P177/O$1</f>
        <v>0</v>
      </c>
      <c r="P1223" s="61" t="str">
        <f t="shared" ref="P1223:P1226" si="314">IFERROR(AVERAGEIF(J1223:O1223,"&gt;"&amp;0,J1223:O1223),"")</f>
        <v/>
      </c>
      <c r="Q1223" s="61">
        <f t="shared" ref="Q1223:Q1226" si="315">MAXA(J1223:O1223)</f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Data'!K178/J$1</f>
        <v>0</v>
      </c>
      <c r="K1224" s="61">
        <f>'Raw Data'!L178/K$1</f>
        <v>0</v>
      </c>
      <c r="L1224" s="61">
        <f>'Raw Data'!M178/L$1</f>
        <v>0</v>
      </c>
      <c r="M1224" s="61">
        <f>'Raw Data'!N178/M$1</f>
        <v>0</v>
      </c>
      <c r="N1224" s="61">
        <f>'Raw Data'!O178/N$1</f>
        <v>0</v>
      </c>
      <c r="O1224" s="61">
        <f>'Raw Data'!P178/O$1</f>
        <v>0</v>
      </c>
      <c r="P1224" s="61" t="str">
        <f t="shared" si="314"/>
        <v/>
      </c>
      <c r="Q1224" s="61">
        <f t="shared" si="315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Data'!K179/J$1</f>
        <v>0</v>
      </c>
      <c r="K1225" s="61">
        <f>'Raw Data'!L179/K$1</f>
        <v>0</v>
      </c>
      <c r="L1225" s="61">
        <f>'Raw Data'!M179/L$1</f>
        <v>0</v>
      </c>
      <c r="M1225" s="61">
        <f>'Raw Data'!N179/M$1</f>
        <v>0</v>
      </c>
      <c r="N1225" s="61">
        <f>'Raw Data'!O179/N$1</f>
        <v>0</v>
      </c>
      <c r="O1225" s="61">
        <f>'Raw Data'!P179/O$1</f>
        <v>0</v>
      </c>
      <c r="P1225" s="61" t="str">
        <f t="shared" si="314"/>
        <v/>
      </c>
      <c r="Q1225" s="61">
        <f t="shared" si="315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Data'!K180/J$1</f>
        <v>0</v>
      </c>
      <c r="K1226" s="61">
        <f>'Raw Data'!L180/K$1</f>
        <v>0</v>
      </c>
      <c r="L1226" s="61">
        <f>'Raw Data'!M180/L$1</f>
        <v>0</v>
      </c>
      <c r="M1226" s="61">
        <f>'Raw Data'!N180/M$1</f>
        <v>0</v>
      </c>
      <c r="N1226" s="61">
        <f>'Raw Data'!O180/N$1</f>
        <v>0</v>
      </c>
      <c r="O1226" s="61">
        <f>'Raw Data'!P180/O$1</f>
        <v>0</v>
      </c>
      <c r="P1226" s="61" t="str">
        <f t="shared" si="314"/>
        <v/>
      </c>
      <c r="Q1226" s="61">
        <f t="shared" si="315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6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Data'!K181/J$1</f>
        <v>0</v>
      </c>
      <c r="K1227" s="61">
        <f>'Raw Data'!L181/K$1</f>
        <v>0</v>
      </c>
      <c r="L1227" s="61">
        <f>'Raw Data'!M181/L$1</f>
        <v>0</v>
      </c>
      <c r="M1227" s="61">
        <f>'Raw Data'!N181/M$1</f>
        <v>0</v>
      </c>
      <c r="N1227" s="61">
        <f>'Raw Data'!O181/N$1</f>
        <v>0</v>
      </c>
      <c r="O1227" s="61">
        <f>'Raw Data'!P181/O$1</f>
        <v>0</v>
      </c>
      <c r="P1227" s="61" t="str">
        <f t="shared" ref="P1227:P1237" si="317">IFERROR(AVERAGEIF(J1227:O1227,"&gt;"&amp;0,J1227:O1227),"")</f>
        <v/>
      </c>
      <c r="Q1227" s="61">
        <f t="shared" ref="Q1227:Q1237" si="318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6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Data'!K182/J$1</f>
        <v>0</v>
      </c>
      <c r="K1228" s="61">
        <f>'Raw Data'!L182/K$1</f>
        <v>0</v>
      </c>
      <c r="L1228" s="61">
        <f>'Raw Data'!M182/L$1</f>
        <v>0</v>
      </c>
      <c r="M1228" s="61">
        <f>'Raw Data'!N182/M$1</f>
        <v>0</v>
      </c>
      <c r="N1228" s="61">
        <f>'Raw Data'!O182/N$1</f>
        <v>0</v>
      </c>
      <c r="O1228" s="61">
        <f>'Raw Data'!P182/O$1</f>
        <v>0</v>
      </c>
      <c r="P1228" s="61" t="str">
        <f t="shared" si="317"/>
        <v/>
      </c>
      <c r="Q1228" s="61">
        <f t="shared" si="318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6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Data'!K183/J$1</f>
        <v>0</v>
      </c>
      <c r="K1229" s="61">
        <f>'Raw Data'!L183/K$1</f>
        <v>0</v>
      </c>
      <c r="L1229" s="61">
        <f>'Raw Data'!M183/L$1</f>
        <v>0</v>
      </c>
      <c r="M1229" s="61">
        <f>'Raw Data'!N183/M$1</f>
        <v>0</v>
      </c>
      <c r="N1229" s="61">
        <f>'Raw Data'!O183/N$1</f>
        <v>0</v>
      </c>
      <c r="O1229" s="61">
        <f>'Raw Data'!P183/O$1</f>
        <v>0</v>
      </c>
      <c r="P1229" s="61" t="str">
        <f t="shared" si="317"/>
        <v/>
      </c>
      <c r="Q1229" s="61">
        <f t="shared" si="318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6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Data'!K184/J$1</f>
        <v>0</v>
      </c>
      <c r="K1230" s="61">
        <f>'Raw Data'!L184/K$1</f>
        <v>0</v>
      </c>
      <c r="L1230" s="61">
        <f>'Raw Data'!M184/L$1</f>
        <v>0</v>
      </c>
      <c r="M1230" s="61">
        <f>'Raw Data'!N184/M$1</f>
        <v>0</v>
      </c>
      <c r="N1230" s="61">
        <f>'Raw Data'!O184/N$1</f>
        <v>0</v>
      </c>
      <c r="O1230" s="61">
        <f>'Raw Data'!P184/O$1</f>
        <v>0</v>
      </c>
      <c r="P1230" s="61" t="str">
        <f t="shared" si="317"/>
        <v/>
      </c>
      <c r="Q1230" s="61">
        <f t="shared" si="318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6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Data'!K185/J$1</f>
        <v>0</v>
      </c>
      <c r="K1231" s="61">
        <f>'Raw Data'!L185/K$1</f>
        <v>0</v>
      </c>
      <c r="L1231" s="61">
        <f>'Raw Data'!M185/L$1</f>
        <v>0</v>
      </c>
      <c r="M1231" s="61">
        <f>'Raw Data'!N185/M$1</f>
        <v>0</v>
      </c>
      <c r="N1231" s="61">
        <f>'Raw Data'!O185/N$1</f>
        <v>0</v>
      </c>
      <c r="O1231" s="61">
        <f>'Raw Data'!P185/O$1</f>
        <v>0</v>
      </c>
      <c r="P1231" s="61" t="str">
        <f t="shared" si="317"/>
        <v/>
      </c>
      <c r="Q1231" s="61">
        <f t="shared" si="318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6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Data'!K186/J$1</f>
        <v>0</v>
      </c>
      <c r="K1232" s="61">
        <f>'Raw Data'!L186/K$1</f>
        <v>0</v>
      </c>
      <c r="L1232" s="61">
        <f>'Raw Data'!M186/L$1</f>
        <v>0</v>
      </c>
      <c r="M1232" s="61">
        <f>'Raw Data'!N186/M$1</f>
        <v>0</v>
      </c>
      <c r="N1232" s="61">
        <f>'Raw Data'!O186/N$1</f>
        <v>0</v>
      </c>
      <c r="O1232" s="61">
        <f>'Raw Data'!P186/O$1</f>
        <v>0</v>
      </c>
      <c r="P1232" s="61" t="str">
        <f t="shared" si="317"/>
        <v/>
      </c>
      <c r="Q1232" s="61">
        <f t="shared" si="318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6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Data'!K187/J$1</f>
        <v>0</v>
      </c>
      <c r="K1233" s="61">
        <f>'Raw Data'!L187/K$1</f>
        <v>0</v>
      </c>
      <c r="L1233" s="61">
        <f>'Raw Data'!M187/L$1</f>
        <v>0</v>
      </c>
      <c r="M1233" s="61">
        <f>'Raw Data'!N187/M$1</f>
        <v>0</v>
      </c>
      <c r="N1233" s="61">
        <f>'Raw Data'!O187/N$1</f>
        <v>0</v>
      </c>
      <c r="O1233" s="61">
        <f>'Raw Data'!P187/O$1</f>
        <v>0</v>
      </c>
      <c r="P1233" s="61" t="str">
        <f t="shared" si="317"/>
        <v/>
      </c>
      <c r="Q1233" s="61">
        <f t="shared" si="318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6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Data'!K188/J$1</f>
        <v>0</v>
      </c>
      <c r="K1234" s="61">
        <f>'Raw Data'!L188/K$1</f>
        <v>0</v>
      </c>
      <c r="L1234" s="61">
        <f>'Raw Data'!M188/L$1</f>
        <v>0</v>
      </c>
      <c r="M1234" s="61">
        <f>'Raw Data'!N188/M$1</f>
        <v>0</v>
      </c>
      <c r="N1234" s="61">
        <f>'Raw Data'!O188/N$1</f>
        <v>0</v>
      </c>
      <c r="O1234" s="61">
        <f>'Raw Data'!P188/O$1</f>
        <v>0</v>
      </c>
      <c r="P1234" s="61" t="str">
        <f t="shared" si="317"/>
        <v/>
      </c>
      <c r="Q1234" s="61">
        <f t="shared" si="318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6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Data'!K189/J$1</f>
        <v>0</v>
      </c>
      <c r="K1235" s="61">
        <f>'Raw Data'!L189/K$1</f>
        <v>0</v>
      </c>
      <c r="L1235" s="61">
        <f>'Raw Data'!M189/L$1</f>
        <v>0</v>
      </c>
      <c r="M1235" s="61">
        <f>'Raw Data'!N189/M$1</f>
        <v>0</v>
      </c>
      <c r="N1235" s="61">
        <f>'Raw Data'!O189/N$1</f>
        <v>0</v>
      </c>
      <c r="O1235" s="61">
        <f>'Raw Data'!P189/O$1</f>
        <v>0</v>
      </c>
      <c r="P1235" s="61" t="str">
        <f t="shared" si="317"/>
        <v/>
      </c>
      <c r="Q1235" s="61">
        <f t="shared" si="318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6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Data'!K190/J$1</f>
        <v>0</v>
      </c>
      <c r="K1236" s="61">
        <f>'Raw Data'!L190/K$1</f>
        <v>0</v>
      </c>
      <c r="L1236" s="61">
        <f>'Raw Data'!M190/L$1</f>
        <v>0</v>
      </c>
      <c r="M1236" s="61">
        <f>'Raw Data'!N190/M$1</f>
        <v>0</v>
      </c>
      <c r="N1236" s="61">
        <f>'Raw Data'!O190/N$1</f>
        <v>0</v>
      </c>
      <c r="O1236" s="61">
        <f>'Raw Data'!P190/O$1</f>
        <v>0</v>
      </c>
      <c r="P1236" s="61" t="str">
        <f t="shared" si="317"/>
        <v/>
      </c>
      <c r="Q1236" s="61">
        <f t="shared" si="318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6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Data'!K191/J$1</f>
        <v>0</v>
      </c>
      <c r="K1237" s="61">
        <f>'Raw Data'!L191/K$1</f>
        <v>0</v>
      </c>
      <c r="L1237" s="61">
        <f>'Raw Data'!M191/L$1</f>
        <v>0</v>
      </c>
      <c r="M1237" s="61">
        <f>'Raw Data'!N191/M$1</f>
        <v>0</v>
      </c>
      <c r="N1237" s="61">
        <f>'Raw Data'!O191/N$1</f>
        <v>0</v>
      </c>
      <c r="O1237" s="61">
        <f>'Raw Data'!P191/O$1</f>
        <v>0</v>
      </c>
      <c r="P1237" s="61" t="str">
        <f t="shared" si="317"/>
        <v/>
      </c>
      <c r="Q1237" s="61">
        <f t="shared" si="318"/>
        <v>0</v>
      </c>
    </row>
  </sheetData>
  <phoneticPr fontId="6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0"/>
  <sheetViews>
    <sheetView zoomScaleNormal="100" workbookViewId="0">
      <pane xSplit="8" ySplit="3" topLeftCell="I108" activePane="bottomRight" state="frozen"/>
      <selection activeCell="I9" sqref="I9"/>
      <selection pane="topRight" activeCell="I9" sqref="I9"/>
      <selection pane="bottomLeft" activeCell="I9" sqref="I9"/>
      <selection pane="bottomRight" activeCell="O118" sqref="O118:O120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L118" s="2" t="s">
        <v>267</v>
      </c>
      <c r="M118" s="177"/>
      <c r="N118">
        <v>0</v>
      </c>
      <c r="O118" s="243" t="s">
        <v>189</v>
      </c>
      <c r="P118" s="2" t="s">
        <v>268</v>
      </c>
      <c r="Q118" s="2" t="s">
        <v>270</v>
      </c>
      <c r="R118">
        <v>54</v>
      </c>
      <c r="S118" s="2" t="s">
        <v>1667</v>
      </c>
      <c r="T118" t="s">
        <v>269</v>
      </c>
      <c r="U118" t="s">
        <v>293</v>
      </c>
      <c r="V118" t="s">
        <v>293</v>
      </c>
      <c r="W118" s="39">
        <v>0.4375</v>
      </c>
      <c r="X118" s="39">
        <v>0.4375</v>
      </c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0</v>
      </c>
      <c r="AC118" s="33">
        <f>IFERROR((Tracker_BD[[#This Row],[Work Completion time on fault]]-Tracker_BD[[#This Row],[Fault Time]])*24,"")</f>
        <v>0.91666666666666607</v>
      </c>
      <c r="AD118" s="33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6">
        <v>45839</v>
      </c>
      <c r="G120" s="292">
        <f>DAY(EOMONTH(Tracker_BD[[#This Row],[Month Year]],0))</f>
        <v>31</v>
      </c>
      <c r="H120" s="37">
        <v>45865</v>
      </c>
      <c r="I120" s="39">
        <f>IFERROR(VLOOKUP(Tracker_BD[[#This Row],[Date]],Raw_Data[[Date]:[Sunset Time (POA&lt;20 W/m2)]],3,0),"")</f>
        <v>0.26597222222222222</v>
      </c>
      <c r="J120" s="39">
        <f>IFERROR(VLOOKUP(Tracker_BD[[#This Row],[Date]],Raw_Data[[Date]:[Sunset Time (POA&lt;20 W/m2)]],4,0),"")</f>
        <v>0.77569444444444446</v>
      </c>
      <c r="K120" s="33">
        <f>IFERROR((Tracker_BD[[#This Row],[Sunset Time (POA&lt;20 W/m2)]]-Tracker_BD[[#This Row],[Sunrise Time (POA&gt;20 W/m2)]])*24,"")</f>
        <v>12.233333333333333</v>
      </c>
      <c r="L120" s="2" t="s">
        <v>267</v>
      </c>
      <c r="M120" s="177"/>
      <c r="N120">
        <v>0</v>
      </c>
      <c r="O120" s="243" t="s">
        <v>189</v>
      </c>
      <c r="P120" s="2" t="s">
        <v>268</v>
      </c>
      <c r="Q120" s="2" t="s">
        <v>270</v>
      </c>
      <c r="R120">
        <v>44</v>
      </c>
      <c r="S120" s="2" t="s">
        <v>1702</v>
      </c>
      <c r="T120" t="s">
        <v>269</v>
      </c>
      <c r="U120" t="s">
        <v>293</v>
      </c>
      <c r="V120" t="s">
        <v>293</v>
      </c>
      <c r="W120" s="39">
        <v>0.41666666666666669</v>
      </c>
      <c r="X120" s="39">
        <v>0.41666666666666669</v>
      </c>
      <c r="Y120" s="39">
        <v>0.41666666666666669</v>
      </c>
      <c r="Z120" s="39">
        <v>0.44791666666666669</v>
      </c>
      <c r="AA120" s="33">
        <f>IF(Tracker_BD[[#This Row],[Fault Acknowledgement Time ]]="NA","",(Tracker_BD[[#This Row],[Fault Acknowledgement Time ]]-Tracker_BD[[#This Row],[Fault Time]])*24)</f>
        <v>0</v>
      </c>
      <c r="AB120" s="33">
        <f>IFERROR((Tracker_BD[[#This Row],[Work Start time on Fault]]-Tracker_BD[[#This Row],[Fault Time]])*24,"")</f>
        <v>0</v>
      </c>
      <c r="AC120" s="33">
        <f>IFERROR((Tracker_BD[[#This Row],[Work Completion time on fault]]-Tracker_BD[[#This Row],[Fault Time]])*24,"")</f>
        <v>0.75</v>
      </c>
      <c r="AD120" s="33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100"/>
      <c r="AI120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4"/>
  <sheetViews>
    <sheetView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E1209" sqref="E1209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 t="s">
        <v>4</v>
      </c>
      <c r="B1198" s="235">
        <v>6</v>
      </c>
      <c r="C1198" s="235">
        <v>2025</v>
      </c>
      <c r="D1198" s="102" t="s">
        <v>211</v>
      </c>
      <c r="E1198" s="102" t="s">
        <v>211</v>
      </c>
      <c r="F1198" s="103">
        <v>45839</v>
      </c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10.507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102" t="s">
        <v>4</v>
      </c>
      <c r="B1199" s="235">
        <v>6</v>
      </c>
      <c r="C1199" s="235">
        <v>2025</v>
      </c>
      <c r="D1199" s="102" t="s">
        <v>211</v>
      </c>
      <c r="E1199" s="102" t="s">
        <v>211</v>
      </c>
      <c r="F1199" s="103">
        <v>45839</v>
      </c>
      <c r="G1199" s="260">
        <f t="shared" ref="G1199:G1208" si="53">DAY(EOMONTH(F1199,0))</f>
        <v>31</v>
      </c>
      <c r="H1199" s="104">
        <f t="shared" ref="H1199:H1224" si="54">H1198+1</f>
        <v>45849</v>
      </c>
      <c r="I1199" s="157">
        <f>_xlfn.XLOOKUP(Table5[[#This Row],[Month Year]],'Modelling New'!D:D,'Modelling New'!N:N)</f>
        <v>10.507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102" t="s">
        <v>4</v>
      </c>
      <c r="B1200" s="235">
        <v>6</v>
      </c>
      <c r="C1200" s="235">
        <v>2025</v>
      </c>
      <c r="D1200" s="102" t="s">
        <v>211</v>
      </c>
      <c r="E1200" s="102" t="s">
        <v>211</v>
      </c>
      <c r="F1200" s="103">
        <v>45839</v>
      </c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10.507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102" t="s">
        <v>4</v>
      </c>
      <c r="B1201" s="235">
        <v>6</v>
      </c>
      <c r="C1201" s="235">
        <v>2025</v>
      </c>
      <c r="D1201" s="102" t="s">
        <v>211</v>
      </c>
      <c r="E1201" s="102" t="s">
        <v>211</v>
      </c>
      <c r="F1201" s="103">
        <v>45839</v>
      </c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10.507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102" t="s">
        <v>4</v>
      </c>
      <c r="B1202" s="235">
        <v>6</v>
      </c>
      <c r="C1202" s="235">
        <v>2025</v>
      </c>
      <c r="D1202" s="102" t="s">
        <v>211</v>
      </c>
      <c r="E1202" s="102" t="s">
        <v>211</v>
      </c>
      <c r="F1202" s="103">
        <v>45839</v>
      </c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10.507</v>
      </c>
      <c r="J1202" s="262">
        <f>IFERROR(Inv_SY!J1203/Inv_SY!$P1203-1,"")</f>
        <v>-1.3658620429463308E-2</v>
      </c>
      <c r="K1202" s="262">
        <f>IFERROR(Inv_SY!K1203/Inv_SY!$P1203-1,"")</f>
        <v>-2.9063394748580329E-2</v>
      </c>
      <c r="L1202" s="262">
        <f>IFERROR(Inv_SY!L1203/Inv_SY!$P1203-1,"")</f>
        <v>-1.4716827658301623E-2</v>
      </c>
      <c r="M1202" s="246">
        <f>IFERROR(Inv_SY!M1203/Inv_SY!$P1203-1,"")</f>
        <v>-1.9913223773833977E-2</v>
      </c>
      <c r="N1202" s="246">
        <f>IFERROR(Inv_SY!N1203/Inv_SY!$P1203-1,"")</f>
        <v>-5.8434976531651195E-2</v>
      </c>
      <c r="O1202" s="246">
        <f>IFERROR(Inv_SY!O1203/Inv_SY!$P1203-1,"")</f>
        <v>0.13578704314182999</v>
      </c>
      <c r="P1202" s="246">
        <f>IFERROR(Inv_SY!J1203/Inv_SY!$Q1203-1,"")</f>
        <v>-0.13157894736842102</v>
      </c>
      <c r="Q1202" s="246">
        <f>IFERROR(Inv_SY!K1203/Inv_SY!$Q1203-1,"")</f>
        <v>-0.1451420307053326</v>
      </c>
      <c r="R1202" s="246">
        <f>IFERROR(Inv_SY!L1203/Inv_SY!$Q1203-1,"")</f>
        <v>-0.13251064247379141</v>
      </c>
      <c r="S1202" s="246">
        <f>IFERROR(Inv_SY!M1203/Inv_SY!$Q1203-1,"")</f>
        <v>-0.13708579249589226</v>
      </c>
      <c r="T1202" s="246">
        <f>IFERROR(Inv_SY!N1203/Inv_SY!$Q1203-1,"")</f>
        <v>-0.17100214414862636</v>
      </c>
      <c r="U1202" s="247">
        <f>IFERROR(Inv_SY!O1203/Inv_SY!$Q1203-1,"")</f>
        <v>0</v>
      </c>
    </row>
    <row r="1203" spans="1:21">
      <c r="A1203" s="102" t="s">
        <v>4</v>
      </c>
      <c r="B1203" s="235">
        <v>6</v>
      </c>
      <c r="C1203" s="235">
        <v>2025</v>
      </c>
      <c r="D1203" s="102" t="s">
        <v>211</v>
      </c>
      <c r="E1203" s="102" t="s">
        <v>211</v>
      </c>
      <c r="F1203" s="103">
        <v>45839</v>
      </c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10.507</v>
      </c>
      <c r="J1203" s="262">
        <f>IFERROR(Inv_SY!J1204/Inv_SY!$P1204-1,"")</f>
        <v>9.9411973853456015E-3</v>
      </c>
      <c r="K1203" s="262">
        <f>IFERROR(Inv_SY!K1204/Inv_SY!$P1204-1,"")</f>
        <v>1.0686783912060793E-2</v>
      </c>
      <c r="L1203" s="262">
        <f>IFERROR(Inv_SY!L1204/Inv_SY!$P1204-1,"")</f>
        <v>9.3252566547117333E-3</v>
      </c>
      <c r="M1203" s="262">
        <f>IFERROR(Inv_SY!M1204/Inv_SY!$P1204-1,"")</f>
        <v>-1.4790796836943398E-2</v>
      </c>
      <c r="N1203" s="262">
        <f>IFERROR(Inv_SY!N1204/Inv_SY!$P1204-1,"")</f>
        <v>-5.7465959010718271E-2</v>
      </c>
      <c r="O1203" s="262">
        <f>IFERROR(Inv_SY!O1204/Inv_SY!$P1204-1,"")</f>
        <v>4.2303517895544207E-2</v>
      </c>
      <c r="P1203" s="262">
        <f>IFERROR(Inv_SY!J1204/Inv_SY!$Q1204-1,"")</f>
        <v>-3.1048845134418745E-2</v>
      </c>
      <c r="Q1203" s="262">
        <f>IFERROR(Inv_SY!K1204/Inv_SY!$Q1204-1,"")</f>
        <v>-3.0333519402600539E-2</v>
      </c>
      <c r="R1203" s="262">
        <f>IFERROR(Inv_SY!L1204/Inv_SY!$Q1204-1,"")</f>
        <v>-3.1639786947488036E-2</v>
      </c>
      <c r="S1203" s="262">
        <f>IFERROR(Inv_SY!M1204/Inv_SY!$Q1204-1,"")</f>
        <v>-5.4777052703192775E-2</v>
      </c>
      <c r="T1203" s="262">
        <f>IFERROR(Inv_SY!N1204/Inv_SY!$Q1204-1,"")</f>
        <v>-9.5720176698339543E-2</v>
      </c>
      <c r="U1203" s="263">
        <f>IFERROR(Inv_SY!O1204/Inv_SY!$Q1204-1,"")</f>
        <v>0</v>
      </c>
    </row>
    <row r="1204" spans="1:21">
      <c r="A1204" s="102" t="s">
        <v>4</v>
      </c>
      <c r="B1204" s="235">
        <v>6</v>
      </c>
      <c r="C1204" s="235">
        <v>2025</v>
      </c>
      <c r="D1204" s="102" t="s">
        <v>211</v>
      </c>
      <c r="E1204" s="102" t="s">
        <v>211</v>
      </c>
      <c r="F1204" s="103">
        <v>45839</v>
      </c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10.507</v>
      </c>
      <c r="J1204" s="262">
        <f>IFERROR(Inv_SY!J1205/Inv_SY!$P1205-1,"")</f>
        <v>5.2819114678628765E-2</v>
      </c>
      <c r="K1204" s="262">
        <f>IFERROR(Inv_SY!K1205/Inv_SY!$P1205-1,"")</f>
        <v>-1.6922085396062769E-3</v>
      </c>
      <c r="L1204" s="262">
        <f>IFERROR(Inv_SY!L1205/Inv_SY!$P1205-1,"")</f>
        <v>3.0828253989880761E-2</v>
      </c>
      <c r="M1204" s="262">
        <f>IFERROR(Inv_SY!M1205/Inv_SY!$P1205-1,"")</f>
        <v>2.6427631293507003E-2</v>
      </c>
      <c r="N1204" s="262">
        <f>IFERROR(Inv_SY!N1205/Inv_SY!$P1205-1,"")</f>
        <v>4.5453093584814752E-2</v>
      </c>
      <c r="O1204" s="262">
        <f>IFERROR(Inv_SY!O1205/Inv_SY!$P1205-1,"")</f>
        <v>-0.15383588500722511</v>
      </c>
      <c r="P1204" s="262">
        <f>IFERROR(Inv_SY!J1205/Inv_SY!$Q1205-1,"")</f>
        <v>0</v>
      </c>
      <c r="Q1204" s="262">
        <f>IFERROR(Inv_SY!K1205/Inv_SY!$Q1205-1,"")</f>
        <v>-5.1776532604914216E-2</v>
      </c>
      <c r="R1204" s="262">
        <f>IFERROR(Inv_SY!L1205/Inv_SY!$Q1205-1,"")</f>
        <v>-2.0887596342188841E-2</v>
      </c>
      <c r="S1204" s="262">
        <f>IFERROR(Inv_SY!M1205/Inv_SY!$Q1205-1,"")</f>
        <v>-2.5067443226634123E-2</v>
      </c>
      <c r="T1204" s="262">
        <f>IFERROR(Inv_SY!N1205/Inv_SY!$Q1205-1,"")</f>
        <v>-6.9964735547780599E-3</v>
      </c>
      <c r="U1204" s="263">
        <f>IFERROR(Inv_SY!O1205/Inv_SY!$Q1205-1,"")</f>
        <v>-0.19628727936701151</v>
      </c>
    </row>
    <row r="1205" spans="1:21">
      <c r="A1205" s="102" t="s">
        <v>4</v>
      </c>
      <c r="B1205" s="235">
        <v>6</v>
      </c>
      <c r="C1205" s="235">
        <v>2025</v>
      </c>
      <c r="D1205" s="102" t="s">
        <v>211</v>
      </c>
      <c r="E1205" s="102" t="s">
        <v>211</v>
      </c>
      <c r="F1205" s="103">
        <v>45839</v>
      </c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10.507</v>
      </c>
      <c r="J1205" s="262">
        <f>IFERROR(Inv_SY!J1206/Inv_SY!$P1206-1,"")</f>
        <v>-6.8974145033259271E-3</v>
      </c>
      <c r="K1205" s="262">
        <f>IFERROR(Inv_SY!K1206/Inv_SY!$P1206-1,"")</f>
        <v>4.9477896104406227E-3</v>
      </c>
      <c r="L1205" s="262">
        <f>IFERROR(Inv_SY!L1206/Inv_SY!$P1206-1,"")</f>
        <v>6.3595350446203902E-3</v>
      </c>
      <c r="M1205" s="262">
        <f>IFERROR(Inv_SY!M1206/Inv_SY!$P1206-1,"")</f>
        <v>-5.0533072617670038E-3</v>
      </c>
      <c r="N1205" s="262">
        <f>IFERROR(Inv_SY!N1206/Inv_SY!$P1206-1,"")</f>
        <v>-2.7697684362901431E-2</v>
      </c>
      <c r="O1205" s="262">
        <f>IFERROR(Inv_SY!O1206/Inv_SY!$P1206-1,"")</f>
        <v>2.8341081472933016E-2</v>
      </c>
      <c r="P1205" s="262">
        <f>IFERROR(Inv_SY!J1206/Inv_SY!$Q1206-1,"")</f>
        <v>-3.4267322983718262E-2</v>
      </c>
      <c r="Q1205" s="262">
        <f>IFERROR(Inv_SY!K1206/Inv_SY!$Q1206-1,"")</f>
        <v>-2.2748572709927473E-2</v>
      </c>
      <c r="R1205" s="262">
        <f>IFERROR(Inv_SY!L1206/Inv_SY!$Q1206-1,"")</f>
        <v>-2.1375734981653793E-2</v>
      </c>
      <c r="S1205" s="262">
        <f>IFERROR(Inv_SY!M1206/Inv_SY!$Q1206-1,"")</f>
        <v>-3.2474039340009697E-2</v>
      </c>
      <c r="T1205" s="262">
        <f>IFERROR(Inv_SY!N1206/Inv_SY!$Q1206-1,"")</f>
        <v>-5.4494337380325275E-2</v>
      </c>
      <c r="U1205" s="263">
        <f>IFERROR(Inv_SY!O1206/Inv_SY!$Q1206-1,"")</f>
        <v>0</v>
      </c>
    </row>
    <row r="1206" spans="1:21">
      <c r="A1206" s="102" t="s">
        <v>4</v>
      </c>
      <c r="B1206" s="235">
        <v>6</v>
      </c>
      <c r="C1206" s="235">
        <v>2025</v>
      </c>
      <c r="D1206" s="102" t="s">
        <v>211</v>
      </c>
      <c r="E1206" s="102" t="s">
        <v>211</v>
      </c>
      <c r="F1206" s="103">
        <v>45839</v>
      </c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10.507</v>
      </c>
      <c r="J1206" s="262">
        <f>IFERROR(Inv_SY!J1207/Inv_SY!$P1207-1,"")</f>
        <v>-0.11127723771394249</v>
      </c>
      <c r="K1206" s="262">
        <f>IFERROR(Inv_SY!K1207/Inv_SY!$P1207-1,"")</f>
        <v>-0.10453171652317383</v>
      </c>
      <c r="L1206" s="262">
        <f>IFERROR(Inv_SY!L1207/Inv_SY!$P1207-1,"")</f>
        <v>-8.9533429326841829E-2</v>
      </c>
      <c r="M1206" s="262">
        <f>IFERROR(Inv_SY!M1207/Inv_SY!$P1207-1,"")</f>
        <v>-0.10692226281954553</v>
      </c>
      <c r="N1206" s="262">
        <f>IFERROR(Inv_SY!N1207/Inv_SY!$P1207-1,"")</f>
        <v>-0.14160282478331432</v>
      </c>
      <c r="O1206" s="262">
        <f>IFERROR(Inv_SY!O1207/Inv_SY!$P1207-1,"")</f>
        <v>0.55386747116681745</v>
      </c>
      <c r="P1206" s="262">
        <f>IFERROR(Inv_SY!J1207/Inv_SY!$Q1207-1,"")</f>
        <v>-0.42805755395683454</v>
      </c>
      <c r="Q1206" s="262">
        <f>IFERROR(Inv_SY!K1207/Inv_SY!$Q1207-1,"")</f>
        <v>-0.42371643650895885</v>
      </c>
      <c r="R1206" s="262">
        <f>IFERROR(Inv_SY!L1207/Inv_SY!$Q1207-1,"")</f>
        <v>-0.41406420588142057</v>
      </c>
      <c r="S1206" s="262">
        <f>IFERROR(Inv_SY!M1207/Inv_SY!$Q1207-1,"")</f>
        <v>-0.42525488579162296</v>
      </c>
      <c r="T1206" s="262">
        <f>IFERROR(Inv_SY!N1207/Inv_SY!$Q1207-1,"")</f>
        <v>-0.44757375313860903</v>
      </c>
      <c r="U1206" s="263">
        <f>IFERROR(Inv_SY!O1207/Inv_SY!$Q1207-1,"")</f>
        <v>0</v>
      </c>
    </row>
    <row r="1207" spans="1:21">
      <c r="A1207" s="102" t="s">
        <v>4</v>
      </c>
      <c r="B1207" s="235">
        <v>6</v>
      </c>
      <c r="C1207" s="235">
        <v>2025</v>
      </c>
      <c r="D1207" s="102" t="s">
        <v>211</v>
      </c>
      <c r="E1207" s="102" t="s">
        <v>211</v>
      </c>
      <c r="F1207" s="103">
        <v>45839</v>
      </c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10.507</v>
      </c>
      <c r="J1207" s="262">
        <f>IFERROR(Inv_SY!J1208/Inv_SY!$P1208-1,"")</f>
        <v>-4.6528658469875972E-2</v>
      </c>
      <c r="K1207" s="262">
        <f>IFERROR(Inv_SY!K1208/Inv_SY!$P1208-1,"")</f>
        <v>1.5718758870635785E-2</v>
      </c>
      <c r="L1207" s="262">
        <f>IFERROR(Inv_SY!L1208/Inv_SY!$P1208-1,"")</f>
        <v>1.9479865306197386E-2</v>
      </c>
      <c r="M1207" s="262">
        <f>IFERROR(Inv_SY!M1208/Inv_SY!$P1208-1,"")</f>
        <v>6.9114363486897368E-3</v>
      </c>
      <c r="N1207" s="262">
        <f>IFERROR(Inv_SY!N1208/Inv_SY!$P1208-1,"")</f>
        <v>-2.9291505906654414E-2</v>
      </c>
      <c r="O1207" s="262">
        <f>IFERROR(Inv_SY!O1208/Inv_SY!$P1208-1,"")</f>
        <v>3.371010385100881E-2</v>
      </c>
      <c r="P1207" s="262">
        <f>IFERROR(Inv_SY!J1208/Inv_SY!$Q1208-1,"")</f>
        <v>-7.7622112836046919E-2</v>
      </c>
      <c r="Q1207" s="262">
        <f>IFERROR(Inv_SY!K1208/Inv_SY!$Q1208-1,"")</f>
        <v>-1.7404632994635238E-2</v>
      </c>
      <c r="R1207" s="262">
        <f>IFERROR(Inv_SY!L1208/Inv_SY!$Q1208-1,"")</f>
        <v>-1.3766179213879903E-2</v>
      </c>
      <c r="S1207" s="262">
        <f>IFERROR(Inv_SY!M1208/Inv_SY!$Q1208-1,"")</f>
        <v>-2.5924741765106729E-2</v>
      </c>
      <c r="T1207" s="262">
        <f>IFERROR(Inv_SY!N1208/Inv_SY!$Q1208-1,"")</f>
        <v>-6.0947077447492726E-2</v>
      </c>
      <c r="U1207" s="263">
        <f>IFERROR(Inv_SY!O1208/Inv_SY!$Q1208-1,"")</f>
        <v>0</v>
      </c>
    </row>
    <row r="1208" spans="1:21">
      <c r="A1208" s="102" t="s">
        <v>4</v>
      </c>
      <c r="B1208" s="235">
        <v>6</v>
      </c>
      <c r="C1208" s="235">
        <v>2025</v>
      </c>
      <c r="D1208" s="102" t="s">
        <v>211</v>
      </c>
      <c r="E1208" s="102" t="s">
        <v>211</v>
      </c>
      <c r="F1208" s="103">
        <v>45839</v>
      </c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10.507</v>
      </c>
      <c r="J1208" s="262">
        <f>IFERROR(Inv_SY!J1209/Inv_SY!$P1209-1,"")</f>
        <v>-8.6942115932813202E-3</v>
      </c>
      <c r="K1208" s="262">
        <f>IFERROR(Inv_SY!K1209/Inv_SY!$P1209-1,"")</f>
        <v>-5.1728193597301408E-2</v>
      </c>
      <c r="L1208" s="262">
        <f>IFERROR(Inv_SY!L1209/Inv_SY!$P1209-1,"")</f>
        <v>1.0653402201604267E-2</v>
      </c>
      <c r="M1208" s="262">
        <f>IFERROR(Inv_SY!M1209/Inv_SY!$P1209-1,"")</f>
        <v>-4.6044060639175433E-3</v>
      </c>
      <c r="N1208" s="262">
        <f>IFERROR(Inv_SY!N1209/Inv_SY!$P1209-1,"")</f>
        <v>-3.9895592904112154E-2</v>
      </c>
      <c r="O1208" s="262">
        <f>IFERROR(Inv_SY!O1209/Inv_SY!$P1209-1,"")</f>
        <v>9.4269001957008935E-2</v>
      </c>
      <c r="P1208" s="262">
        <f>IFERROR(Inv_SY!J1209/Inv_SY!$Q1209-1,"")</f>
        <v>-9.4093146535403238E-2</v>
      </c>
      <c r="Q1208" s="262">
        <f>IFERROR(Inv_SY!K1209/Inv_SY!$Q1209-1,"")</f>
        <v>-0.13341984036211074</v>
      </c>
      <c r="R1208" s="262">
        <f>IFERROR(Inv_SY!L1209/Inv_SY!$Q1209-1,"")</f>
        <v>-7.6412289488110408E-2</v>
      </c>
      <c r="S1208" s="262">
        <f>IFERROR(Inv_SY!M1209/Inv_SY!$Q1209-1,"")</f>
        <v>-9.0355669258746829E-2</v>
      </c>
      <c r="T1208" s="262">
        <f>IFERROR(Inv_SY!N1209/Inv_SY!$Q1209-1,"")</f>
        <v>-0.12260659364487048</v>
      </c>
      <c r="U1208" s="263">
        <f>IFERROR(Inv_SY!O1209/Inv_SY!$Q1209-1,"")</f>
        <v>0</v>
      </c>
    </row>
    <row r="1209" spans="1:21">
      <c r="A1209" s="102" t="s">
        <v>4</v>
      </c>
      <c r="B1209" s="235">
        <v>6</v>
      </c>
      <c r="C1209" s="235">
        <v>2025</v>
      </c>
      <c r="D1209" s="102" t="s">
        <v>211</v>
      </c>
      <c r="E1209" s="102" t="s">
        <v>211</v>
      </c>
      <c r="F1209" s="103">
        <v>45839</v>
      </c>
      <c r="G1209" s="260">
        <f t="shared" ref="G1209:G1224" si="55">DAY(EOMONTH(F1209,0))</f>
        <v>31</v>
      </c>
      <c r="H1209" s="104">
        <f t="shared" si="54"/>
        <v>45859</v>
      </c>
      <c r="I1209" s="157">
        <f>_xlfn.XLOOKUP(Table5[[#This Row],[Month Year]],'Modelling New'!D:D,'Modelling New'!N:N)</f>
        <v>10.507</v>
      </c>
      <c r="J1209" s="262">
        <f>IFERROR(Inv_SY!J1210/Inv_SY!$P1210-1,"")</f>
        <v>4.9602691815244793E-3</v>
      </c>
      <c r="K1209" s="262">
        <f>IFERROR(Inv_SY!K1210/Inv_SY!$P1210-1,"")</f>
        <v>6.6683700587515382E-3</v>
      </c>
      <c r="L1209" s="262">
        <f>IFERROR(Inv_SY!L1210/Inv_SY!$P1210-1,"")</f>
        <v>1.7900595283784959E-2</v>
      </c>
      <c r="M1209" s="262">
        <f>IFERROR(Inv_SY!M1210/Inv_SY!$P1210-1,"")</f>
        <v>-4.222442862229836E-3</v>
      </c>
      <c r="N1209" s="262">
        <f>IFERROR(Inv_SY!N1210/Inv_SY!$P1210-1,"")</f>
        <v>-1.1488298929067442E-2</v>
      </c>
      <c r="O1209" s="262">
        <f>IFERROR(Inv_SY!O1210/Inv_SY!$P1210-1,"")</f>
        <v>-1.3818492732764365E-2</v>
      </c>
      <c r="P1209" s="262">
        <f>IFERROR(Inv_SY!J1210/Inv_SY!$Q1210-1,"")</f>
        <v>-1.2712760128264611E-2</v>
      </c>
      <c r="Q1209" s="262">
        <f>IFERROR(Inv_SY!K1210/Inv_SY!$Q1210-1,"")</f>
        <v>-1.1034697569758278E-2</v>
      </c>
      <c r="R1209" s="262">
        <f>IFERROR(Inv_SY!L1210/Inv_SY!$Q1210-1,"")</f>
        <v>0</v>
      </c>
      <c r="S1209" s="262">
        <f>IFERROR(Inv_SY!M1210/Inv_SY!$Q1210-1,"")</f>
        <v>-2.1733986843624042E-2</v>
      </c>
      <c r="T1209" s="262">
        <f>IFERROR(Inv_SY!N1210/Inv_SY!$Q1210-1,"")</f>
        <v>-2.8872067026013526E-2</v>
      </c>
      <c r="U1209" s="263">
        <f>IFERROR(Inv_SY!O1210/Inv_SY!$Q1210-1,"")</f>
        <v>-3.1161282509817534E-2</v>
      </c>
    </row>
    <row r="1210" spans="1:21">
      <c r="A1210" s="102" t="s">
        <v>4</v>
      </c>
      <c r="B1210" s="235">
        <v>6</v>
      </c>
      <c r="C1210" s="235">
        <v>2025</v>
      </c>
      <c r="D1210" s="102" t="s">
        <v>211</v>
      </c>
      <c r="E1210" s="102" t="s">
        <v>211</v>
      </c>
      <c r="F1210" s="103">
        <v>45839</v>
      </c>
      <c r="G1210" s="260">
        <f t="shared" si="55"/>
        <v>31</v>
      </c>
      <c r="H1210" s="104">
        <f t="shared" si="54"/>
        <v>45860</v>
      </c>
      <c r="I1210" s="157">
        <f>_xlfn.XLOOKUP(Table5[[#This Row],[Month Year]],'Modelling New'!D:D,'Modelling New'!N:N)</f>
        <v>10.507</v>
      </c>
      <c r="J1210" s="262">
        <f>IFERROR(Inv_SY!J1211/Inv_SY!$P1211-1,"")</f>
        <v>-1.7053896992361817E-2</v>
      </c>
      <c r="K1210" s="262">
        <f>IFERROR(Inv_SY!K1211/Inv_SY!$P1211-1,"")</f>
        <v>3.8330583995553003E-2</v>
      </c>
      <c r="L1210" s="262">
        <f>IFERROR(Inv_SY!L1211/Inv_SY!$P1211-1,"")</f>
        <v>4.9916090528154156E-2</v>
      </c>
      <c r="M1210" s="262">
        <f>IFERROR(Inv_SY!M1211/Inv_SY!$P1211-1,"")</f>
        <v>2.7097228029705933E-2</v>
      </c>
      <c r="N1210" s="262">
        <f>IFERROR(Inv_SY!N1211/Inv_SY!$P1211-1,"")</f>
        <v>-4.7186741382985842E-2</v>
      </c>
      <c r="O1210" s="262">
        <f>IFERROR(Inv_SY!O1211/Inv_SY!$P1211-1,"")</f>
        <v>-5.1103264178065211E-2</v>
      </c>
      <c r="P1210" s="262">
        <f>IFERROR(Inv_SY!J1211/Inv_SY!$Q1211-1,"")</f>
        <v>-6.3786037879300483E-2</v>
      </c>
      <c r="Q1210" s="262">
        <f>IFERROR(Inv_SY!K1211/Inv_SY!$Q1211-1,"")</f>
        <v>-1.1034697569758278E-2</v>
      </c>
      <c r="R1210" s="262">
        <f>IFERROR(Inv_SY!L1211/Inv_SY!$Q1211-1,"")</f>
        <v>0</v>
      </c>
      <c r="S1210" s="262">
        <f>IFERROR(Inv_SY!M1211/Inv_SY!$Q1211-1,"")</f>
        <v>-2.1733986843624042E-2</v>
      </c>
      <c r="T1210" s="262">
        <f>IFERROR(Inv_SY!N1211/Inv_SY!$Q1211-1,"")</f>
        <v>-9.2486278462779792E-2</v>
      </c>
      <c r="U1210" s="263">
        <f>IFERROR(Inv_SY!O1211/Inv_SY!$Q1211-1,"")</f>
        <v>-9.6216598276346099E-2</v>
      </c>
    </row>
    <row r="1211" spans="1:21">
      <c r="A1211" s="102" t="s">
        <v>4</v>
      </c>
      <c r="B1211" s="235">
        <v>6</v>
      </c>
      <c r="C1211" s="235">
        <v>2025</v>
      </c>
      <c r="D1211" s="102" t="s">
        <v>211</v>
      </c>
      <c r="E1211" s="102" t="s">
        <v>211</v>
      </c>
      <c r="F1211" s="103">
        <v>45839</v>
      </c>
      <c r="G1211" s="260">
        <f t="shared" si="55"/>
        <v>31</v>
      </c>
      <c r="H1211" s="104">
        <f t="shared" si="54"/>
        <v>45861</v>
      </c>
      <c r="I1211" s="157">
        <f>_xlfn.XLOOKUP(Table5[[#This Row],[Month Year]],'Modelling New'!D:D,'Modelling New'!N:N)</f>
        <v>10.507</v>
      </c>
      <c r="J1211" s="262">
        <f>IFERROR(Inv_SY!J1212/Inv_SY!$P1212-1,"")</f>
        <v>-8.5984482397041262E-3</v>
      </c>
      <c r="K1211" s="262">
        <f>IFERROR(Inv_SY!K1212/Inv_SY!$P1212-1,"")</f>
        <v>1.9336543704165488E-2</v>
      </c>
      <c r="L1211" s="262">
        <f>IFERROR(Inv_SY!L1212/Inv_SY!$P1212-1,"")</f>
        <v>2.0496612773327039E-2</v>
      </c>
      <c r="M1211" s="262">
        <f>IFERROR(Inv_SY!M1212/Inv_SY!$P1212-1,"")</f>
        <v>1.2392162112057736E-2</v>
      </c>
      <c r="N1211" s="262">
        <f>IFERROR(Inv_SY!N1212/Inv_SY!$P1212-1,"")</f>
        <v>-1.5248634459450239E-2</v>
      </c>
      <c r="O1211" s="262">
        <f>IFERROR(Inv_SY!O1212/Inv_SY!$P1212-1,"")</f>
        <v>-2.837823589039612E-2</v>
      </c>
      <c r="P1211" s="262">
        <f>IFERROR(Inv_SY!J1212/Inv_SY!$Q1212-1,"")</f>
        <v>-2.8510688471529155E-2</v>
      </c>
      <c r="Q1211" s="262">
        <f>IFERROR(Inv_SY!K1212/Inv_SY!$Q1212-1,"")</f>
        <v>-1.1367691520395296E-3</v>
      </c>
      <c r="R1211" s="262">
        <f>IFERROR(Inv_SY!L1212/Inv_SY!$Q1212-1,"")</f>
        <v>0</v>
      </c>
      <c r="S1211" s="262">
        <f>IFERROR(Inv_SY!M1212/Inv_SY!$Q1212-1,"")</f>
        <v>-7.9416732596930828E-3</v>
      </c>
      <c r="T1211" s="262">
        <f>IFERROR(Inv_SY!N1212/Inv_SY!$Q1212-1,"")</f>
        <v>-3.5027306103089351E-2</v>
      </c>
      <c r="U1211" s="263">
        <f>IFERROR(Inv_SY!O1212/Inv_SY!$Q1212-1,"")</f>
        <v>-4.7893200283046111E-2</v>
      </c>
    </row>
    <row r="1212" spans="1:21">
      <c r="A1212" s="102" t="s">
        <v>4</v>
      </c>
      <c r="B1212" s="235">
        <v>6</v>
      </c>
      <c r="C1212" s="235">
        <v>2025</v>
      </c>
      <c r="D1212" s="102" t="s">
        <v>211</v>
      </c>
      <c r="E1212" s="102" t="s">
        <v>211</v>
      </c>
      <c r="F1212" s="103">
        <v>45839</v>
      </c>
      <c r="G1212" s="260">
        <f t="shared" si="55"/>
        <v>31</v>
      </c>
      <c r="H1212" s="104">
        <f t="shared" si="54"/>
        <v>45862</v>
      </c>
      <c r="I1212" s="157">
        <f>_xlfn.XLOOKUP(Table5[[#This Row],[Month Year]],'Modelling New'!D:D,'Modelling New'!N:N)</f>
        <v>10.507</v>
      </c>
      <c r="J1212" s="262">
        <f>IFERROR(Inv_SY!J1213/Inv_SY!$P1213-1,"")</f>
        <v>1.0608158999748873E-2</v>
      </c>
      <c r="K1212" s="262">
        <f>IFERROR(Inv_SY!K1213/Inv_SY!$P1213-1,"")</f>
        <v>1.1245220569735981E-2</v>
      </c>
      <c r="L1212" s="262">
        <f>IFERROR(Inv_SY!L1213/Inv_SY!$P1213-1,"")</f>
        <v>8.1836310501590681E-3</v>
      </c>
      <c r="M1212" s="262">
        <f>IFERROR(Inv_SY!M1213/Inv_SY!$P1213-1,"")</f>
        <v>1.4742139399737786E-2</v>
      </c>
      <c r="N1212" s="262">
        <f>IFERROR(Inv_SY!N1213/Inv_SY!$P1213-1,"")</f>
        <v>-1.6244035255055689E-2</v>
      </c>
      <c r="O1212" s="262">
        <f>IFERROR(Inv_SY!O1213/Inv_SY!$P1213-1,"")</f>
        <v>-2.8535114764325908E-2</v>
      </c>
      <c r="P1212" s="262">
        <f>IFERROR(Inv_SY!J1213/Inv_SY!$Q1213-1,"")</f>
        <v>-4.0739220728868153E-3</v>
      </c>
      <c r="Q1212" s="262">
        <f>IFERROR(Inv_SY!K1213/Inv_SY!$Q1213-1,"")</f>
        <v>-3.4461157117908758E-3</v>
      </c>
      <c r="R1212" s="262">
        <f>IFERROR(Inv_SY!L1213/Inv_SY!$Q1213-1,"")</f>
        <v>-6.4632265626205498E-3</v>
      </c>
      <c r="S1212" s="262">
        <f>IFERROR(Inv_SY!M1213/Inv_SY!$Q1213-1,"")</f>
        <v>0</v>
      </c>
      <c r="T1212" s="262">
        <f>IFERROR(Inv_SY!N1213/Inv_SY!$Q1213-1,"")</f>
        <v>-3.0536008559891914E-2</v>
      </c>
      <c r="U1212" s="263">
        <f>IFERROR(Inv_SY!O1213/Inv_SY!$Q1213-1,"")</f>
        <v>-4.2648523682739747E-2</v>
      </c>
    </row>
    <row r="1213" spans="1:21">
      <c r="A1213" s="102" t="s">
        <v>4</v>
      </c>
      <c r="B1213" s="235">
        <v>6</v>
      </c>
      <c r="C1213" s="235">
        <v>2025</v>
      </c>
      <c r="D1213" s="102" t="s">
        <v>211</v>
      </c>
      <c r="E1213" s="102" t="s">
        <v>211</v>
      </c>
      <c r="F1213" s="103">
        <v>45839</v>
      </c>
      <c r="G1213" s="260">
        <f t="shared" si="55"/>
        <v>31</v>
      </c>
      <c r="H1213" s="104">
        <f t="shared" si="54"/>
        <v>45863</v>
      </c>
      <c r="I1213" s="157">
        <f>_xlfn.XLOOKUP(Table5[[#This Row],[Month Year]],'Modelling New'!D:D,'Modelling New'!N:N)</f>
        <v>10.507</v>
      </c>
      <c r="J1213" s="262">
        <f>IFERROR(Inv_SY!J1214/Inv_SY!$P1214-1,"")</f>
        <v>1.7559883374486329E-2</v>
      </c>
      <c r="K1213" s="262">
        <f>IFERROR(Inv_SY!K1214/Inv_SY!$P1214-1,"")</f>
        <v>8.5299227515218679E-3</v>
      </c>
      <c r="L1213" s="262">
        <f>IFERROR(Inv_SY!L1214/Inv_SY!$P1214-1,"")</f>
        <v>1.2976986550279568E-2</v>
      </c>
      <c r="M1213" s="262">
        <f>IFERROR(Inv_SY!M1214/Inv_SY!$P1214-1,"")</f>
        <v>9.7214322217140658E-3</v>
      </c>
      <c r="N1213" s="262">
        <f>IFERROR(Inv_SY!N1214/Inv_SY!$P1214-1,"")</f>
        <v>-1.2910332538902836E-2</v>
      </c>
      <c r="O1213" s="262">
        <f>IFERROR(Inv_SY!O1214/Inv_SY!$P1214-1,"")</f>
        <v>-3.5877892359098329E-2</v>
      </c>
      <c r="P1213" s="262">
        <f>IFERROR(Inv_SY!J1214/Inv_SY!$Q1214-1,"")</f>
        <v>0</v>
      </c>
      <c r="Q1213" s="262">
        <f>IFERROR(Inv_SY!K1214/Inv_SY!$Q1214-1,"")</f>
        <v>-8.8741319017204834E-3</v>
      </c>
      <c r="R1213" s="262">
        <f>IFERROR(Inv_SY!L1214/Inv_SY!$Q1214-1,"")</f>
        <v>-4.5038104381718291E-3</v>
      </c>
      <c r="S1213" s="262">
        <f>IFERROR(Inv_SY!M1214/Inv_SY!$Q1214-1,"")</f>
        <v>-7.7031841377022126E-3</v>
      </c>
      <c r="T1213" s="262">
        <f>IFERROR(Inv_SY!N1214/Inv_SY!$Q1214-1,"")</f>
        <v>-2.9944395815155622E-2</v>
      </c>
      <c r="U1213" s="263">
        <f>IFERROR(Inv_SY!O1214/Inv_SY!$Q1214-1,"")</f>
        <v>-5.2515607785530549E-2</v>
      </c>
    </row>
    <row r="1214" spans="1:21">
      <c r="A1214" s="102" t="s">
        <v>4</v>
      </c>
      <c r="B1214" s="235">
        <v>6</v>
      </c>
      <c r="C1214" s="235">
        <v>2025</v>
      </c>
      <c r="D1214" s="102" t="s">
        <v>211</v>
      </c>
      <c r="E1214" s="102" t="s">
        <v>211</v>
      </c>
      <c r="F1214" s="103">
        <v>45839</v>
      </c>
      <c r="G1214" s="260">
        <f t="shared" si="55"/>
        <v>31</v>
      </c>
      <c r="H1214" s="104">
        <f t="shared" si="54"/>
        <v>45864</v>
      </c>
      <c r="I1214" s="157">
        <f>_xlfn.XLOOKUP(Table5[[#This Row],[Month Year]],'Modelling New'!D:D,'Modelling New'!N:N)</f>
        <v>10.507</v>
      </c>
      <c r="J1214" s="262">
        <f>IFERROR(Inv_SY!J1215/Inv_SY!$P1215-1,"")</f>
        <v>1.9867138017871211E-2</v>
      </c>
      <c r="K1214" s="262">
        <f>IFERROR(Inv_SY!K1215/Inv_SY!$P1215-1,"")</f>
        <v>-3.856189299331847E-3</v>
      </c>
      <c r="L1214" s="262">
        <f>IFERROR(Inv_SY!L1215/Inv_SY!$P1215-1,"")</f>
        <v>2.7348111508813222E-2</v>
      </c>
      <c r="M1214" s="262">
        <f>IFERROR(Inv_SY!M1215/Inv_SY!$P1215-1,"")</f>
        <v>6.2950379237158849E-3</v>
      </c>
      <c r="N1214" s="262">
        <f>IFERROR(Inv_SY!N1215/Inv_SY!$P1215-1,"")</f>
        <v>-2.2450445183499035E-2</v>
      </c>
      <c r="O1214" s="262">
        <f>IFERROR(Inv_SY!O1215/Inv_SY!$P1215-1,"")</f>
        <v>-2.7203652967569214E-2</v>
      </c>
      <c r="P1214" s="262">
        <f>IFERROR(Inv_SY!J1215/Inv_SY!$Q1215-1,"")</f>
        <v>-7.2818292136199725E-3</v>
      </c>
      <c r="Q1214" s="262">
        <f>IFERROR(Inv_SY!K1215/Inv_SY!$Q1215-1,"")</f>
        <v>-3.0373639138068786E-2</v>
      </c>
      <c r="R1214" s="262">
        <f>IFERROR(Inv_SY!L1215/Inv_SY!$Q1215-1,"")</f>
        <v>0</v>
      </c>
      <c r="S1214" s="262">
        <f>IFERROR(Inv_SY!M1215/Inv_SY!$Q1215-1,"")</f>
        <v>-2.0492638619034165E-2</v>
      </c>
      <c r="T1214" s="262">
        <f>IFERROR(Inv_SY!N1215/Inv_SY!$Q1215-1,"")</f>
        <v>-4.8472914034149328E-2</v>
      </c>
      <c r="U1214" s="263">
        <f>IFERROR(Inv_SY!O1215/Inv_SY!$Q1215-1,"")</f>
        <v>-5.3099590942222274E-2</v>
      </c>
    </row>
    <row r="1215" spans="1:21">
      <c r="A1215" s="102" t="s">
        <v>4</v>
      </c>
      <c r="B1215" s="235">
        <v>6</v>
      </c>
      <c r="C1215" s="235">
        <v>2025</v>
      </c>
      <c r="D1215" s="102" t="s">
        <v>211</v>
      </c>
      <c r="E1215" s="102" t="s">
        <v>211</v>
      </c>
      <c r="F1215" s="103">
        <v>45839</v>
      </c>
      <c r="G1215" s="260">
        <f t="shared" si="55"/>
        <v>31</v>
      </c>
      <c r="H1215" s="104">
        <f t="shared" si="54"/>
        <v>45865</v>
      </c>
      <c r="I1215" s="157">
        <f>_xlfn.XLOOKUP(Table5[[#This Row],[Month Year]],'Modelling New'!D:D,'Modelling New'!N:N)</f>
        <v>10.507</v>
      </c>
      <c r="J1215" s="262" t="str">
        <f>IFERROR(Inv_SY!J1216/Inv_SY!$P1216-1,"")</f>
        <v/>
      </c>
      <c r="K1215" s="262" t="str">
        <f>IFERROR(Inv_SY!K1216/Inv_SY!$P1216-1,"")</f>
        <v/>
      </c>
      <c r="L1215" s="262" t="str">
        <f>IFERROR(Inv_SY!L1216/Inv_SY!$P1216-1,"")</f>
        <v/>
      </c>
      <c r="M1215" s="262" t="str">
        <f>IFERROR(Inv_SY!M1216/Inv_SY!$P1216-1,"")</f>
        <v/>
      </c>
      <c r="N1215" s="262" t="str">
        <f>IFERROR(Inv_SY!N1216/Inv_SY!$P1216-1,"")</f>
        <v/>
      </c>
      <c r="O1215" s="262" t="str">
        <f>IFERROR(Inv_SY!O1216/Inv_SY!$P1216-1,"")</f>
        <v/>
      </c>
      <c r="P1215" s="262" t="str">
        <f>IFERROR(Inv_SY!J1216/Inv_SY!$Q1216-1,"")</f>
        <v/>
      </c>
      <c r="Q1215" s="262" t="str">
        <f>IFERROR(Inv_SY!K1216/Inv_SY!$Q1216-1,"")</f>
        <v/>
      </c>
      <c r="R1215" s="262" t="str">
        <f>IFERROR(Inv_SY!L1216/Inv_SY!$Q1216-1,"")</f>
        <v/>
      </c>
      <c r="S1215" s="262" t="str">
        <f>IFERROR(Inv_SY!M1216/Inv_SY!$Q1216-1,"")</f>
        <v/>
      </c>
      <c r="T1215" s="262" t="str">
        <f>IFERROR(Inv_SY!N1216/Inv_SY!$Q1216-1,"")</f>
        <v/>
      </c>
      <c r="U1215" s="263" t="str">
        <f>IFERROR(Inv_SY!O1216/Inv_SY!$Q1216-1,"")</f>
        <v/>
      </c>
    </row>
    <row r="1216" spans="1:21">
      <c r="A1216" s="102" t="s">
        <v>4</v>
      </c>
      <c r="B1216" s="235">
        <v>6</v>
      </c>
      <c r="C1216" s="235">
        <v>2025</v>
      </c>
      <c r="D1216" s="102" t="s">
        <v>211</v>
      </c>
      <c r="E1216" s="102" t="s">
        <v>211</v>
      </c>
      <c r="F1216" s="103">
        <v>45839</v>
      </c>
      <c r="G1216" s="260">
        <f t="shared" si="55"/>
        <v>31</v>
      </c>
      <c r="H1216" s="104">
        <f t="shared" si="54"/>
        <v>45866</v>
      </c>
      <c r="I1216" s="157">
        <f>_xlfn.XLOOKUP(Table5[[#This Row],[Month Year]],'Modelling New'!D:D,'Modelling New'!N:N)</f>
        <v>10.507</v>
      </c>
      <c r="J1216" s="262" t="str">
        <f>IFERROR(Inv_SY!J1217/Inv_SY!$P1217-1,"")</f>
        <v/>
      </c>
      <c r="K1216" s="262" t="str">
        <f>IFERROR(Inv_SY!K1217/Inv_SY!$P1217-1,"")</f>
        <v/>
      </c>
      <c r="L1216" s="262" t="str">
        <f>IFERROR(Inv_SY!L1217/Inv_SY!$P1217-1,"")</f>
        <v/>
      </c>
      <c r="M1216" s="262" t="str">
        <f>IFERROR(Inv_SY!M1217/Inv_SY!$P1217-1,"")</f>
        <v/>
      </c>
      <c r="N1216" s="262" t="str">
        <f>IFERROR(Inv_SY!N1217/Inv_SY!$P1217-1,"")</f>
        <v/>
      </c>
      <c r="O1216" s="262" t="str">
        <f>IFERROR(Inv_SY!O1217/Inv_SY!$P1217-1,"")</f>
        <v/>
      </c>
      <c r="P1216" s="262" t="str">
        <f>IFERROR(Inv_SY!J1217/Inv_SY!$Q1217-1,"")</f>
        <v/>
      </c>
      <c r="Q1216" s="262" t="str">
        <f>IFERROR(Inv_SY!K1217/Inv_SY!$Q1217-1,"")</f>
        <v/>
      </c>
      <c r="R1216" s="262" t="str">
        <f>IFERROR(Inv_SY!L1217/Inv_SY!$Q1217-1,"")</f>
        <v/>
      </c>
      <c r="S1216" s="262" t="str">
        <f>IFERROR(Inv_SY!M1217/Inv_SY!$Q1217-1,"")</f>
        <v/>
      </c>
      <c r="T1216" s="262" t="str">
        <f>IFERROR(Inv_SY!N1217/Inv_SY!$Q1217-1,"")</f>
        <v/>
      </c>
      <c r="U1216" s="263" t="str">
        <f>IFERROR(Inv_SY!O1217/Inv_SY!$Q1217-1,"")</f>
        <v/>
      </c>
    </row>
    <row r="1217" spans="1:21">
      <c r="A1217" s="102" t="s">
        <v>4</v>
      </c>
      <c r="B1217" s="235">
        <v>6</v>
      </c>
      <c r="C1217" s="235">
        <v>2025</v>
      </c>
      <c r="D1217" s="102" t="s">
        <v>211</v>
      </c>
      <c r="E1217" s="102" t="s">
        <v>211</v>
      </c>
      <c r="F1217" s="103">
        <v>45839</v>
      </c>
      <c r="G1217" s="260">
        <f t="shared" si="55"/>
        <v>31</v>
      </c>
      <c r="H1217" s="104">
        <f t="shared" si="54"/>
        <v>45867</v>
      </c>
      <c r="I1217" s="157">
        <f>_xlfn.XLOOKUP(Table5[[#This Row],[Month Year]],'Modelling New'!D:D,'Modelling New'!N:N)</f>
        <v>10.507</v>
      </c>
      <c r="J1217" s="262" t="str">
        <f>IFERROR(Inv_SY!J1218/Inv_SY!$P1218-1,"")</f>
        <v/>
      </c>
      <c r="K1217" s="262" t="str">
        <f>IFERROR(Inv_SY!K1218/Inv_SY!$P1218-1,"")</f>
        <v/>
      </c>
      <c r="L1217" s="262" t="str">
        <f>IFERROR(Inv_SY!L1218/Inv_SY!$P1218-1,"")</f>
        <v/>
      </c>
      <c r="M1217" s="262" t="str">
        <f>IFERROR(Inv_SY!M1218/Inv_SY!$P1218-1,"")</f>
        <v/>
      </c>
      <c r="N1217" s="262" t="str">
        <f>IFERROR(Inv_SY!N1218/Inv_SY!$P1218-1,"")</f>
        <v/>
      </c>
      <c r="O1217" s="262" t="str">
        <f>IFERROR(Inv_SY!O1218/Inv_SY!$P1218-1,"")</f>
        <v/>
      </c>
      <c r="P1217" s="262" t="str">
        <f>IFERROR(Inv_SY!J1218/Inv_SY!$Q1218-1,"")</f>
        <v/>
      </c>
      <c r="Q1217" s="262" t="str">
        <f>IFERROR(Inv_SY!K1218/Inv_SY!$Q1218-1,"")</f>
        <v/>
      </c>
      <c r="R1217" s="262" t="str">
        <f>IFERROR(Inv_SY!L1218/Inv_SY!$Q1218-1,"")</f>
        <v/>
      </c>
      <c r="S1217" s="262" t="str">
        <f>IFERROR(Inv_SY!M1218/Inv_SY!$Q1218-1,"")</f>
        <v/>
      </c>
      <c r="T1217" s="262" t="str">
        <f>IFERROR(Inv_SY!N1218/Inv_SY!$Q1218-1,"")</f>
        <v/>
      </c>
      <c r="U1217" s="263" t="str">
        <f>IFERROR(Inv_SY!O1218/Inv_SY!$Q1218-1,"")</f>
        <v/>
      </c>
    </row>
    <row r="1218" spans="1:21">
      <c r="A1218" s="102" t="s">
        <v>4</v>
      </c>
      <c r="B1218" s="235">
        <v>6</v>
      </c>
      <c r="C1218" s="235">
        <v>2025</v>
      </c>
      <c r="D1218" s="102" t="s">
        <v>211</v>
      </c>
      <c r="E1218" s="102" t="s">
        <v>211</v>
      </c>
      <c r="F1218" s="103">
        <v>45839</v>
      </c>
      <c r="G1218" s="260">
        <f t="shared" si="55"/>
        <v>31</v>
      </c>
      <c r="H1218" s="104">
        <f t="shared" si="54"/>
        <v>45868</v>
      </c>
      <c r="I1218" s="157">
        <f>_xlfn.XLOOKUP(Table5[[#This Row],[Month Year]],'Modelling New'!D:D,'Modelling New'!N:N)</f>
        <v>10.507</v>
      </c>
      <c r="J1218" s="262" t="str">
        <f>IFERROR(Inv_SY!J1219/Inv_SY!$P1219-1,"")</f>
        <v/>
      </c>
      <c r="K1218" s="262" t="str">
        <f>IFERROR(Inv_SY!K1219/Inv_SY!$P1219-1,"")</f>
        <v/>
      </c>
      <c r="L1218" s="262" t="str">
        <f>IFERROR(Inv_SY!L1219/Inv_SY!$P1219-1,"")</f>
        <v/>
      </c>
      <c r="M1218" s="262" t="str">
        <f>IFERROR(Inv_SY!M1219/Inv_SY!$P1219-1,"")</f>
        <v/>
      </c>
      <c r="N1218" s="262" t="str">
        <f>IFERROR(Inv_SY!N1219/Inv_SY!$P1219-1,"")</f>
        <v/>
      </c>
      <c r="O1218" s="262" t="str">
        <f>IFERROR(Inv_SY!O1219/Inv_SY!$P1219-1,"")</f>
        <v/>
      </c>
      <c r="P1218" s="262" t="str">
        <f>IFERROR(Inv_SY!J1219/Inv_SY!$Q1219-1,"")</f>
        <v/>
      </c>
      <c r="Q1218" s="262" t="str">
        <f>IFERROR(Inv_SY!K1219/Inv_SY!$Q1219-1,"")</f>
        <v/>
      </c>
      <c r="R1218" s="262" t="str">
        <f>IFERROR(Inv_SY!L1219/Inv_SY!$Q1219-1,"")</f>
        <v/>
      </c>
      <c r="S1218" s="262" t="str">
        <f>IFERROR(Inv_SY!M1219/Inv_SY!$Q1219-1,"")</f>
        <v/>
      </c>
      <c r="T1218" s="262" t="str">
        <f>IFERROR(Inv_SY!N1219/Inv_SY!$Q1219-1,"")</f>
        <v/>
      </c>
      <c r="U1218" s="263" t="str">
        <f>IFERROR(Inv_SY!O1219/Inv_SY!$Q1219-1,"")</f>
        <v/>
      </c>
    </row>
    <row r="1219" spans="1:21">
      <c r="A1219" s="102" t="s">
        <v>4</v>
      </c>
      <c r="B1219" s="235">
        <v>6</v>
      </c>
      <c r="C1219" s="235">
        <v>2025</v>
      </c>
      <c r="D1219" s="102" t="s">
        <v>211</v>
      </c>
      <c r="E1219" s="102" t="s">
        <v>211</v>
      </c>
      <c r="F1219" s="103">
        <v>45839</v>
      </c>
      <c r="G1219" s="260">
        <f t="shared" si="55"/>
        <v>31</v>
      </c>
      <c r="H1219" s="104">
        <f t="shared" si="54"/>
        <v>45869</v>
      </c>
      <c r="I1219" s="157">
        <f>_xlfn.XLOOKUP(Table5[[#This Row],[Month Year]],'Modelling New'!D:D,'Modelling New'!N:N)</f>
        <v>10.507</v>
      </c>
      <c r="J1219" s="262" t="str">
        <f>IFERROR(Inv_SY!J1220/Inv_SY!$P1220-1,"")</f>
        <v/>
      </c>
      <c r="K1219" s="262" t="str">
        <f>IFERROR(Inv_SY!K1220/Inv_SY!$P1220-1,"")</f>
        <v/>
      </c>
      <c r="L1219" s="262" t="str">
        <f>IFERROR(Inv_SY!L1220/Inv_SY!$P1220-1,"")</f>
        <v/>
      </c>
      <c r="M1219" s="262" t="str">
        <f>IFERROR(Inv_SY!M1220/Inv_SY!$P1220-1,"")</f>
        <v/>
      </c>
      <c r="N1219" s="262" t="str">
        <f>IFERROR(Inv_SY!N1220/Inv_SY!$P1220-1,"")</f>
        <v/>
      </c>
      <c r="O1219" s="262" t="str">
        <f>IFERROR(Inv_SY!O1220/Inv_SY!$P1220-1,"")</f>
        <v/>
      </c>
      <c r="P1219" s="262" t="str">
        <f>IFERROR(Inv_SY!J1220/Inv_SY!$Q1220-1,"")</f>
        <v/>
      </c>
      <c r="Q1219" s="262" t="str">
        <f>IFERROR(Inv_SY!K1220/Inv_SY!$Q1220-1,"")</f>
        <v/>
      </c>
      <c r="R1219" s="262" t="str">
        <f>IFERROR(Inv_SY!L1220/Inv_SY!$Q1220-1,"")</f>
        <v/>
      </c>
      <c r="S1219" s="262" t="str">
        <f>IFERROR(Inv_SY!M1220/Inv_SY!$Q1220-1,"")</f>
        <v/>
      </c>
      <c r="T1219" s="262" t="str">
        <f>IFERROR(Inv_SY!N1220/Inv_SY!$Q1220-1,"")</f>
        <v/>
      </c>
      <c r="U1219" s="263" t="str">
        <f>IFERROR(Inv_SY!O1220/Inv_SY!$Q1220-1,"")</f>
        <v/>
      </c>
    </row>
    <row r="1220" spans="1:21">
      <c r="A1220" s="260"/>
      <c r="B1220" s="260"/>
      <c r="C1220" s="260"/>
      <c r="D1220" s="260"/>
      <c r="E1220" s="260"/>
      <c r="F1220" s="261"/>
      <c r="G1220" s="260">
        <f t="shared" si="55"/>
        <v>31</v>
      </c>
      <c r="H1220" s="104">
        <f t="shared" si="54"/>
        <v>45870</v>
      </c>
      <c r="I1220" s="157">
        <f>_xlfn.XLOOKUP(Table5[[#This Row],[Month Year]],'Modelling New'!D:D,'Modelling New'!N:N)</f>
        <v>0</v>
      </c>
      <c r="J1220" s="262" t="str">
        <f>IFERROR(Inv_SY!J1221/Inv_SY!$P1221-1,"")</f>
        <v/>
      </c>
      <c r="K1220" s="262" t="str">
        <f>IFERROR(Inv_SY!K1221/Inv_SY!$P1221-1,"")</f>
        <v/>
      </c>
      <c r="L1220" s="262" t="str">
        <f>IFERROR(Inv_SY!L1221/Inv_SY!$P1221-1,"")</f>
        <v/>
      </c>
      <c r="M1220" s="262" t="str">
        <f>IFERROR(Inv_SY!M1221/Inv_SY!$P1221-1,"")</f>
        <v/>
      </c>
      <c r="N1220" s="262" t="str">
        <f>IFERROR(Inv_SY!N1221/Inv_SY!$P1221-1,"")</f>
        <v/>
      </c>
      <c r="O1220" s="262" t="str">
        <f>IFERROR(Inv_SY!O1221/Inv_SY!$P1221-1,"")</f>
        <v/>
      </c>
      <c r="P1220" s="262" t="str">
        <f>IFERROR(Inv_SY!J1221/Inv_SY!$Q1221-1,"")</f>
        <v/>
      </c>
      <c r="Q1220" s="262" t="str">
        <f>IFERROR(Inv_SY!K1221/Inv_SY!$Q1221-1,"")</f>
        <v/>
      </c>
      <c r="R1220" s="262" t="str">
        <f>IFERROR(Inv_SY!L1221/Inv_SY!$Q1221-1,"")</f>
        <v/>
      </c>
      <c r="S1220" s="262" t="str">
        <f>IFERROR(Inv_SY!M1221/Inv_SY!$Q1221-1,"")</f>
        <v/>
      </c>
      <c r="T1220" s="262" t="str">
        <f>IFERROR(Inv_SY!N1221/Inv_SY!$Q1221-1,"")</f>
        <v/>
      </c>
      <c r="U1220" s="263" t="str">
        <f>IFERROR(Inv_SY!O1221/Inv_SY!$Q1221-1,"")</f>
        <v/>
      </c>
    </row>
    <row r="1221" spans="1:21">
      <c r="A1221" s="260"/>
      <c r="B1221" s="260"/>
      <c r="C1221" s="260"/>
      <c r="D1221" s="260"/>
      <c r="E1221" s="260"/>
      <c r="F1221" s="261"/>
      <c r="G1221" s="260">
        <f t="shared" si="55"/>
        <v>31</v>
      </c>
      <c r="H1221" s="104">
        <f t="shared" si="54"/>
        <v>45871</v>
      </c>
      <c r="I1221" s="157">
        <f>_xlfn.XLOOKUP(Table5[[#This Row],[Month Year]],'Modelling New'!D:D,'Modelling New'!N:N)</f>
        <v>0</v>
      </c>
      <c r="J1221" s="262" t="str">
        <f>IFERROR(Inv_SY!J1222/Inv_SY!$P1222-1,"")</f>
        <v/>
      </c>
      <c r="K1221" s="262" t="str">
        <f>IFERROR(Inv_SY!K1222/Inv_SY!$P1222-1,"")</f>
        <v/>
      </c>
      <c r="L1221" s="262" t="str">
        <f>IFERROR(Inv_SY!L1222/Inv_SY!$P1222-1,"")</f>
        <v/>
      </c>
      <c r="M1221" s="262" t="str">
        <f>IFERROR(Inv_SY!M1222/Inv_SY!$P1222-1,"")</f>
        <v/>
      </c>
      <c r="N1221" s="262" t="str">
        <f>IFERROR(Inv_SY!N1222/Inv_SY!$P1222-1,"")</f>
        <v/>
      </c>
      <c r="O1221" s="262" t="str">
        <f>IFERROR(Inv_SY!O1222/Inv_SY!$P1222-1,"")</f>
        <v/>
      </c>
      <c r="P1221" s="262" t="str">
        <f>IFERROR(Inv_SY!J1222/Inv_SY!$Q1222-1,"")</f>
        <v/>
      </c>
      <c r="Q1221" s="262" t="str">
        <f>IFERROR(Inv_SY!K1222/Inv_SY!$Q1222-1,"")</f>
        <v/>
      </c>
      <c r="R1221" s="262" t="str">
        <f>IFERROR(Inv_SY!L1222/Inv_SY!$Q1222-1,"")</f>
        <v/>
      </c>
      <c r="S1221" s="262" t="str">
        <f>IFERROR(Inv_SY!M1222/Inv_SY!$Q1222-1,"")</f>
        <v/>
      </c>
      <c r="T1221" s="262" t="str">
        <f>IFERROR(Inv_SY!N1222/Inv_SY!$Q1222-1,"")</f>
        <v/>
      </c>
      <c r="U1221" s="263" t="str">
        <f>IFERROR(Inv_SY!O1222/Inv_SY!$Q1222-1,"")</f>
        <v/>
      </c>
    </row>
    <row r="1222" spans="1:21">
      <c r="A1222" s="260"/>
      <c r="B1222" s="260"/>
      <c r="C1222" s="260"/>
      <c r="D1222" s="260"/>
      <c r="E1222" s="260"/>
      <c r="F1222" s="261"/>
      <c r="G1222" s="260">
        <f t="shared" si="55"/>
        <v>31</v>
      </c>
      <c r="H1222" s="104">
        <f t="shared" si="54"/>
        <v>45872</v>
      </c>
      <c r="I1222" s="157">
        <f>_xlfn.XLOOKUP(Table5[[#This Row],[Month Year]],'Modelling New'!D:D,'Modelling New'!N:N)</f>
        <v>0</v>
      </c>
      <c r="J1222" s="262" t="str">
        <f>IFERROR(Inv_SY!J1223/Inv_SY!$P1223-1,"")</f>
        <v/>
      </c>
      <c r="K1222" s="262" t="str">
        <f>IFERROR(Inv_SY!K1223/Inv_SY!$P1223-1,"")</f>
        <v/>
      </c>
      <c r="L1222" s="262" t="str">
        <f>IFERROR(Inv_SY!L1223/Inv_SY!$P1223-1,"")</f>
        <v/>
      </c>
      <c r="M1222" s="262" t="str">
        <f>IFERROR(Inv_SY!M1223/Inv_SY!$P1223-1,"")</f>
        <v/>
      </c>
      <c r="N1222" s="262" t="str">
        <f>IFERROR(Inv_SY!N1223/Inv_SY!$P1223-1,"")</f>
        <v/>
      </c>
      <c r="O1222" s="262" t="str">
        <f>IFERROR(Inv_SY!O1223/Inv_SY!$P1223-1,"")</f>
        <v/>
      </c>
      <c r="P1222" s="262" t="str">
        <f>IFERROR(Inv_SY!J1223/Inv_SY!$Q1223-1,"")</f>
        <v/>
      </c>
      <c r="Q1222" s="262" t="str">
        <f>IFERROR(Inv_SY!K1223/Inv_SY!$Q1223-1,"")</f>
        <v/>
      </c>
      <c r="R1222" s="262" t="str">
        <f>IFERROR(Inv_SY!L1223/Inv_SY!$Q1223-1,"")</f>
        <v/>
      </c>
      <c r="S1222" s="262" t="str">
        <f>IFERROR(Inv_SY!M1223/Inv_SY!$Q1223-1,"")</f>
        <v/>
      </c>
      <c r="T1222" s="262" t="str">
        <f>IFERROR(Inv_SY!N1223/Inv_SY!$Q1223-1,"")</f>
        <v/>
      </c>
      <c r="U1222" s="263" t="str">
        <f>IFERROR(Inv_SY!O1223/Inv_SY!$Q1223-1,"")</f>
        <v/>
      </c>
    </row>
    <row r="1223" spans="1:21">
      <c r="A1223" s="260"/>
      <c r="B1223" s="260"/>
      <c r="C1223" s="260"/>
      <c r="D1223" s="260"/>
      <c r="E1223" s="260"/>
      <c r="F1223" s="261"/>
      <c r="G1223" s="260">
        <f t="shared" si="55"/>
        <v>31</v>
      </c>
      <c r="H1223" s="104">
        <f t="shared" si="54"/>
        <v>45873</v>
      </c>
      <c r="I1223" s="157">
        <f>_xlfn.XLOOKUP(Table5[[#This Row],[Month Year]],'Modelling New'!D:D,'Modelling New'!N:N)</f>
        <v>0</v>
      </c>
      <c r="J1223" s="262" t="str">
        <f>IFERROR(Inv_SY!J1224/Inv_SY!$P1224-1,"")</f>
        <v/>
      </c>
      <c r="K1223" s="262" t="str">
        <f>IFERROR(Inv_SY!K1224/Inv_SY!$P1224-1,"")</f>
        <v/>
      </c>
      <c r="L1223" s="262" t="str">
        <f>IFERROR(Inv_SY!L1224/Inv_SY!$P1224-1,"")</f>
        <v/>
      </c>
      <c r="M1223" s="262" t="str">
        <f>IFERROR(Inv_SY!M1224/Inv_SY!$P1224-1,"")</f>
        <v/>
      </c>
      <c r="N1223" s="262" t="str">
        <f>IFERROR(Inv_SY!N1224/Inv_SY!$P1224-1,"")</f>
        <v/>
      </c>
      <c r="O1223" s="262" t="str">
        <f>IFERROR(Inv_SY!O1224/Inv_SY!$P1224-1,"")</f>
        <v/>
      </c>
      <c r="P1223" s="262" t="str">
        <f>IFERROR(Inv_SY!J1224/Inv_SY!$Q1224-1,"")</f>
        <v/>
      </c>
      <c r="Q1223" s="262" t="str">
        <f>IFERROR(Inv_SY!K1224/Inv_SY!$Q1224-1,"")</f>
        <v/>
      </c>
      <c r="R1223" s="262" t="str">
        <f>IFERROR(Inv_SY!L1224/Inv_SY!$Q1224-1,"")</f>
        <v/>
      </c>
      <c r="S1223" s="262" t="str">
        <f>IFERROR(Inv_SY!M1224/Inv_SY!$Q1224-1,"")</f>
        <v/>
      </c>
      <c r="T1223" s="262" t="str">
        <f>IFERROR(Inv_SY!N1224/Inv_SY!$Q1224-1,"")</f>
        <v/>
      </c>
      <c r="U1223" s="263" t="str">
        <f>IFERROR(Inv_SY!O1224/Inv_SY!$Q1224-1,"")</f>
        <v/>
      </c>
    </row>
    <row r="1224" spans="1:21">
      <c r="A1224" s="260"/>
      <c r="B1224" s="260"/>
      <c r="C1224" s="260"/>
      <c r="D1224" s="260"/>
      <c r="E1224" s="260"/>
      <c r="F1224" s="261"/>
      <c r="G1224" s="260">
        <f t="shared" si="55"/>
        <v>31</v>
      </c>
      <c r="H1224" s="104">
        <f t="shared" si="54"/>
        <v>45874</v>
      </c>
      <c r="I1224" s="157">
        <f>_xlfn.XLOOKUP(Table5[[#This Row],[Month Year]],'Modelling New'!D:D,'Modelling New'!N:N)</f>
        <v>0</v>
      </c>
      <c r="J1224" s="262" t="str">
        <f>IFERROR(Inv_SY!J1225/Inv_SY!$P1225-1,"")</f>
        <v/>
      </c>
      <c r="K1224" s="262" t="str">
        <f>IFERROR(Inv_SY!K1225/Inv_SY!$P1225-1,"")</f>
        <v/>
      </c>
      <c r="L1224" s="262" t="str">
        <f>IFERROR(Inv_SY!L1225/Inv_SY!$P1225-1,"")</f>
        <v/>
      </c>
      <c r="M1224" s="262" t="str">
        <f>IFERROR(Inv_SY!M1225/Inv_SY!$P1225-1,"")</f>
        <v/>
      </c>
      <c r="N1224" s="262" t="str">
        <f>IFERROR(Inv_SY!N1225/Inv_SY!$P1225-1,"")</f>
        <v/>
      </c>
      <c r="O1224" s="262" t="str">
        <f>IFERROR(Inv_SY!O1225/Inv_SY!$P1225-1,"")</f>
        <v/>
      </c>
      <c r="P1224" s="262" t="str">
        <f>IFERROR(Inv_SY!J1225/Inv_SY!$Q1225-1,"")</f>
        <v/>
      </c>
      <c r="Q1224" s="262" t="str">
        <f>IFERROR(Inv_SY!K1225/Inv_SY!$Q1225-1,"")</f>
        <v/>
      </c>
      <c r="R1224" s="262" t="str">
        <f>IFERROR(Inv_SY!L1225/Inv_SY!$Q1225-1,"")</f>
        <v/>
      </c>
      <c r="S1224" s="262" t="str">
        <f>IFERROR(Inv_SY!M1225/Inv_SY!$Q1225-1,"")</f>
        <v/>
      </c>
      <c r="T1224" s="262" t="str">
        <f>IFERROR(Inv_SY!N1225/Inv_SY!$Q1225-1,"")</f>
        <v/>
      </c>
      <c r="U1224" s="263" t="str">
        <f>IFERROR(Inv_SY!O1225/Inv_SY!$Q1225-1,"")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9" activePane="bottomRight" state="frozen"/>
      <selection activeCell="I9" sqref="I9"/>
      <selection pane="topRight" activeCell="I9" sqref="I9"/>
      <selection pane="bottomLeft" activeCell="I9" sqref="I9"/>
      <selection pane="bottomRight" activeCell="A40" sqref="A40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0.17449530281830902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4.3623825704577103E-2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5" activePane="bottomRight" state="frozen"/>
      <selection activeCell="I9" sqref="I9"/>
      <selection pane="topRight" activeCell="I9" sqref="I9"/>
      <selection pane="bottomLeft" activeCell="I9" sqref="I9"/>
      <selection pane="bottomRight" activeCell="Q34" sqref="Q34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0" activePane="bottomRight" state="frozen"/>
      <selection activeCell="I9" sqref="I9"/>
      <selection pane="topRight" activeCell="I9" sqref="I9"/>
      <selection pane="bottomLeft" activeCell="I9" sqref="I9"/>
      <selection pane="bottomRight" activeCell="K1208" sqref="K1208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6"/>
  <sheetViews>
    <sheetView topLeftCell="A2" zoomScale="85" zoomScaleNormal="85" workbookViewId="0">
      <pane xSplit="8" ySplit="1" topLeftCell="M1207" activePane="bottomRight" state="frozen"/>
      <selection activeCell="I9" sqref="I9"/>
      <selection pane="topRight" activeCell="I9" sqref="I9"/>
      <selection pane="bottomLeft" activeCell="I9" sqref="I9"/>
      <selection pane="bottomRight" activeCell="S1216" sqref="S1216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6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75" t="s">
        <v>1700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75" t="s">
        <v>1701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93" t="s">
        <v>1703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1"/>
  <sheetViews>
    <sheetView zoomScaleNormal="100" workbookViewId="0">
      <pane xSplit="8" ySplit="1" topLeftCell="I1620" activePane="bottomRight" state="frozen"/>
      <selection activeCell="I9" sqref="I9"/>
      <selection pane="topRight" activeCell="I9" sqref="I9"/>
      <selection pane="bottomLeft" activeCell="I9" sqref="I9"/>
      <selection pane="bottomRight" activeCell="K1629" sqref="K1629:K1631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  <row r="1629" spans="1:11">
      <c r="A1629" s="2">
        <f>A1628+1</f>
        <v>1628</v>
      </c>
      <c r="B1629" s="210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43" t="s">
        <v>189</v>
      </c>
    </row>
    <row r="1630" spans="1:11">
      <c r="A1630" s="2">
        <f t="shared" ref="A1630:A1631" si="237">A1629+1</f>
        <v>1629</v>
      </c>
      <c r="B1630" s="210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210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2025-07-28T02:22:58Z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